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drawings/drawing17.xml" ContentType="application/vnd.openxmlformats-officedocument.drawing+xml"/>
  <Override PartName="/xl/tables/table18.xml" ContentType="application/vnd.openxmlformats-officedocument.spreadsheetml.table+xml"/>
  <Override PartName="/xl/drawings/drawing18.xml" ContentType="application/vnd.openxmlformats-officedocument.drawing+xml"/>
  <Override PartName="/xl/tables/table19.xml" ContentType="application/vnd.openxmlformats-officedocument.spreadsheetml.table+xml"/>
  <Override PartName="/xl/drawings/drawing19.xml" ContentType="application/vnd.openxmlformats-officedocument.drawing+xml"/>
  <Override PartName="/xl/tables/table20.xml" ContentType="application/vnd.openxmlformats-officedocument.spreadsheetml.table+xml"/>
  <Override PartName="/xl/drawings/drawing20.xml" ContentType="application/vnd.openxmlformats-officedocument.drawing+xml"/>
  <Override PartName="/xl/tables/table21.xml" ContentType="application/vnd.openxmlformats-officedocument.spreadsheetml.table+xml"/>
  <Override PartName="/xl/drawings/drawing21.xml" ContentType="application/vnd.openxmlformats-officedocument.drawing+xml"/>
  <Override PartName="/xl/tables/table22.xml" ContentType="application/vnd.openxmlformats-officedocument.spreadsheetml.table+xml"/>
  <Override PartName="/xl/drawings/drawing22.xml" ContentType="application/vnd.openxmlformats-officedocument.drawing+xml"/>
  <Override PartName="/xl/tables/table23.xml" ContentType="application/vnd.openxmlformats-officedocument.spreadsheetml.table+xml"/>
  <Override PartName="/xl/drawings/drawing23.xml" ContentType="application/vnd.openxmlformats-officedocument.drawing+xml"/>
  <Override PartName="/xl/tables/table24.xml" ContentType="application/vnd.openxmlformats-officedocument.spreadsheetml.table+xml"/>
  <Override PartName="/xl/drawings/drawing24.xml" ContentType="application/vnd.openxmlformats-officedocument.drawing+xml"/>
  <Override PartName="/xl/tables/table2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tradingmentor-my.sharepoint.com/personal/colin_aats_au/Documents/"/>
    </mc:Choice>
  </mc:AlternateContent>
  <xr:revisionPtr revIDLastSave="0" documentId="8_{C720BDC5-904F-4385-B120-17BC142AD8EA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Master" sheetId="34" r:id="rId1"/>
    <sheet name="Profit Summary" sheetId="6" r:id="rId2"/>
    <sheet name="Reference Table" sheetId="11" r:id="rId3"/>
    <sheet name="Template" sheetId="41" state="hidden" r:id="rId4"/>
    <sheet name="AUDJPY" sheetId="49" r:id="rId5"/>
    <sheet name="AUDUSD" sheetId="50" r:id="rId6"/>
    <sheet name="EURAUD" sheetId="55" r:id="rId7"/>
    <sheet name="EURGBP" sheetId="51" r:id="rId8"/>
    <sheet name="EURJPY" sheetId="52" r:id="rId9"/>
    <sheet name="EURUSD" sheetId="42" r:id="rId10"/>
    <sheet name="GBPAUD" sheetId="53" r:id="rId11"/>
    <sheet name="GBPJPY" sheetId="43" r:id="rId12"/>
    <sheet name="GBPUSD" sheetId="54" r:id="rId13"/>
    <sheet name="USDJPY" sheetId="44" r:id="rId14"/>
    <sheet name="XAGUSD" sheetId="56" r:id="rId15"/>
    <sheet name="XAUUSD" sheetId="45" r:id="rId16"/>
    <sheet name="USOUSD" sheetId="57" r:id="rId17"/>
    <sheet name="ASX200" sheetId="58" r:id="rId18"/>
    <sheet name="GER30" sheetId="46" r:id="rId19"/>
    <sheet name="NDX100" sheetId="47" r:id="rId20"/>
    <sheet name="SPX500" sheetId="48" r:id="rId21"/>
    <sheet name="UK100" sheetId="59" r:id="rId22"/>
    <sheet name="US30" sheetId="60" r:id="rId23"/>
    <sheet name="BTCUSD" sheetId="61" r:id="rId24"/>
    <sheet name="ETHUSD" sheetId="62" r:id="rId25"/>
  </sheets>
  <definedNames>
    <definedName name="_xlnm.Print_Area" localSheetId="17">'ASX200'!$A$1:$AH$16</definedName>
    <definedName name="_xlnm.Print_Area" localSheetId="4">AUDJPY!$A$1:$AH$16</definedName>
    <definedName name="_xlnm.Print_Area" localSheetId="5">AUDUSD!$A$1:$AH$16</definedName>
    <definedName name="_xlnm.Print_Area" localSheetId="23">BTCUSD!$A$1:$AH$16</definedName>
    <definedName name="_xlnm.Print_Area" localSheetId="24">ETHUSD!$A$1:$AH$16</definedName>
    <definedName name="_xlnm.Print_Area" localSheetId="6">EURAUD!$A$1:$AH$16</definedName>
    <definedName name="_xlnm.Print_Area" localSheetId="7">EURGBP!$A$1:$AH$16</definedName>
    <definedName name="_xlnm.Print_Area" localSheetId="8">EURJPY!$A$1:$AH$16</definedName>
    <definedName name="_xlnm.Print_Area" localSheetId="9">EURUSD!$A$1:$AH$16</definedName>
    <definedName name="_xlnm.Print_Area" localSheetId="10">GBPAUD!$A$1:$AH$16</definedName>
    <definedName name="_xlnm.Print_Area" localSheetId="11">GBPJPY!$A$1:$AH$16</definedName>
    <definedName name="_xlnm.Print_Area" localSheetId="12">GBPUSD!$A$1:$AH$16</definedName>
    <definedName name="_xlnm.Print_Area" localSheetId="18">'GER30'!$A$1:$AH$16</definedName>
    <definedName name="_xlnm.Print_Area" localSheetId="0">Master!$A$1:$AH$17</definedName>
    <definedName name="_xlnm.Print_Area" localSheetId="19">'NDX100'!$A$1:$AH$16</definedName>
    <definedName name="_xlnm.Print_Area" localSheetId="20">'SPX500'!$A$1:$AH$16</definedName>
    <definedName name="_xlnm.Print_Area" localSheetId="3">Template!$A$1:$AH$17</definedName>
    <definedName name="_xlnm.Print_Area" localSheetId="21">'UK100'!$A$1:$AH$17</definedName>
    <definedName name="_xlnm.Print_Area" localSheetId="22">'US30'!$A$1:$AH$16</definedName>
    <definedName name="_xlnm.Print_Area" localSheetId="13">USDJPY!$A$1:$AH$17</definedName>
    <definedName name="_xlnm.Print_Area" localSheetId="16">USOUSD!$A$1:$AH$16</definedName>
    <definedName name="_xlnm.Print_Area" localSheetId="14">XAGUSD!$A$1:$AH$16</definedName>
    <definedName name="_xlnm.Print_Area" localSheetId="15">XAUUSD!$A$1:$AH$16</definedName>
  </definedNames>
  <calcPr calcId="191029" concurrentCalc="0"/>
  <pivotCaches>
    <pivotCache cacheId="2" r:id="rId2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0" i="34" l="1"/>
  <c r="D103" i="34"/>
  <c r="D152" i="34"/>
  <c r="D160" i="34"/>
  <c r="D161" i="34"/>
  <c r="D169" i="34"/>
  <c r="D184" i="34"/>
  <c r="D202" i="34"/>
  <c r="D274" i="34"/>
  <c r="D292" i="34"/>
  <c r="D303" i="34"/>
  <c r="D339" i="34"/>
  <c r="D346" i="34"/>
  <c r="D348" i="34"/>
  <c r="D350" i="34"/>
  <c r="D359" i="34"/>
  <c r="D362" i="34"/>
  <c r="D366" i="34"/>
  <c r="D380" i="34"/>
  <c r="D385" i="34"/>
  <c r="D386" i="34"/>
  <c r="D390" i="34"/>
  <c r="D392" i="34"/>
  <c r="D393" i="34"/>
  <c r="D397" i="34"/>
  <c r="D405" i="34"/>
  <c r="D408" i="34"/>
  <c r="D409" i="34"/>
  <c r="D444" i="34"/>
  <c r="I90" i="34"/>
  <c r="I103" i="34"/>
  <c r="I152" i="34"/>
  <c r="I160" i="34"/>
  <c r="I161" i="34"/>
  <c r="I169" i="34"/>
  <c r="I184" i="34"/>
  <c r="I202" i="34"/>
  <c r="I274" i="34"/>
  <c r="I292" i="34"/>
  <c r="I303" i="34"/>
  <c r="I339" i="34"/>
  <c r="I346" i="34"/>
  <c r="I348" i="34"/>
  <c r="I350" i="34"/>
  <c r="I359" i="34"/>
  <c r="I362" i="34"/>
  <c r="I366" i="34"/>
  <c r="I380" i="34"/>
  <c r="I385" i="34"/>
  <c r="I386" i="34"/>
  <c r="I390" i="34"/>
  <c r="I392" i="34"/>
  <c r="I393" i="34"/>
  <c r="I397" i="34"/>
  <c r="I405" i="34"/>
  <c r="I408" i="34"/>
  <c r="I409" i="34"/>
  <c r="I444" i="34"/>
  <c r="M90" i="34"/>
  <c r="M103" i="34"/>
  <c r="M152" i="34"/>
  <c r="M160" i="34"/>
  <c r="M161" i="34"/>
  <c r="M169" i="34"/>
  <c r="M184" i="34"/>
  <c r="M202" i="34"/>
  <c r="M274" i="34"/>
  <c r="M292" i="34"/>
  <c r="M303" i="34"/>
  <c r="M339" i="34"/>
  <c r="M346" i="34"/>
  <c r="M348" i="34"/>
  <c r="M350" i="34"/>
  <c r="M359" i="34"/>
  <c r="M362" i="34"/>
  <c r="M366" i="34"/>
  <c r="M380" i="34"/>
  <c r="M385" i="34"/>
  <c r="M386" i="34"/>
  <c r="M390" i="34"/>
  <c r="M392" i="34"/>
  <c r="M393" i="34"/>
  <c r="M397" i="34"/>
  <c r="M405" i="34"/>
  <c r="M408" i="34"/>
  <c r="M409" i="34"/>
  <c r="M444" i="34"/>
  <c r="N90" i="34"/>
  <c r="N103" i="34"/>
  <c r="N152" i="34"/>
  <c r="N160" i="34"/>
  <c r="N161" i="34"/>
  <c r="N169" i="34"/>
  <c r="N184" i="34"/>
  <c r="N202" i="34"/>
  <c r="N274" i="34"/>
  <c r="N292" i="34"/>
  <c r="N303" i="34"/>
  <c r="N339" i="34"/>
  <c r="N346" i="34"/>
  <c r="N348" i="34"/>
  <c r="N350" i="34"/>
  <c r="N359" i="34"/>
  <c r="N362" i="34"/>
  <c r="N366" i="34"/>
  <c r="N380" i="34"/>
  <c r="N385" i="34"/>
  <c r="N386" i="34"/>
  <c r="N390" i="34"/>
  <c r="N392" i="34"/>
  <c r="N393" i="34"/>
  <c r="N397" i="34"/>
  <c r="N405" i="34"/>
  <c r="N408" i="34"/>
  <c r="N409" i="34"/>
  <c r="N444" i="34"/>
  <c r="O90" i="34"/>
  <c r="O103" i="34"/>
  <c r="O152" i="34"/>
  <c r="O160" i="34"/>
  <c r="O161" i="34"/>
  <c r="O169" i="34"/>
  <c r="O184" i="34"/>
  <c r="O202" i="34"/>
  <c r="O274" i="34"/>
  <c r="O292" i="34"/>
  <c r="O303" i="34"/>
  <c r="O339" i="34"/>
  <c r="O346" i="34"/>
  <c r="O348" i="34"/>
  <c r="O350" i="34"/>
  <c r="O359" i="34"/>
  <c r="O362" i="34"/>
  <c r="O366" i="34"/>
  <c r="O380" i="34"/>
  <c r="O385" i="34"/>
  <c r="O386" i="34"/>
  <c r="O390" i="34"/>
  <c r="O392" i="34"/>
  <c r="O393" i="34"/>
  <c r="O397" i="34"/>
  <c r="O405" i="34"/>
  <c r="O408" i="34"/>
  <c r="O409" i="34"/>
  <c r="O444" i="34"/>
  <c r="P90" i="34"/>
  <c r="P103" i="34"/>
  <c r="P152" i="34"/>
  <c r="P160" i="34"/>
  <c r="P161" i="34"/>
  <c r="P169" i="34"/>
  <c r="P184" i="34"/>
  <c r="P202" i="34"/>
  <c r="P274" i="34"/>
  <c r="P292" i="34"/>
  <c r="P303" i="34"/>
  <c r="P339" i="34"/>
  <c r="P346" i="34"/>
  <c r="P348" i="34"/>
  <c r="P350" i="34"/>
  <c r="P359" i="34"/>
  <c r="P362" i="34"/>
  <c r="P366" i="34"/>
  <c r="P380" i="34"/>
  <c r="P385" i="34"/>
  <c r="P386" i="34"/>
  <c r="P390" i="34"/>
  <c r="P392" i="34"/>
  <c r="P393" i="34"/>
  <c r="P397" i="34"/>
  <c r="P405" i="34"/>
  <c r="P408" i="34"/>
  <c r="P409" i="34"/>
  <c r="P444" i="34"/>
  <c r="Q90" i="34"/>
  <c r="Q103" i="34"/>
  <c r="Q152" i="34"/>
  <c r="Q160" i="34"/>
  <c r="Q161" i="34"/>
  <c r="Q169" i="34"/>
  <c r="Q184" i="34"/>
  <c r="Q202" i="34"/>
  <c r="Q274" i="34"/>
  <c r="Q292" i="34"/>
  <c r="Q303" i="34"/>
  <c r="Q339" i="34"/>
  <c r="Q346" i="34"/>
  <c r="Q348" i="34"/>
  <c r="Q350" i="34"/>
  <c r="Q359" i="34"/>
  <c r="Q362" i="34"/>
  <c r="Q366" i="34"/>
  <c r="Q380" i="34"/>
  <c r="Q385" i="34"/>
  <c r="Q386" i="34"/>
  <c r="Q390" i="34"/>
  <c r="Q392" i="34"/>
  <c r="Q393" i="34"/>
  <c r="Q397" i="34"/>
  <c r="Q405" i="34"/>
  <c r="Q408" i="34"/>
  <c r="Q409" i="34"/>
  <c r="Q444" i="34"/>
  <c r="M573" i="34"/>
  <c r="I573" i="34"/>
  <c r="N573" i="34"/>
  <c r="S573" i="34"/>
  <c r="M572" i="34"/>
  <c r="I572" i="34"/>
  <c r="N572" i="34"/>
  <c r="S572" i="34"/>
  <c r="M571" i="34"/>
  <c r="I571" i="34"/>
  <c r="N571" i="34"/>
  <c r="S571" i="34"/>
  <c r="M570" i="34"/>
  <c r="I570" i="34"/>
  <c r="N570" i="34"/>
  <c r="S570" i="34"/>
  <c r="M569" i="34"/>
  <c r="I569" i="34"/>
  <c r="N569" i="34"/>
  <c r="S569" i="34"/>
  <c r="M568" i="34"/>
  <c r="I568" i="34"/>
  <c r="N568" i="34"/>
  <c r="S568" i="34"/>
  <c r="M567" i="34"/>
  <c r="I567" i="34"/>
  <c r="N567" i="34"/>
  <c r="S567" i="34"/>
  <c r="M566" i="34"/>
  <c r="I566" i="34"/>
  <c r="N566" i="34"/>
  <c r="S566" i="34"/>
  <c r="M565" i="34"/>
  <c r="I565" i="34"/>
  <c r="N565" i="34"/>
  <c r="S565" i="34"/>
  <c r="M564" i="34"/>
  <c r="I564" i="34"/>
  <c r="N564" i="34"/>
  <c r="S564" i="34"/>
  <c r="M563" i="34"/>
  <c r="I563" i="34"/>
  <c r="N563" i="34"/>
  <c r="S563" i="34"/>
  <c r="M562" i="34"/>
  <c r="I562" i="34"/>
  <c r="N562" i="34"/>
  <c r="S562" i="34"/>
  <c r="M561" i="34"/>
  <c r="I561" i="34"/>
  <c r="N561" i="34"/>
  <c r="S561" i="34"/>
  <c r="M560" i="34"/>
  <c r="I560" i="34"/>
  <c r="N560" i="34"/>
  <c r="S560" i="34"/>
  <c r="M559" i="34"/>
  <c r="I559" i="34"/>
  <c r="N559" i="34"/>
  <c r="S559" i="34"/>
  <c r="M558" i="34"/>
  <c r="I558" i="34"/>
  <c r="N558" i="34"/>
  <c r="S558" i="34"/>
  <c r="M557" i="34"/>
  <c r="I557" i="34"/>
  <c r="N557" i="34"/>
  <c r="S557" i="34"/>
  <c r="M556" i="34"/>
  <c r="I556" i="34"/>
  <c r="N556" i="34"/>
  <c r="S556" i="34"/>
  <c r="M555" i="34"/>
  <c r="I555" i="34"/>
  <c r="N555" i="34"/>
  <c r="S555" i="34"/>
  <c r="M554" i="34"/>
  <c r="I554" i="34"/>
  <c r="N554" i="34"/>
  <c r="S554" i="34"/>
  <c r="M553" i="34"/>
  <c r="I553" i="34"/>
  <c r="N553" i="34"/>
  <c r="S553" i="34"/>
  <c r="M552" i="34"/>
  <c r="I552" i="34"/>
  <c r="N552" i="34"/>
  <c r="S552" i="34"/>
  <c r="M551" i="34"/>
  <c r="I551" i="34"/>
  <c r="N551" i="34"/>
  <c r="S551" i="34"/>
  <c r="M550" i="34"/>
  <c r="I550" i="34"/>
  <c r="N550" i="34"/>
  <c r="S550" i="34"/>
  <c r="M549" i="34"/>
  <c r="I549" i="34"/>
  <c r="N549" i="34"/>
  <c r="S549" i="34"/>
  <c r="M548" i="34"/>
  <c r="I548" i="34"/>
  <c r="N548" i="34"/>
  <c r="S548" i="34"/>
  <c r="M547" i="34"/>
  <c r="I547" i="34"/>
  <c r="N547" i="34"/>
  <c r="S547" i="34"/>
  <c r="M546" i="34"/>
  <c r="I546" i="34"/>
  <c r="N546" i="34"/>
  <c r="S546" i="34"/>
  <c r="M545" i="34"/>
  <c r="I545" i="34"/>
  <c r="N545" i="34"/>
  <c r="S545" i="34"/>
  <c r="M544" i="34"/>
  <c r="I544" i="34"/>
  <c r="N544" i="34"/>
  <c r="S544" i="34"/>
  <c r="M543" i="34"/>
  <c r="I543" i="34"/>
  <c r="N543" i="34"/>
  <c r="S543" i="34"/>
  <c r="M542" i="34"/>
  <c r="I542" i="34"/>
  <c r="N542" i="34"/>
  <c r="S542" i="34"/>
  <c r="M541" i="34"/>
  <c r="I541" i="34"/>
  <c r="N541" i="34"/>
  <c r="S541" i="34"/>
  <c r="M540" i="34"/>
  <c r="I540" i="34"/>
  <c r="N540" i="34"/>
  <c r="S540" i="34"/>
  <c r="M539" i="34"/>
  <c r="I539" i="34"/>
  <c r="N539" i="34"/>
  <c r="S539" i="34"/>
  <c r="M538" i="34"/>
  <c r="I538" i="34"/>
  <c r="N538" i="34"/>
  <c r="S538" i="34"/>
  <c r="M537" i="34"/>
  <c r="I537" i="34"/>
  <c r="N537" i="34"/>
  <c r="S537" i="34"/>
  <c r="M536" i="34"/>
  <c r="I536" i="34"/>
  <c r="N536" i="34"/>
  <c r="S536" i="34"/>
  <c r="M535" i="34"/>
  <c r="I535" i="34"/>
  <c r="N535" i="34"/>
  <c r="S535" i="34"/>
  <c r="M534" i="34"/>
  <c r="I534" i="34"/>
  <c r="N534" i="34"/>
  <c r="S534" i="34"/>
  <c r="M533" i="34"/>
  <c r="I533" i="34"/>
  <c r="N533" i="34"/>
  <c r="S533" i="34"/>
  <c r="M532" i="34"/>
  <c r="I532" i="34"/>
  <c r="N532" i="34"/>
  <c r="S532" i="34"/>
  <c r="M531" i="34"/>
  <c r="I531" i="34"/>
  <c r="N531" i="34"/>
  <c r="S531" i="34"/>
  <c r="M530" i="34"/>
  <c r="I530" i="34"/>
  <c r="N530" i="34"/>
  <c r="S530" i="34"/>
  <c r="M529" i="34"/>
  <c r="I529" i="34"/>
  <c r="N529" i="34"/>
  <c r="S529" i="34"/>
  <c r="M528" i="34"/>
  <c r="I528" i="34"/>
  <c r="N528" i="34"/>
  <c r="S528" i="34"/>
  <c r="M527" i="34"/>
  <c r="I527" i="34"/>
  <c r="N527" i="34"/>
  <c r="S527" i="34"/>
  <c r="M526" i="34"/>
  <c r="I526" i="34"/>
  <c r="N526" i="34"/>
  <c r="S526" i="34"/>
  <c r="M525" i="34"/>
  <c r="I525" i="34"/>
  <c r="N525" i="34"/>
  <c r="S525" i="34"/>
  <c r="M524" i="34"/>
  <c r="I524" i="34"/>
  <c r="N524" i="34"/>
  <c r="S524" i="34"/>
  <c r="M523" i="34"/>
  <c r="I523" i="34"/>
  <c r="N523" i="34"/>
  <c r="S523" i="34"/>
  <c r="M522" i="34"/>
  <c r="I522" i="34"/>
  <c r="N522" i="34"/>
  <c r="S522" i="34"/>
  <c r="M521" i="34"/>
  <c r="I521" i="34"/>
  <c r="N521" i="34"/>
  <c r="S521" i="34"/>
  <c r="M520" i="34"/>
  <c r="I520" i="34"/>
  <c r="N520" i="34"/>
  <c r="S520" i="34"/>
  <c r="M519" i="34"/>
  <c r="I519" i="34"/>
  <c r="N519" i="34"/>
  <c r="S519" i="34"/>
  <c r="M518" i="34"/>
  <c r="I518" i="34"/>
  <c r="N518" i="34"/>
  <c r="S518" i="34"/>
  <c r="M517" i="34"/>
  <c r="I517" i="34"/>
  <c r="N517" i="34"/>
  <c r="S517" i="34"/>
  <c r="M516" i="34"/>
  <c r="I516" i="34"/>
  <c r="N516" i="34"/>
  <c r="S516" i="34"/>
  <c r="M515" i="34"/>
  <c r="I515" i="34"/>
  <c r="N515" i="34"/>
  <c r="S515" i="34"/>
  <c r="M514" i="34"/>
  <c r="I514" i="34"/>
  <c r="N514" i="34"/>
  <c r="S514" i="34"/>
  <c r="M513" i="34"/>
  <c r="I513" i="34"/>
  <c r="N513" i="34"/>
  <c r="S513" i="34"/>
  <c r="M512" i="34"/>
  <c r="I512" i="34"/>
  <c r="N512" i="34"/>
  <c r="S512" i="34"/>
  <c r="M511" i="34"/>
  <c r="I511" i="34"/>
  <c r="N511" i="34"/>
  <c r="S511" i="34"/>
  <c r="M510" i="34"/>
  <c r="I510" i="34"/>
  <c r="N510" i="34"/>
  <c r="S510" i="34"/>
  <c r="M509" i="34"/>
  <c r="I509" i="34"/>
  <c r="N509" i="34"/>
  <c r="S509" i="34"/>
  <c r="M508" i="34"/>
  <c r="I508" i="34"/>
  <c r="N508" i="34"/>
  <c r="S508" i="34"/>
  <c r="M507" i="34"/>
  <c r="I507" i="34"/>
  <c r="N507" i="34"/>
  <c r="S507" i="34"/>
  <c r="M506" i="34"/>
  <c r="I506" i="34"/>
  <c r="N506" i="34"/>
  <c r="S506" i="34"/>
  <c r="M505" i="34"/>
  <c r="I505" i="34"/>
  <c r="N505" i="34"/>
  <c r="S505" i="34"/>
  <c r="M504" i="34"/>
  <c r="I504" i="34"/>
  <c r="N504" i="34"/>
  <c r="S504" i="34"/>
  <c r="M503" i="34"/>
  <c r="I503" i="34"/>
  <c r="N503" i="34"/>
  <c r="S503" i="34"/>
  <c r="M502" i="34"/>
  <c r="I502" i="34"/>
  <c r="N502" i="34"/>
  <c r="S502" i="34"/>
  <c r="M501" i="34"/>
  <c r="I501" i="34"/>
  <c r="N501" i="34"/>
  <c r="S501" i="34"/>
  <c r="M500" i="34"/>
  <c r="I500" i="34"/>
  <c r="N500" i="34"/>
  <c r="S500" i="34"/>
  <c r="M499" i="34"/>
  <c r="I499" i="34"/>
  <c r="N499" i="34"/>
  <c r="S499" i="34"/>
  <c r="M498" i="34"/>
  <c r="I498" i="34"/>
  <c r="N498" i="34"/>
  <c r="S498" i="34"/>
  <c r="M497" i="34"/>
  <c r="I497" i="34"/>
  <c r="N497" i="34"/>
  <c r="S497" i="34"/>
  <c r="M496" i="34"/>
  <c r="I496" i="34"/>
  <c r="N496" i="34"/>
  <c r="S496" i="34"/>
  <c r="M495" i="34"/>
  <c r="I495" i="34"/>
  <c r="N495" i="34"/>
  <c r="S495" i="34"/>
  <c r="M494" i="34"/>
  <c r="I494" i="34"/>
  <c r="N494" i="34"/>
  <c r="S494" i="34"/>
  <c r="M493" i="34"/>
  <c r="I493" i="34"/>
  <c r="N493" i="34"/>
  <c r="S493" i="34"/>
  <c r="M492" i="34"/>
  <c r="I492" i="34"/>
  <c r="N492" i="34"/>
  <c r="S492" i="34"/>
  <c r="M491" i="34"/>
  <c r="I491" i="34"/>
  <c r="N491" i="34"/>
  <c r="S491" i="34"/>
  <c r="M490" i="34"/>
  <c r="I490" i="34"/>
  <c r="N490" i="34"/>
  <c r="S490" i="34"/>
  <c r="M489" i="34"/>
  <c r="I489" i="34"/>
  <c r="N489" i="34"/>
  <c r="S489" i="34"/>
  <c r="M488" i="34"/>
  <c r="I488" i="34"/>
  <c r="N488" i="34"/>
  <c r="S488" i="34"/>
  <c r="M487" i="34"/>
  <c r="I487" i="34"/>
  <c r="N487" i="34"/>
  <c r="S487" i="34"/>
  <c r="M486" i="34"/>
  <c r="I486" i="34"/>
  <c r="N486" i="34"/>
  <c r="S486" i="34"/>
  <c r="M485" i="34"/>
  <c r="I485" i="34"/>
  <c r="N485" i="34"/>
  <c r="S485" i="34"/>
  <c r="M484" i="34"/>
  <c r="I484" i="34"/>
  <c r="N484" i="34"/>
  <c r="S484" i="34"/>
  <c r="M483" i="34"/>
  <c r="I483" i="34"/>
  <c r="N483" i="34"/>
  <c r="S483" i="34"/>
  <c r="M482" i="34"/>
  <c r="I482" i="34"/>
  <c r="N482" i="34"/>
  <c r="S482" i="34"/>
  <c r="M481" i="34"/>
  <c r="I481" i="34"/>
  <c r="N481" i="34"/>
  <c r="S481" i="34"/>
  <c r="M480" i="34"/>
  <c r="I480" i="34"/>
  <c r="N480" i="34"/>
  <c r="S480" i="34"/>
  <c r="M479" i="34"/>
  <c r="I479" i="34"/>
  <c r="N479" i="34"/>
  <c r="S479" i="34"/>
  <c r="M478" i="34"/>
  <c r="I478" i="34"/>
  <c r="N478" i="34"/>
  <c r="S478" i="34"/>
  <c r="M477" i="34"/>
  <c r="I477" i="34"/>
  <c r="N477" i="34"/>
  <c r="S477" i="34"/>
  <c r="M476" i="34"/>
  <c r="I476" i="34"/>
  <c r="N476" i="34"/>
  <c r="S476" i="34"/>
  <c r="M475" i="34"/>
  <c r="I475" i="34"/>
  <c r="N475" i="34"/>
  <c r="S475" i="34"/>
  <c r="M474" i="34"/>
  <c r="I474" i="34"/>
  <c r="N474" i="34"/>
  <c r="S474" i="34"/>
  <c r="M473" i="34"/>
  <c r="I473" i="34"/>
  <c r="N473" i="34"/>
  <c r="S473" i="34"/>
  <c r="M472" i="34"/>
  <c r="I472" i="34"/>
  <c r="N472" i="34"/>
  <c r="S472" i="34"/>
  <c r="M471" i="34"/>
  <c r="I471" i="34"/>
  <c r="N471" i="34"/>
  <c r="S471" i="34"/>
  <c r="M470" i="34"/>
  <c r="I470" i="34"/>
  <c r="N470" i="34"/>
  <c r="S470" i="34"/>
  <c r="M469" i="34"/>
  <c r="I469" i="34"/>
  <c r="N469" i="34"/>
  <c r="S469" i="34"/>
  <c r="M468" i="34"/>
  <c r="I468" i="34"/>
  <c r="N468" i="34"/>
  <c r="S468" i="34"/>
  <c r="M467" i="34"/>
  <c r="I467" i="34"/>
  <c r="N467" i="34"/>
  <c r="S467" i="34"/>
  <c r="M466" i="34"/>
  <c r="I466" i="34"/>
  <c r="N466" i="34"/>
  <c r="S466" i="34"/>
  <c r="M465" i="34"/>
  <c r="I465" i="34"/>
  <c r="N465" i="34"/>
  <c r="S465" i="34"/>
  <c r="M464" i="34"/>
  <c r="I464" i="34"/>
  <c r="N464" i="34"/>
  <c r="S464" i="34"/>
  <c r="M463" i="34"/>
  <c r="I463" i="34"/>
  <c r="N463" i="34"/>
  <c r="S463" i="34"/>
  <c r="M462" i="34"/>
  <c r="I462" i="34"/>
  <c r="N462" i="34"/>
  <c r="S462" i="34"/>
  <c r="M461" i="34"/>
  <c r="I461" i="34"/>
  <c r="N461" i="34"/>
  <c r="S461" i="34"/>
  <c r="M460" i="34"/>
  <c r="I460" i="34"/>
  <c r="N460" i="34"/>
  <c r="S460" i="34"/>
  <c r="M459" i="34"/>
  <c r="I459" i="34"/>
  <c r="N459" i="34"/>
  <c r="S459" i="34"/>
  <c r="M458" i="34"/>
  <c r="I458" i="34"/>
  <c r="N458" i="34"/>
  <c r="S458" i="34"/>
  <c r="M457" i="34"/>
  <c r="I457" i="34"/>
  <c r="N457" i="34"/>
  <c r="S457" i="34"/>
  <c r="M456" i="34"/>
  <c r="I456" i="34"/>
  <c r="N456" i="34"/>
  <c r="S456" i="34"/>
  <c r="M455" i="34"/>
  <c r="I455" i="34"/>
  <c r="N455" i="34"/>
  <c r="S455" i="34"/>
  <c r="M454" i="34"/>
  <c r="I454" i="34"/>
  <c r="N454" i="34"/>
  <c r="S454" i="34"/>
  <c r="M453" i="34"/>
  <c r="I453" i="34"/>
  <c r="N453" i="34"/>
  <c r="S453" i="34"/>
  <c r="M452" i="34"/>
  <c r="I452" i="34"/>
  <c r="N452" i="34"/>
  <c r="S452" i="34"/>
  <c r="M451" i="34"/>
  <c r="I451" i="34"/>
  <c r="N451" i="34"/>
  <c r="S451" i="34"/>
  <c r="M450" i="34"/>
  <c r="I450" i="34"/>
  <c r="N450" i="34"/>
  <c r="S450" i="34"/>
  <c r="M449" i="34"/>
  <c r="I449" i="34"/>
  <c r="N449" i="34"/>
  <c r="S449" i="34"/>
  <c r="M448" i="34"/>
  <c r="I448" i="34"/>
  <c r="N448" i="34"/>
  <c r="S448" i="34"/>
  <c r="M447" i="34"/>
  <c r="I447" i="34"/>
  <c r="N447" i="34"/>
  <c r="S447" i="34"/>
  <c r="M446" i="34"/>
  <c r="I446" i="34"/>
  <c r="N446" i="34"/>
  <c r="S446" i="34"/>
  <c r="M445" i="34"/>
  <c r="I445" i="34"/>
  <c r="N445" i="34"/>
  <c r="S445" i="34"/>
  <c r="S444" i="34"/>
  <c r="M443" i="34"/>
  <c r="I443" i="34"/>
  <c r="N443" i="34"/>
  <c r="S443" i="34"/>
  <c r="M442" i="34"/>
  <c r="I442" i="34"/>
  <c r="N442" i="34"/>
  <c r="S442" i="34"/>
  <c r="M441" i="34"/>
  <c r="I441" i="34"/>
  <c r="N441" i="34"/>
  <c r="S441" i="34"/>
  <c r="M440" i="34"/>
  <c r="I440" i="34"/>
  <c r="N440" i="34"/>
  <c r="S440" i="34"/>
  <c r="M439" i="34"/>
  <c r="I439" i="34"/>
  <c r="N439" i="34"/>
  <c r="S439" i="34"/>
  <c r="M438" i="34"/>
  <c r="I438" i="34"/>
  <c r="N438" i="34"/>
  <c r="S438" i="34"/>
  <c r="M437" i="34"/>
  <c r="I437" i="34"/>
  <c r="N437" i="34"/>
  <c r="S437" i="34"/>
  <c r="M436" i="34"/>
  <c r="I436" i="34"/>
  <c r="N436" i="34"/>
  <c r="S436" i="34"/>
  <c r="M435" i="34"/>
  <c r="I435" i="34"/>
  <c r="N435" i="34"/>
  <c r="S435" i="34"/>
  <c r="M434" i="34"/>
  <c r="I434" i="34"/>
  <c r="N434" i="34"/>
  <c r="S434" i="34"/>
  <c r="M433" i="34"/>
  <c r="I433" i="34"/>
  <c r="N433" i="34"/>
  <c r="S433" i="34"/>
  <c r="M432" i="34"/>
  <c r="I432" i="34"/>
  <c r="N432" i="34"/>
  <c r="S432" i="34"/>
  <c r="M431" i="34"/>
  <c r="I431" i="34"/>
  <c r="N431" i="34"/>
  <c r="S431" i="34"/>
  <c r="M430" i="34"/>
  <c r="I430" i="34"/>
  <c r="N430" i="34"/>
  <c r="S430" i="34"/>
  <c r="M429" i="34"/>
  <c r="I429" i="34"/>
  <c r="N429" i="34"/>
  <c r="S429" i="34"/>
  <c r="M428" i="34"/>
  <c r="I428" i="34"/>
  <c r="N428" i="34"/>
  <c r="S428" i="34"/>
  <c r="M427" i="34"/>
  <c r="I427" i="34"/>
  <c r="N427" i="34"/>
  <c r="S427" i="34"/>
  <c r="M426" i="34"/>
  <c r="I426" i="34"/>
  <c r="N426" i="34"/>
  <c r="S426" i="34"/>
  <c r="M425" i="34"/>
  <c r="I425" i="34"/>
  <c r="N425" i="34"/>
  <c r="S425" i="34"/>
  <c r="M424" i="34"/>
  <c r="I424" i="34"/>
  <c r="N424" i="34"/>
  <c r="S424" i="34"/>
  <c r="M423" i="34"/>
  <c r="I423" i="34"/>
  <c r="N423" i="34"/>
  <c r="S423" i="34"/>
  <c r="M422" i="34"/>
  <c r="I422" i="34"/>
  <c r="N422" i="34"/>
  <c r="S422" i="34"/>
  <c r="M421" i="34"/>
  <c r="I421" i="34"/>
  <c r="N421" i="34"/>
  <c r="S421" i="34"/>
  <c r="M420" i="34"/>
  <c r="I420" i="34"/>
  <c r="N420" i="34"/>
  <c r="S420" i="34"/>
  <c r="M419" i="34"/>
  <c r="I419" i="34"/>
  <c r="N419" i="34"/>
  <c r="S419" i="34"/>
  <c r="M418" i="34"/>
  <c r="I418" i="34"/>
  <c r="N418" i="34"/>
  <c r="S418" i="34"/>
  <c r="M417" i="34"/>
  <c r="I417" i="34"/>
  <c r="N417" i="34"/>
  <c r="S417" i="34"/>
  <c r="M416" i="34"/>
  <c r="I416" i="34"/>
  <c r="N416" i="34"/>
  <c r="S416" i="34"/>
  <c r="M415" i="34"/>
  <c r="I415" i="34"/>
  <c r="N415" i="34"/>
  <c r="S415" i="34"/>
  <c r="M414" i="34"/>
  <c r="I414" i="34"/>
  <c r="N414" i="34"/>
  <c r="S414" i="34"/>
  <c r="M413" i="34"/>
  <c r="I413" i="34"/>
  <c r="N413" i="34"/>
  <c r="S413" i="34"/>
  <c r="M412" i="34"/>
  <c r="I412" i="34"/>
  <c r="N412" i="34"/>
  <c r="S412" i="34"/>
  <c r="M411" i="34"/>
  <c r="I411" i="34"/>
  <c r="N411" i="34"/>
  <c r="S411" i="34"/>
  <c r="M410" i="34"/>
  <c r="I410" i="34"/>
  <c r="N410" i="34"/>
  <c r="S410" i="34"/>
  <c r="S409" i="34"/>
  <c r="S408" i="34"/>
  <c r="M407" i="34"/>
  <c r="I407" i="34"/>
  <c r="N407" i="34"/>
  <c r="S407" i="34"/>
  <c r="M406" i="34"/>
  <c r="I406" i="34"/>
  <c r="N406" i="34"/>
  <c r="S406" i="34"/>
  <c r="S405" i="34"/>
  <c r="M404" i="34"/>
  <c r="I404" i="34"/>
  <c r="N404" i="34"/>
  <c r="S404" i="34"/>
  <c r="M403" i="34"/>
  <c r="I403" i="34"/>
  <c r="N403" i="34"/>
  <c r="S403" i="34"/>
  <c r="M402" i="34"/>
  <c r="I402" i="34"/>
  <c r="N402" i="34"/>
  <c r="S402" i="34"/>
  <c r="M401" i="34"/>
  <c r="I401" i="34"/>
  <c r="N401" i="34"/>
  <c r="S401" i="34"/>
  <c r="M400" i="34"/>
  <c r="I400" i="34"/>
  <c r="N400" i="34"/>
  <c r="S400" i="34"/>
  <c r="M399" i="34"/>
  <c r="I399" i="34"/>
  <c r="N399" i="34"/>
  <c r="S399" i="34"/>
  <c r="M398" i="34"/>
  <c r="I398" i="34"/>
  <c r="N398" i="34"/>
  <c r="S398" i="34"/>
  <c r="S397" i="34"/>
  <c r="M396" i="34"/>
  <c r="I396" i="34"/>
  <c r="N396" i="34"/>
  <c r="S396" i="34"/>
  <c r="M395" i="34"/>
  <c r="I395" i="34"/>
  <c r="N395" i="34"/>
  <c r="S395" i="34"/>
  <c r="M394" i="34"/>
  <c r="I394" i="34"/>
  <c r="N394" i="34"/>
  <c r="S394" i="34"/>
  <c r="S393" i="34"/>
  <c r="S392" i="34"/>
  <c r="M391" i="34"/>
  <c r="I391" i="34"/>
  <c r="N391" i="34"/>
  <c r="S391" i="34"/>
  <c r="S390" i="34"/>
  <c r="M389" i="34"/>
  <c r="I389" i="34"/>
  <c r="N389" i="34"/>
  <c r="S389" i="34"/>
  <c r="M388" i="34"/>
  <c r="I388" i="34"/>
  <c r="N388" i="34"/>
  <c r="S388" i="34"/>
  <c r="M387" i="34"/>
  <c r="I387" i="34"/>
  <c r="N387" i="34"/>
  <c r="S387" i="34"/>
  <c r="S386" i="34"/>
  <c r="S385" i="34"/>
  <c r="M384" i="34"/>
  <c r="I384" i="34"/>
  <c r="N384" i="34"/>
  <c r="S384" i="34"/>
  <c r="M383" i="34"/>
  <c r="I383" i="34"/>
  <c r="N383" i="34"/>
  <c r="S383" i="34"/>
  <c r="M382" i="34"/>
  <c r="I382" i="34"/>
  <c r="N382" i="34"/>
  <c r="S382" i="34"/>
  <c r="M381" i="34"/>
  <c r="I381" i="34"/>
  <c r="N381" i="34"/>
  <c r="S381" i="34"/>
  <c r="S380" i="34"/>
  <c r="M379" i="34"/>
  <c r="I379" i="34"/>
  <c r="N379" i="34"/>
  <c r="S379" i="34"/>
  <c r="M378" i="34"/>
  <c r="I378" i="34"/>
  <c r="N378" i="34"/>
  <c r="S378" i="34"/>
  <c r="M377" i="34"/>
  <c r="I377" i="34"/>
  <c r="N377" i="34"/>
  <c r="S377" i="34"/>
  <c r="M376" i="34"/>
  <c r="I376" i="34"/>
  <c r="N376" i="34"/>
  <c r="S376" i="34"/>
  <c r="M375" i="34"/>
  <c r="I375" i="34"/>
  <c r="N375" i="34"/>
  <c r="S375" i="34"/>
  <c r="M374" i="34"/>
  <c r="I374" i="34"/>
  <c r="N374" i="34"/>
  <c r="S374" i="34"/>
  <c r="M373" i="34"/>
  <c r="I373" i="34"/>
  <c r="N373" i="34"/>
  <c r="S373" i="34"/>
  <c r="M372" i="34"/>
  <c r="I372" i="34"/>
  <c r="N372" i="34"/>
  <c r="S372" i="34"/>
  <c r="M371" i="34"/>
  <c r="I371" i="34"/>
  <c r="N371" i="34"/>
  <c r="S371" i="34"/>
  <c r="M370" i="34"/>
  <c r="I370" i="34"/>
  <c r="N370" i="34"/>
  <c r="S370" i="34"/>
  <c r="M369" i="34"/>
  <c r="I369" i="34"/>
  <c r="N369" i="34"/>
  <c r="S369" i="34"/>
  <c r="M368" i="34"/>
  <c r="I368" i="34"/>
  <c r="N368" i="34"/>
  <c r="S368" i="34"/>
  <c r="M367" i="34"/>
  <c r="I367" i="34"/>
  <c r="N367" i="34"/>
  <c r="S367" i="34"/>
  <c r="S366" i="34"/>
  <c r="M365" i="34"/>
  <c r="I365" i="34"/>
  <c r="N365" i="34"/>
  <c r="S365" i="34"/>
  <c r="M364" i="34"/>
  <c r="I364" i="34"/>
  <c r="N364" i="34"/>
  <c r="S364" i="34"/>
  <c r="M363" i="34"/>
  <c r="I363" i="34"/>
  <c r="N363" i="34"/>
  <c r="S363" i="34"/>
  <c r="S362" i="34"/>
  <c r="M361" i="34"/>
  <c r="I361" i="34"/>
  <c r="N361" i="34"/>
  <c r="S361" i="34"/>
  <c r="M360" i="34"/>
  <c r="I360" i="34"/>
  <c r="N360" i="34"/>
  <c r="S360" i="34"/>
  <c r="S359" i="34"/>
  <c r="M358" i="34"/>
  <c r="I358" i="34"/>
  <c r="N358" i="34"/>
  <c r="S358" i="34"/>
  <c r="M357" i="34"/>
  <c r="I357" i="34"/>
  <c r="N357" i="34"/>
  <c r="S357" i="34"/>
  <c r="M356" i="34"/>
  <c r="I356" i="34"/>
  <c r="N356" i="34"/>
  <c r="S356" i="34"/>
  <c r="M355" i="34"/>
  <c r="I355" i="34"/>
  <c r="N355" i="34"/>
  <c r="S355" i="34"/>
  <c r="M354" i="34"/>
  <c r="I354" i="34"/>
  <c r="N354" i="34"/>
  <c r="S354" i="34"/>
  <c r="M353" i="34"/>
  <c r="I353" i="34"/>
  <c r="N353" i="34"/>
  <c r="S353" i="34"/>
  <c r="M352" i="34"/>
  <c r="I352" i="34"/>
  <c r="N352" i="34"/>
  <c r="S352" i="34"/>
  <c r="M351" i="34"/>
  <c r="I351" i="34"/>
  <c r="N351" i="34"/>
  <c r="S351" i="34"/>
  <c r="S350" i="34"/>
  <c r="M349" i="34"/>
  <c r="I349" i="34"/>
  <c r="N349" i="34"/>
  <c r="S349" i="34"/>
  <c r="S348" i="34"/>
  <c r="M347" i="34"/>
  <c r="I347" i="34"/>
  <c r="N347" i="34"/>
  <c r="S347" i="34"/>
  <c r="S346" i="34"/>
  <c r="M345" i="34"/>
  <c r="I345" i="34"/>
  <c r="N345" i="34"/>
  <c r="S345" i="34"/>
  <c r="M344" i="34"/>
  <c r="I344" i="34"/>
  <c r="N344" i="34"/>
  <c r="S344" i="34"/>
  <c r="M343" i="34"/>
  <c r="I343" i="34"/>
  <c r="N343" i="34"/>
  <c r="S343" i="34"/>
  <c r="M342" i="34"/>
  <c r="I342" i="34"/>
  <c r="N342" i="34"/>
  <c r="S342" i="34"/>
  <c r="M341" i="34"/>
  <c r="I341" i="34"/>
  <c r="N341" i="34"/>
  <c r="S341" i="34"/>
  <c r="M340" i="34"/>
  <c r="I340" i="34"/>
  <c r="N340" i="34"/>
  <c r="S340" i="34"/>
  <c r="S339" i="34"/>
  <c r="M338" i="34"/>
  <c r="I338" i="34"/>
  <c r="N338" i="34"/>
  <c r="S338" i="34"/>
  <c r="M337" i="34"/>
  <c r="I337" i="34"/>
  <c r="N337" i="34"/>
  <c r="S337" i="34"/>
  <c r="M336" i="34"/>
  <c r="I336" i="34"/>
  <c r="N336" i="34"/>
  <c r="S336" i="34"/>
  <c r="M335" i="34"/>
  <c r="I335" i="34"/>
  <c r="N335" i="34"/>
  <c r="S335" i="34"/>
  <c r="M334" i="34"/>
  <c r="I334" i="34"/>
  <c r="N334" i="34"/>
  <c r="S334" i="34"/>
  <c r="M333" i="34"/>
  <c r="I333" i="34"/>
  <c r="N333" i="34"/>
  <c r="S333" i="34"/>
  <c r="M332" i="34"/>
  <c r="I332" i="34"/>
  <c r="N332" i="34"/>
  <c r="S332" i="34"/>
  <c r="M331" i="34"/>
  <c r="I331" i="34"/>
  <c r="N331" i="34"/>
  <c r="S331" i="34"/>
  <c r="M330" i="34"/>
  <c r="I330" i="34"/>
  <c r="N330" i="34"/>
  <c r="S330" i="34"/>
  <c r="M329" i="34"/>
  <c r="I329" i="34"/>
  <c r="N329" i="34"/>
  <c r="S329" i="34"/>
  <c r="M328" i="34"/>
  <c r="I328" i="34"/>
  <c r="N328" i="34"/>
  <c r="S328" i="34"/>
  <c r="M327" i="34"/>
  <c r="I327" i="34"/>
  <c r="N327" i="34"/>
  <c r="S327" i="34"/>
  <c r="M326" i="34"/>
  <c r="I326" i="34"/>
  <c r="N326" i="34"/>
  <c r="S326" i="34"/>
  <c r="M325" i="34"/>
  <c r="I325" i="34"/>
  <c r="N325" i="34"/>
  <c r="S325" i="34"/>
  <c r="M324" i="34"/>
  <c r="I324" i="34"/>
  <c r="N324" i="34"/>
  <c r="S324" i="34"/>
  <c r="M323" i="34"/>
  <c r="I323" i="34"/>
  <c r="N323" i="34"/>
  <c r="S323" i="34"/>
  <c r="M322" i="34"/>
  <c r="I322" i="34"/>
  <c r="N322" i="34"/>
  <c r="S322" i="34"/>
  <c r="M321" i="34"/>
  <c r="I321" i="34"/>
  <c r="N321" i="34"/>
  <c r="S321" i="34"/>
  <c r="M320" i="34"/>
  <c r="I320" i="34"/>
  <c r="N320" i="34"/>
  <c r="S320" i="34"/>
  <c r="M319" i="34"/>
  <c r="I319" i="34"/>
  <c r="N319" i="34"/>
  <c r="S319" i="34"/>
  <c r="M318" i="34"/>
  <c r="I318" i="34"/>
  <c r="N318" i="34"/>
  <c r="S318" i="34"/>
  <c r="M317" i="34"/>
  <c r="I317" i="34"/>
  <c r="N317" i="34"/>
  <c r="S317" i="34"/>
  <c r="M316" i="34"/>
  <c r="I316" i="34"/>
  <c r="N316" i="34"/>
  <c r="S316" i="34"/>
  <c r="M315" i="34"/>
  <c r="I315" i="34"/>
  <c r="N315" i="34"/>
  <c r="S315" i="34"/>
  <c r="M314" i="34"/>
  <c r="I314" i="34"/>
  <c r="N314" i="34"/>
  <c r="S314" i="34"/>
  <c r="M313" i="34"/>
  <c r="I313" i="34"/>
  <c r="N313" i="34"/>
  <c r="S313" i="34"/>
  <c r="M312" i="34"/>
  <c r="I312" i="34"/>
  <c r="N312" i="34"/>
  <c r="S312" i="34"/>
  <c r="M311" i="34"/>
  <c r="I311" i="34"/>
  <c r="N311" i="34"/>
  <c r="S311" i="34"/>
  <c r="M310" i="34"/>
  <c r="I310" i="34"/>
  <c r="N310" i="34"/>
  <c r="S310" i="34"/>
  <c r="M309" i="34"/>
  <c r="I309" i="34"/>
  <c r="N309" i="34"/>
  <c r="S309" i="34"/>
  <c r="M308" i="34"/>
  <c r="I308" i="34"/>
  <c r="N308" i="34"/>
  <c r="S308" i="34"/>
  <c r="M307" i="34"/>
  <c r="I307" i="34"/>
  <c r="N307" i="34"/>
  <c r="S307" i="34"/>
  <c r="M306" i="34"/>
  <c r="I306" i="34"/>
  <c r="N306" i="34"/>
  <c r="S306" i="34"/>
  <c r="M305" i="34"/>
  <c r="I305" i="34"/>
  <c r="N305" i="34"/>
  <c r="S305" i="34"/>
  <c r="M304" i="34"/>
  <c r="I304" i="34"/>
  <c r="N304" i="34"/>
  <c r="S304" i="34"/>
  <c r="S303" i="34"/>
  <c r="M302" i="34"/>
  <c r="I302" i="34"/>
  <c r="N302" i="34"/>
  <c r="S302" i="34"/>
  <c r="M301" i="34"/>
  <c r="I301" i="34"/>
  <c r="N301" i="34"/>
  <c r="S301" i="34"/>
  <c r="M300" i="34"/>
  <c r="I300" i="34"/>
  <c r="N300" i="34"/>
  <c r="S300" i="34"/>
  <c r="M299" i="34"/>
  <c r="I299" i="34"/>
  <c r="N299" i="34"/>
  <c r="S299" i="34"/>
  <c r="M298" i="34"/>
  <c r="I298" i="34"/>
  <c r="N298" i="34"/>
  <c r="S298" i="34"/>
  <c r="M297" i="34"/>
  <c r="I297" i="34"/>
  <c r="N297" i="34"/>
  <c r="S297" i="34"/>
  <c r="M296" i="34"/>
  <c r="I296" i="34"/>
  <c r="N296" i="34"/>
  <c r="S296" i="34"/>
  <c r="M295" i="34"/>
  <c r="I295" i="34"/>
  <c r="N295" i="34"/>
  <c r="S295" i="34"/>
  <c r="M294" i="34"/>
  <c r="I294" i="34"/>
  <c r="N294" i="34"/>
  <c r="S294" i="34"/>
  <c r="M293" i="34"/>
  <c r="I293" i="34"/>
  <c r="N293" i="34"/>
  <c r="S293" i="34"/>
  <c r="S292" i="34"/>
  <c r="M291" i="34"/>
  <c r="I291" i="34"/>
  <c r="N291" i="34"/>
  <c r="S291" i="34"/>
  <c r="M290" i="34"/>
  <c r="I290" i="34"/>
  <c r="N290" i="34"/>
  <c r="S290" i="34"/>
  <c r="M289" i="34"/>
  <c r="I289" i="34"/>
  <c r="N289" i="34"/>
  <c r="S289" i="34"/>
  <c r="M288" i="34"/>
  <c r="I288" i="34"/>
  <c r="N288" i="34"/>
  <c r="S288" i="34"/>
  <c r="M287" i="34"/>
  <c r="I287" i="34"/>
  <c r="N287" i="34"/>
  <c r="S287" i="34"/>
  <c r="M286" i="34"/>
  <c r="I286" i="34"/>
  <c r="N286" i="34"/>
  <c r="S286" i="34"/>
  <c r="M285" i="34"/>
  <c r="I285" i="34"/>
  <c r="N285" i="34"/>
  <c r="S285" i="34"/>
  <c r="M284" i="34"/>
  <c r="I284" i="34"/>
  <c r="N284" i="34"/>
  <c r="S284" i="34"/>
  <c r="M283" i="34"/>
  <c r="I283" i="34"/>
  <c r="N283" i="34"/>
  <c r="S283" i="34"/>
  <c r="M282" i="34"/>
  <c r="I282" i="34"/>
  <c r="N282" i="34"/>
  <c r="S282" i="34"/>
  <c r="M281" i="34"/>
  <c r="I281" i="34"/>
  <c r="N281" i="34"/>
  <c r="S281" i="34"/>
  <c r="M280" i="34"/>
  <c r="I280" i="34"/>
  <c r="N280" i="34"/>
  <c r="S280" i="34"/>
  <c r="M279" i="34"/>
  <c r="I279" i="34"/>
  <c r="N279" i="34"/>
  <c r="S279" i="34"/>
  <c r="M278" i="34"/>
  <c r="I278" i="34"/>
  <c r="N278" i="34"/>
  <c r="S278" i="34"/>
  <c r="M277" i="34"/>
  <c r="I277" i="34"/>
  <c r="N277" i="34"/>
  <c r="S277" i="34"/>
  <c r="M276" i="34"/>
  <c r="I276" i="34"/>
  <c r="N276" i="34"/>
  <c r="S276" i="34"/>
  <c r="M275" i="34"/>
  <c r="I275" i="34"/>
  <c r="N275" i="34"/>
  <c r="S275" i="34"/>
  <c r="S274" i="34"/>
  <c r="M273" i="34"/>
  <c r="I273" i="34"/>
  <c r="N273" i="34"/>
  <c r="S273" i="34"/>
  <c r="M272" i="34"/>
  <c r="I272" i="34"/>
  <c r="N272" i="34"/>
  <c r="S272" i="34"/>
  <c r="M271" i="34"/>
  <c r="I271" i="34"/>
  <c r="N271" i="34"/>
  <c r="S271" i="34"/>
  <c r="M270" i="34"/>
  <c r="I270" i="34"/>
  <c r="N270" i="34"/>
  <c r="S270" i="34"/>
  <c r="M269" i="34"/>
  <c r="I269" i="34"/>
  <c r="N269" i="34"/>
  <c r="S269" i="34"/>
  <c r="M268" i="34"/>
  <c r="I268" i="34"/>
  <c r="N268" i="34"/>
  <c r="S268" i="34"/>
  <c r="M267" i="34"/>
  <c r="I267" i="34"/>
  <c r="N267" i="34"/>
  <c r="S267" i="34"/>
  <c r="M266" i="34"/>
  <c r="I266" i="34"/>
  <c r="N266" i="34"/>
  <c r="S266" i="34"/>
  <c r="M265" i="34"/>
  <c r="I265" i="34"/>
  <c r="N265" i="34"/>
  <c r="S265" i="34"/>
  <c r="M264" i="34"/>
  <c r="I264" i="34"/>
  <c r="N264" i="34"/>
  <c r="S264" i="34"/>
  <c r="M263" i="34"/>
  <c r="I263" i="34"/>
  <c r="N263" i="34"/>
  <c r="S263" i="34"/>
  <c r="M262" i="34"/>
  <c r="I262" i="34"/>
  <c r="N262" i="34"/>
  <c r="S262" i="34"/>
  <c r="M261" i="34"/>
  <c r="I261" i="34"/>
  <c r="N261" i="34"/>
  <c r="S261" i="34"/>
  <c r="M260" i="34"/>
  <c r="I260" i="34"/>
  <c r="N260" i="34"/>
  <c r="S260" i="34"/>
  <c r="M259" i="34"/>
  <c r="I259" i="34"/>
  <c r="N259" i="34"/>
  <c r="S259" i="34"/>
  <c r="M258" i="34"/>
  <c r="I258" i="34"/>
  <c r="N258" i="34"/>
  <c r="S258" i="34"/>
  <c r="M257" i="34"/>
  <c r="I257" i="34"/>
  <c r="N257" i="34"/>
  <c r="S257" i="34"/>
  <c r="M256" i="34"/>
  <c r="I256" i="34"/>
  <c r="N256" i="34"/>
  <c r="S256" i="34"/>
  <c r="M255" i="34"/>
  <c r="I255" i="34"/>
  <c r="N255" i="34"/>
  <c r="S255" i="34"/>
  <c r="M254" i="34"/>
  <c r="I254" i="34"/>
  <c r="N254" i="34"/>
  <c r="S254" i="34"/>
  <c r="M253" i="34"/>
  <c r="I253" i="34"/>
  <c r="N253" i="34"/>
  <c r="S253" i="34"/>
  <c r="M252" i="34"/>
  <c r="I252" i="34"/>
  <c r="N252" i="34"/>
  <c r="S252" i="34"/>
  <c r="M251" i="34"/>
  <c r="I251" i="34"/>
  <c r="N251" i="34"/>
  <c r="S251" i="34"/>
  <c r="M250" i="34"/>
  <c r="I250" i="34"/>
  <c r="N250" i="34"/>
  <c r="S250" i="34"/>
  <c r="M249" i="34"/>
  <c r="I249" i="34"/>
  <c r="N249" i="34"/>
  <c r="S249" i="34"/>
  <c r="M248" i="34"/>
  <c r="I248" i="34"/>
  <c r="N248" i="34"/>
  <c r="S248" i="34"/>
  <c r="M247" i="34"/>
  <c r="I247" i="34"/>
  <c r="N247" i="34"/>
  <c r="S247" i="34"/>
  <c r="M246" i="34"/>
  <c r="I246" i="34"/>
  <c r="N246" i="34"/>
  <c r="S246" i="34"/>
  <c r="M245" i="34"/>
  <c r="I245" i="34"/>
  <c r="N245" i="34"/>
  <c r="S245" i="34"/>
  <c r="M244" i="34"/>
  <c r="I244" i="34"/>
  <c r="N244" i="34"/>
  <c r="S244" i="34"/>
  <c r="M243" i="34"/>
  <c r="I243" i="34"/>
  <c r="N243" i="34"/>
  <c r="S243" i="34"/>
  <c r="M242" i="34"/>
  <c r="I242" i="34"/>
  <c r="N242" i="34"/>
  <c r="S242" i="34"/>
  <c r="M241" i="34"/>
  <c r="I241" i="34"/>
  <c r="N241" i="34"/>
  <c r="S241" i="34"/>
  <c r="M240" i="34"/>
  <c r="I240" i="34"/>
  <c r="N240" i="34"/>
  <c r="S240" i="34"/>
  <c r="M239" i="34"/>
  <c r="I239" i="34"/>
  <c r="N239" i="34"/>
  <c r="S239" i="34"/>
  <c r="M238" i="34"/>
  <c r="I238" i="34"/>
  <c r="N238" i="34"/>
  <c r="S238" i="34"/>
  <c r="M237" i="34"/>
  <c r="I237" i="34"/>
  <c r="N237" i="34"/>
  <c r="S237" i="34"/>
  <c r="M236" i="34"/>
  <c r="I236" i="34"/>
  <c r="N236" i="34"/>
  <c r="S236" i="34"/>
  <c r="M235" i="34"/>
  <c r="I235" i="34"/>
  <c r="N235" i="34"/>
  <c r="S235" i="34"/>
  <c r="M234" i="34"/>
  <c r="I234" i="34"/>
  <c r="N234" i="34"/>
  <c r="S234" i="34"/>
  <c r="M233" i="34"/>
  <c r="I233" i="34"/>
  <c r="N233" i="34"/>
  <c r="S233" i="34"/>
  <c r="M232" i="34"/>
  <c r="I232" i="34"/>
  <c r="N232" i="34"/>
  <c r="S232" i="34"/>
  <c r="M231" i="34"/>
  <c r="I231" i="34"/>
  <c r="N231" i="34"/>
  <c r="S231" i="34"/>
  <c r="M230" i="34"/>
  <c r="I230" i="34"/>
  <c r="N230" i="34"/>
  <c r="S230" i="34"/>
  <c r="M229" i="34"/>
  <c r="I229" i="34"/>
  <c r="N229" i="34"/>
  <c r="S229" i="34"/>
  <c r="M228" i="34"/>
  <c r="I228" i="34"/>
  <c r="N228" i="34"/>
  <c r="S228" i="34"/>
  <c r="M227" i="34"/>
  <c r="I227" i="34"/>
  <c r="N227" i="34"/>
  <c r="S227" i="34"/>
  <c r="M226" i="34"/>
  <c r="I226" i="34"/>
  <c r="N226" i="34"/>
  <c r="S226" i="34"/>
  <c r="M225" i="34"/>
  <c r="I225" i="34"/>
  <c r="N225" i="34"/>
  <c r="S225" i="34"/>
  <c r="M224" i="34"/>
  <c r="I224" i="34"/>
  <c r="N224" i="34"/>
  <c r="S224" i="34"/>
  <c r="M223" i="34"/>
  <c r="I223" i="34"/>
  <c r="N223" i="34"/>
  <c r="S223" i="34"/>
  <c r="M222" i="34"/>
  <c r="I222" i="34"/>
  <c r="N222" i="34"/>
  <c r="S222" i="34"/>
  <c r="M221" i="34"/>
  <c r="I221" i="34"/>
  <c r="N221" i="34"/>
  <c r="S221" i="34"/>
  <c r="M220" i="34"/>
  <c r="I220" i="34"/>
  <c r="N220" i="34"/>
  <c r="S220" i="34"/>
  <c r="M219" i="34"/>
  <c r="I219" i="34"/>
  <c r="N219" i="34"/>
  <c r="S219" i="34"/>
  <c r="M218" i="34"/>
  <c r="I218" i="34"/>
  <c r="N218" i="34"/>
  <c r="S218" i="34"/>
  <c r="M217" i="34"/>
  <c r="I217" i="34"/>
  <c r="N217" i="34"/>
  <c r="S217" i="34"/>
  <c r="M216" i="34"/>
  <c r="I216" i="34"/>
  <c r="N216" i="34"/>
  <c r="S216" i="34"/>
  <c r="M215" i="34"/>
  <c r="I215" i="34"/>
  <c r="N215" i="34"/>
  <c r="S215" i="34"/>
  <c r="M214" i="34"/>
  <c r="I214" i="34"/>
  <c r="N214" i="34"/>
  <c r="S214" i="34"/>
  <c r="M213" i="34"/>
  <c r="I213" i="34"/>
  <c r="N213" i="34"/>
  <c r="S213" i="34"/>
  <c r="M212" i="34"/>
  <c r="I212" i="34"/>
  <c r="N212" i="34"/>
  <c r="S212" i="34"/>
  <c r="M211" i="34"/>
  <c r="I211" i="34"/>
  <c r="N211" i="34"/>
  <c r="S211" i="34"/>
  <c r="M210" i="34"/>
  <c r="I210" i="34"/>
  <c r="N210" i="34"/>
  <c r="S210" i="34"/>
  <c r="M209" i="34"/>
  <c r="I209" i="34"/>
  <c r="N209" i="34"/>
  <c r="S209" i="34"/>
  <c r="M208" i="34"/>
  <c r="I208" i="34"/>
  <c r="N208" i="34"/>
  <c r="S208" i="34"/>
  <c r="M207" i="34"/>
  <c r="I207" i="34"/>
  <c r="N207" i="34"/>
  <c r="S207" i="34"/>
  <c r="M206" i="34"/>
  <c r="I206" i="34"/>
  <c r="N206" i="34"/>
  <c r="S206" i="34"/>
  <c r="M205" i="34"/>
  <c r="I205" i="34"/>
  <c r="N205" i="34"/>
  <c r="S205" i="34"/>
  <c r="M204" i="34"/>
  <c r="I204" i="34"/>
  <c r="N204" i="34"/>
  <c r="S204" i="34"/>
  <c r="M203" i="34"/>
  <c r="I203" i="34"/>
  <c r="N203" i="34"/>
  <c r="S203" i="34"/>
  <c r="S202" i="34"/>
  <c r="M201" i="34"/>
  <c r="I201" i="34"/>
  <c r="N201" i="34"/>
  <c r="S201" i="34"/>
  <c r="M200" i="34"/>
  <c r="I200" i="34"/>
  <c r="N200" i="34"/>
  <c r="S200" i="34"/>
  <c r="M199" i="34"/>
  <c r="I199" i="34"/>
  <c r="N199" i="34"/>
  <c r="S199" i="34"/>
  <c r="M198" i="34"/>
  <c r="I198" i="34"/>
  <c r="N198" i="34"/>
  <c r="S198" i="34"/>
  <c r="M197" i="34"/>
  <c r="I197" i="34"/>
  <c r="N197" i="34"/>
  <c r="S197" i="34"/>
  <c r="M196" i="34"/>
  <c r="I196" i="34"/>
  <c r="N196" i="34"/>
  <c r="S196" i="34"/>
  <c r="M195" i="34"/>
  <c r="I195" i="34"/>
  <c r="N195" i="34"/>
  <c r="S195" i="34"/>
  <c r="M194" i="34"/>
  <c r="I194" i="34"/>
  <c r="N194" i="34"/>
  <c r="S194" i="34"/>
  <c r="M193" i="34"/>
  <c r="I193" i="34"/>
  <c r="N193" i="34"/>
  <c r="S193" i="34"/>
  <c r="M192" i="34"/>
  <c r="I192" i="34"/>
  <c r="N192" i="34"/>
  <c r="S192" i="34"/>
  <c r="M191" i="34"/>
  <c r="I191" i="34"/>
  <c r="N191" i="34"/>
  <c r="S191" i="34"/>
  <c r="M190" i="34"/>
  <c r="I190" i="34"/>
  <c r="N190" i="34"/>
  <c r="S190" i="34"/>
  <c r="M189" i="34"/>
  <c r="I189" i="34"/>
  <c r="N189" i="34"/>
  <c r="S189" i="34"/>
  <c r="M188" i="34"/>
  <c r="I188" i="34"/>
  <c r="N188" i="34"/>
  <c r="S188" i="34"/>
  <c r="M187" i="34"/>
  <c r="I187" i="34"/>
  <c r="N187" i="34"/>
  <c r="S187" i="34"/>
  <c r="M186" i="34"/>
  <c r="I186" i="34"/>
  <c r="N186" i="34"/>
  <c r="S186" i="34"/>
  <c r="M185" i="34"/>
  <c r="I185" i="34"/>
  <c r="N185" i="34"/>
  <c r="S185" i="34"/>
  <c r="S184" i="34"/>
  <c r="M183" i="34"/>
  <c r="I183" i="34"/>
  <c r="N183" i="34"/>
  <c r="S183" i="34"/>
  <c r="M182" i="34"/>
  <c r="I182" i="34"/>
  <c r="N182" i="34"/>
  <c r="S182" i="34"/>
  <c r="M181" i="34"/>
  <c r="I181" i="34"/>
  <c r="N181" i="34"/>
  <c r="S181" i="34"/>
  <c r="M180" i="34"/>
  <c r="I180" i="34"/>
  <c r="N180" i="34"/>
  <c r="S180" i="34"/>
  <c r="M179" i="34"/>
  <c r="I179" i="34"/>
  <c r="N179" i="34"/>
  <c r="S179" i="34"/>
  <c r="M178" i="34"/>
  <c r="I178" i="34"/>
  <c r="N178" i="34"/>
  <c r="S178" i="34"/>
  <c r="M177" i="34"/>
  <c r="I177" i="34"/>
  <c r="N177" i="34"/>
  <c r="S177" i="34"/>
  <c r="M176" i="34"/>
  <c r="I176" i="34"/>
  <c r="N176" i="34"/>
  <c r="S176" i="34"/>
  <c r="M175" i="34"/>
  <c r="I175" i="34"/>
  <c r="N175" i="34"/>
  <c r="S175" i="34"/>
  <c r="M174" i="34"/>
  <c r="I174" i="34"/>
  <c r="N174" i="34"/>
  <c r="S174" i="34"/>
  <c r="M173" i="34"/>
  <c r="I173" i="34"/>
  <c r="N173" i="34"/>
  <c r="S173" i="34"/>
  <c r="M172" i="34"/>
  <c r="I172" i="34"/>
  <c r="N172" i="34"/>
  <c r="S172" i="34"/>
  <c r="M171" i="34"/>
  <c r="I171" i="34"/>
  <c r="N171" i="34"/>
  <c r="S171" i="34"/>
  <c r="M170" i="34"/>
  <c r="I170" i="34"/>
  <c r="N170" i="34"/>
  <c r="S170" i="34"/>
  <c r="S169" i="34"/>
  <c r="M168" i="34"/>
  <c r="I168" i="34"/>
  <c r="N168" i="34"/>
  <c r="S168" i="34"/>
  <c r="M167" i="34"/>
  <c r="I167" i="34"/>
  <c r="N167" i="34"/>
  <c r="S167" i="34"/>
  <c r="M166" i="34"/>
  <c r="I166" i="34"/>
  <c r="N166" i="34"/>
  <c r="S166" i="34"/>
  <c r="M165" i="34"/>
  <c r="I165" i="34"/>
  <c r="N165" i="34"/>
  <c r="S165" i="34"/>
  <c r="M164" i="34"/>
  <c r="I164" i="34"/>
  <c r="N164" i="34"/>
  <c r="S164" i="34"/>
  <c r="M163" i="34"/>
  <c r="I163" i="34"/>
  <c r="N163" i="34"/>
  <c r="S163" i="34"/>
  <c r="M162" i="34"/>
  <c r="I162" i="34"/>
  <c r="N162" i="34"/>
  <c r="S162" i="34"/>
  <c r="S161" i="34"/>
  <c r="S160" i="34"/>
  <c r="M159" i="34"/>
  <c r="I159" i="34"/>
  <c r="N159" i="34"/>
  <c r="S159" i="34"/>
  <c r="M158" i="34"/>
  <c r="I158" i="34"/>
  <c r="N158" i="34"/>
  <c r="S158" i="34"/>
  <c r="M157" i="34"/>
  <c r="I157" i="34"/>
  <c r="N157" i="34"/>
  <c r="S157" i="34"/>
  <c r="M156" i="34"/>
  <c r="I156" i="34"/>
  <c r="N156" i="34"/>
  <c r="S156" i="34"/>
  <c r="M155" i="34"/>
  <c r="I155" i="34"/>
  <c r="N155" i="34"/>
  <c r="S155" i="34"/>
  <c r="M154" i="34"/>
  <c r="I154" i="34"/>
  <c r="N154" i="34"/>
  <c r="S154" i="34"/>
  <c r="M153" i="34"/>
  <c r="I153" i="34"/>
  <c r="N153" i="34"/>
  <c r="S153" i="34"/>
  <c r="S152" i="34"/>
  <c r="M151" i="34"/>
  <c r="I151" i="34"/>
  <c r="N151" i="34"/>
  <c r="S151" i="34"/>
  <c r="M150" i="34"/>
  <c r="I150" i="34"/>
  <c r="N150" i="34"/>
  <c r="S150" i="34"/>
  <c r="M149" i="34"/>
  <c r="I149" i="34"/>
  <c r="N149" i="34"/>
  <c r="S149" i="34"/>
  <c r="M148" i="34"/>
  <c r="I148" i="34"/>
  <c r="N148" i="34"/>
  <c r="S148" i="34"/>
  <c r="M147" i="34"/>
  <c r="I147" i="34"/>
  <c r="N147" i="34"/>
  <c r="S147" i="34"/>
  <c r="M146" i="34"/>
  <c r="I146" i="34"/>
  <c r="N146" i="34"/>
  <c r="S146" i="34"/>
  <c r="M145" i="34"/>
  <c r="I145" i="34"/>
  <c r="N145" i="34"/>
  <c r="S145" i="34"/>
  <c r="M144" i="34"/>
  <c r="I144" i="34"/>
  <c r="N144" i="34"/>
  <c r="S144" i="34"/>
  <c r="M143" i="34"/>
  <c r="I143" i="34"/>
  <c r="N143" i="34"/>
  <c r="S143" i="34"/>
  <c r="M142" i="34"/>
  <c r="I142" i="34"/>
  <c r="N142" i="34"/>
  <c r="S142" i="34"/>
  <c r="M141" i="34"/>
  <c r="I141" i="34"/>
  <c r="N141" i="34"/>
  <c r="S141" i="34"/>
  <c r="M140" i="34"/>
  <c r="I140" i="34"/>
  <c r="N140" i="34"/>
  <c r="S140" i="34"/>
  <c r="M139" i="34"/>
  <c r="I139" i="34"/>
  <c r="N139" i="34"/>
  <c r="S139" i="34"/>
  <c r="M138" i="34"/>
  <c r="I138" i="34"/>
  <c r="N138" i="34"/>
  <c r="S138" i="34"/>
  <c r="M137" i="34"/>
  <c r="I137" i="34"/>
  <c r="N137" i="34"/>
  <c r="S137" i="34"/>
  <c r="M136" i="34"/>
  <c r="I136" i="34"/>
  <c r="N136" i="34"/>
  <c r="S136" i="34"/>
  <c r="M135" i="34"/>
  <c r="I135" i="34"/>
  <c r="N135" i="34"/>
  <c r="S135" i="34"/>
  <c r="M134" i="34"/>
  <c r="I134" i="34"/>
  <c r="N134" i="34"/>
  <c r="S134" i="34"/>
  <c r="M133" i="34"/>
  <c r="I133" i="34"/>
  <c r="N133" i="34"/>
  <c r="S133" i="34"/>
  <c r="M132" i="34"/>
  <c r="I132" i="34"/>
  <c r="N132" i="34"/>
  <c r="S132" i="34"/>
  <c r="M131" i="34"/>
  <c r="I131" i="34"/>
  <c r="N131" i="34"/>
  <c r="S131" i="34"/>
  <c r="M130" i="34"/>
  <c r="I130" i="34"/>
  <c r="N130" i="34"/>
  <c r="S130" i="34"/>
  <c r="M129" i="34"/>
  <c r="I129" i="34"/>
  <c r="N129" i="34"/>
  <c r="S129" i="34"/>
  <c r="M128" i="34"/>
  <c r="I128" i="34"/>
  <c r="N128" i="34"/>
  <c r="S128" i="34"/>
  <c r="M127" i="34"/>
  <c r="I127" i="34"/>
  <c r="N127" i="34"/>
  <c r="S127" i="34"/>
  <c r="M126" i="34"/>
  <c r="I126" i="34"/>
  <c r="N126" i="34"/>
  <c r="S126" i="34"/>
  <c r="M125" i="34"/>
  <c r="I125" i="34"/>
  <c r="N125" i="34"/>
  <c r="S125" i="34"/>
  <c r="M124" i="34"/>
  <c r="I124" i="34"/>
  <c r="N124" i="34"/>
  <c r="S124" i="34"/>
  <c r="M123" i="34"/>
  <c r="I123" i="34"/>
  <c r="N123" i="34"/>
  <c r="S123" i="34"/>
  <c r="M122" i="34"/>
  <c r="I122" i="34"/>
  <c r="N122" i="34"/>
  <c r="S122" i="34"/>
  <c r="M121" i="34"/>
  <c r="I121" i="34"/>
  <c r="N121" i="34"/>
  <c r="S121" i="34"/>
  <c r="M120" i="34"/>
  <c r="I120" i="34"/>
  <c r="N120" i="34"/>
  <c r="S120" i="34"/>
  <c r="M119" i="34"/>
  <c r="I119" i="34"/>
  <c r="N119" i="34"/>
  <c r="S119" i="34"/>
  <c r="M118" i="34"/>
  <c r="I118" i="34"/>
  <c r="N118" i="34"/>
  <c r="S118" i="34"/>
  <c r="M117" i="34"/>
  <c r="I117" i="34"/>
  <c r="N117" i="34"/>
  <c r="S117" i="34"/>
  <c r="M116" i="34"/>
  <c r="I116" i="34"/>
  <c r="N116" i="34"/>
  <c r="S116" i="34"/>
  <c r="M115" i="34"/>
  <c r="I115" i="34"/>
  <c r="N115" i="34"/>
  <c r="S115" i="34"/>
  <c r="M114" i="34"/>
  <c r="I114" i="34"/>
  <c r="N114" i="34"/>
  <c r="S114" i="34"/>
  <c r="M113" i="34"/>
  <c r="I113" i="34"/>
  <c r="N113" i="34"/>
  <c r="S113" i="34"/>
  <c r="M112" i="34"/>
  <c r="I112" i="34"/>
  <c r="N112" i="34"/>
  <c r="S112" i="34"/>
  <c r="M111" i="34"/>
  <c r="I111" i="34"/>
  <c r="N111" i="34"/>
  <c r="S111" i="34"/>
  <c r="M110" i="34"/>
  <c r="I110" i="34"/>
  <c r="N110" i="34"/>
  <c r="S110" i="34"/>
  <c r="M109" i="34"/>
  <c r="I109" i="34"/>
  <c r="N109" i="34"/>
  <c r="S109" i="34"/>
  <c r="M108" i="34"/>
  <c r="I108" i="34"/>
  <c r="N108" i="34"/>
  <c r="S108" i="34"/>
  <c r="M107" i="34"/>
  <c r="I107" i="34"/>
  <c r="N107" i="34"/>
  <c r="S107" i="34"/>
  <c r="M106" i="34"/>
  <c r="I106" i="34"/>
  <c r="N106" i="34"/>
  <c r="S106" i="34"/>
  <c r="M105" i="34"/>
  <c r="I105" i="34"/>
  <c r="N105" i="34"/>
  <c r="S105" i="34"/>
  <c r="M104" i="34"/>
  <c r="I104" i="34"/>
  <c r="N104" i="34"/>
  <c r="S104" i="34"/>
  <c r="S103" i="34"/>
  <c r="R573" i="34"/>
  <c r="R572" i="34"/>
  <c r="R571" i="34"/>
  <c r="R570" i="34"/>
  <c r="R569" i="34"/>
  <c r="R568" i="34"/>
  <c r="R567" i="34"/>
  <c r="R566" i="34"/>
  <c r="R565" i="34"/>
  <c r="R564" i="34"/>
  <c r="R563" i="34"/>
  <c r="R562" i="34"/>
  <c r="R561" i="34"/>
  <c r="R560" i="34"/>
  <c r="R559" i="34"/>
  <c r="R558" i="34"/>
  <c r="R557" i="34"/>
  <c r="R556" i="34"/>
  <c r="R555" i="34"/>
  <c r="R554" i="34"/>
  <c r="R553" i="34"/>
  <c r="R552" i="34"/>
  <c r="R551" i="34"/>
  <c r="R550" i="34"/>
  <c r="R549" i="34"/>
  <c r="R548" i="34"/>
  <c r="R547" i="34"/>
  <c r="R546" i="34"/>
  <c r="R545" i="34"/>
  <c r="R544" i="34"/>
  <c r="R543" i="34"/>
  <c r="R542" i="34"/>
  <c r="R541" i="34"/>
  <c r="R540" i="34"/>
  <c r="R539" i="34"/>
  <c r="R538" i="34"/>
  <c r="R537" i="34"/>
  <c r="R536" i="34"/>
  <c r="R535" i="34"/>
  <c r="R534" i="34"/>
  <c r="R533" i="34"/>
  <c r="R532" i="34"/>
  <c r="R531" i="34"/>
  <c r="R530" i="34"/>
  <c r="R529" i="34"/>
  <c r="R528" i="34"/>
  <c r="R527" i="34"/>
  <c r="R526" i="34"/>
  <c r="R525" i="34"/>
  <c r="R524" i="34"/>
  <c r="R523" i="34"/>
  <c r="R522" i="34"/>
  <c r="R521" i="34"/>
  <c r="R520" i="34"/>
  <c r="R519" i="34"/>
  <c r="R518" i="34"/>
  <c r="R517" i="34"/>
  <c r="R516" i="34"/>
  <c r="R515" i="34"/>
  <c r="R514" i="34"/>
  <c r="R513" i="34"/>
  <c r="R512" i="34"/>
  <c r="R511" i="34"/>
  <c r="R510" i="34"/>
  <c r="R509" i="34"/>
  <c r="R508" i="34"/>
  <c r="R507" i="34"/>
  <c r="R506" i="34"/>
  <c r="R505" i="34"/>
  <c r="R504" i="34"/>
  <c r="R503" i="34"/>
  <c r="R502" i="34"/>
  <c r="R501" i="34"/>
  <c r="R500" i="34"/>
  <c r="R499" i="34"/>
  <c r="R498" i="34"/>
  <c r="R497" i="34"/>
  <c r="R496" i="34"/>
  <c r="R495" i="34"/>
  <c r="R494" i="34"/>
  <c r="R493" i="34"/>
  <c r="R492" i="34"/>
  <c r="R491" i="34"/>
  <c r="R490" i="34"/>
  <c r="R489" i="34"/>
  <c r="R488" i="34"/>
  <c r="R487" i="34"/>
  <c r="R486" i="34"/>
  <c r="R485" i="34"/>
  <c r="R484" i="34"/>
  <c r="R483" i="34"/>
  <c r="R482" i="34"/>
  <c r="R481" i="34"/>
  <c r="R480" i="34"/>
  <c r="R479" i="34"/>
  <c r="R478" i="34"/>
  <c r="R477" i="34"/>
  <c r="R476" i="34"/>
  <c r="R475" i="34"/>
  <c r="R474" i="34"/>
  <c r="R473" i="34"/>
  <c r="R472" i="34"/>
  <c r="R471" i="34"/>
  <c r="R470" i="34"/>
  <c r="R469" i="34"/>
  <c r="R468" i="34"/>
  <c r="R467" i="34"/>
  <c r="R466" i="34"/>
  <c r="R465" i="34"/>
  <c r="R464" i="34"/>
  <c r="R463" i="34"/>
  <c r="R462" i="34"/>
  <c r="R461" i="34"/>
  <c r="R460" i="34"/>
  <c r="R459" i="34"/>
  <c r="R458" i="34"/>
  <c r="R457" i="34"/>
  <c r="R456" i="34"/>
  <c r="R455" i="34"/>
  <c r="R454" i="34"/>
  <c r="R453" i="34"/>
  <c r="R452" i="34"/>
  <c r="R451" i="34"/>
  <c r="R450" i="34"/>
  <c r="R449" i="34"/>
  <c r="R448" i="34"/>
  <c r="R447" i="34"/>
  <c r="R446" i="34"/>
  <c r="R445" i="34"/>
  <c r="R444" i="34"/>
  <c r="R443" i="34"/>
  <c r="R442" i="34"/>
  <c r="R441" i="34"/>
  <c r="R440" i="34"/>
  <c r="R439" i="34"/>
  <c r="R438" i="34"/>
  <c r="R437" i="34"/>
  <c r="R436" i="34"/>
  <c r="R435" i="34"/>
  <c r="R434" i="34"/>
  <c r="R433" i="34"/>
  <c r="R432" i="34"/>
  <c r="R431" i="34"/>
  <c r="R430" i="34"/>
  <c r="R429" i="34"/>
  <c r="R428" i="34"/>
  <c r="R427" i="34"/>
  <c r="R426" i="34"/>
  <c r="R425" i="34"/>
  <c r="R424" i="34"/>
  <c r="R423" i="34"/>
  <c r="R422" i="34"/>
  <c r="R421" i="34"/>
  <c r="R420" i="34"/>
  <c r="R419" i="34"/>
  <c r="R418" i="34"/>
  <c r="R417" i="34"/>
  <c r="R416" i="34"/>
  <c r="R415" i="34"/>
  <c r="R414" i="34"/>
  <c r="R413" i="34"/>
  <c r="R412" i="34"/>
  <c r="R411" i="34"/>
  <c r="R410" i="34"/>
  <c r="R409" i="34"/>
  <c r="R408" i="34"/>
  <c r="R407" i="34"/>
  <c r="R406" i="34"/>
  <c r="R405" i="34"/>
  <c r="R404" i="34"/>
  <c r="R403" i="34"/>
  <c r="R402" i="34"/>
  <c r="R401" i="34"/>
  <c r="R400" i="34"/>
  <c r="R399" i="34"/>
  <c r="R398" i="34"/>
  <c r="R397" i="34"/>
  <c r="R396" i="34"/>
  <c r="R395" i="34"/>
  <c r="R394" i="34"/>
  <c r="R393" i="34"/>
  <c r="R392" i="34"/>
  <c r="R391" i="34"/>
  <c r="R390" i="34"/>
  <c r="R389" i="34"/>
  <c r="R388" i="34"/>
  <c r="R387" i="34"/>
  <c r="R386" i="34"/>
  <c r="R385" i="34"/>
  <c r="R384" i="34"/>
  <c r="R383" i="34"/>
  <c r="R382" i="34"/>
  <c r="R381" i="34"/>
  <c r="R380" i="34"/>
  <c r="R379" i="34"/>
  <c r="R378" i="34"/>
  <c r="R377" i="34"/>
  <c r="R376" i="34"/>
  <c r="R375" i="34"/>
  <c r="R374" i="34"/>
  <c r="R373" i="34"/>
  <c r="R372" i="34"/>
  <c r="R371" i="34"/>
  <c r="R370" i="34"/>
  <c r="R369" i="34"/>
  <c r="R368" i="34"/>
  <c r="R367" i="34"/>
  <c r="R366" i="34"/>
  <c r="R365" i="34"/>
  <c r="R364" i="34"/>
  <c r="R363" i="34"/>
  <c r="R362" i="34"/>
  <c r="R361" i="34"/>
  <c r="R360" i="34"/>
  <c r="R359" i="34"/>
  <c r="R358" i="34"/>
  <c r="R357" i="34"/>
  <c r="R356" i="34"/>
  <c r="R355" i="34"/>
  <c r="R354" i="34"/>
  <c r="R353" i="34"/>
  <c r="R352" i="34"/>
  <c r="R351" i="34"/>
  <c r="R350" i="34"/>
  <c r="R349" i="34"/>
  <c r="R348" i="34"/>
  <c r="R347" i="34"/>
  <c r="R346" i="34"/>
  <c r="R345" i="34"/>
  <c r="R344" i="34"/>
  <c r="R343" i="34"/>
  <c r="R342" i="34"/>
  <c r="R341" i="34"/>
  <c r="R340" i="34"/>
  <c r="R339" i="34"/>
  <c r="R338" i="34"/>
  <c r="R337" i="34"/>
  <c r="R336" i="34"/>
  <c r="R335" i="34"/>
  <c r="R334" i="34"/>
  <c r="R333" i="34"/>
  <c r="R332" i="34"/>
  <c r="R331" i="34"/>
  <c r="R330" i="34"/>
  <c r="R329" i="34"/>
  <c r="R328" i="34"/>
  <c r="R327" i="34"/>
  <c r="R326" i="34"/>
  <c r="R325" i="34"/>
  <c r="R324" i="34"/>
  <c r="R323" i="34"/>
  <c r="R322" i="34"/>
  <c r="R321" i="34"/>
  <c r="R320" i="34"/>
  <c r="R319" i="34"/>
  <c r="R318" i="34"/>
  <c r="R317" i="34"/>
  <c r="R316" i="34"/>
  <c r="R315" i="34"/>
  <c r="R314" i="34"/>
  <c r="R313" i="34"/>
  <c r="R312" i="34"/>
  <c r="R311" i="34"/>
  <c r="R310" i="34"/>
  <c r="R309" i="34"/>
  <c r="R308" i="34"/>
  <c r="R307" i="34"/>
  <c r="R306" i="34"/>
  <c r="R305" i="34"/>
  <c r="R304" i="34"/>
  <c r="R303" i="34"/>
  <c r="R302" i="34"/>
  <c r="R301" i="34"/>
  <c r="R300" i="34"/>
  <c r="R299" i="34"/>
  <c r="R298" i="34"/>
  <c r="R297" i="34"/>
  <c r="R296" i="34"/>
  <c r="R295" i="34"/>
  <c r="R294" i="34"/>
  <c r="R293" i="34"/>
  <c r="R292" i="34"/>
  <c r="R291" i="34"/>
  <c r="R290" i="34"/>
  <c r="R289" i="34"/>
  <c r="R288" i="34"/>
  <c r="R287" i="34"/>
  <c r="R286" i="34"/>
  <c r="R285" i="34"/>
  <c r="R284" i="34"/>
  <c r="R283" i="34"/>
  <c r="R282" i="34"/>
  <c r="R281" i="34"/>
  <c r="R280" i="34"/>
  <c r="R279" i="34"/>
  <c r="R278" i="34"/>
  <c r="R277" i="34"/>
  <c r="R276" i="34"/>
  <c r="R275" i="34"/>
  <c r="R274" i="34"/>
  <c r="R273" i="34"/>
  <c r="R272" i="34"/>
  <c r="R271" i="34"/>
  <c r="R270" i="34"/>
  <c r="R269" i="34"/>
  <c r="R268" i="34"/>
  <c r="R267" i="34"/>
  <c r="R266" i="34"/>
  <c r="R265" i="34"/>
  <c r="R264" i="34"/>
  <c r="R263" i="34"/>
  <c r="R262" i="34"/>
  <c r="R261" i="34"/>
  <c r="R260" i="34"/>
  <c r="R259" i="34"/>
  <c r="R258" i="34"/>
  <c r="R257" i="34"/>
  <c r="R256" i="34"/>
  <c r="R255" i="34"/>
  <c r="R254" i="34"/>
  <c r="R253" i="34"/>
  <c r="R252" i="34"/>
  <c r="R251" i="34"/>
  <c r="R250" i="34"/>
  <c r="R249" i="34"/>
  <c r="R248" i="34"/>
  <c r="R247" i="34"/>
  <c r="R246" i="34"/>
  <c r="R245" i="34"/>
  <c r="R244" i="34"/>
  <c r="R243" i="34"/>
  <c r="R242" i="34"/>
  <c r="R241" i="34"/>
  <c r="R240" i="34"/>
  <c r="R239" i="34"/>
  <c r="R238" i="34"/>
  <c r="R237" i="34"/>
  <c r="R236" i="34"/>
  <c r="R235" i="34"/>
  <c r="R234" i="34"/>
  <c r="R233" i="34"/>
  <c r="R232" i="34"/>
  <c r="R231" i="34"/>
  <c r="R230" i="34"/>
  <c r="R229" i="34"/>
  <c r="R228" i="34"/>
  <c r="R227" i="34"/>
  <c r="R226" i="34"/>
  <c r="R225" i="34"/>
  <c r="R224" i="34"/>
  <c r="R223" i="34"/>
  <c r="R222" i="34"/>
  <c r="R221" i="34"/>
  <c r="R220" i="34"/>
  <c r="R219" i="34"/>
  <c r="R218" i="34"/>
  <c r="R217" i="34"/>
  <c r="R216" i="34"/>
  <c r="R215" i="34"/>
  <c r="R214" i="34"/>
  <c r="R213" i="34"/>
  <c r="R212" i="34"/>
  <c r="R211" i="34"/>
  <c r="R210" i="34"/>
  <c r="R209" i="34"/>
  <c r="R208" i="34"/>
  <c r="R207" i="34"/>
  <c r="R206" i="34"/>
  <c r="R205" i="34"/>
  <c r="R204" i="34"/>
  <c r="R203" i="34"/>
  <c r="R202" i="34"/>
  <c r="R201" i="34"/>
  <c r="R200" i="34"/>
  <c r="R199" i="34"/>
  <c r="R198" i="34"/>
  <c r="R197" i="34"/>
  <c r="R196" i="34"/>
  <c r="R195" i="34"/>
  <c r="R194" i="34"/>
  <c r="R193" i="34"/>
  <c r="R192" i="34"/>
  <c r="R191" i="34"/>
  <c r="R190" i="34"/>
  <c r="R189" i="34"/>
  <c r="R188" i="34"/>
  <c r="R187" i="34"/>
  <c r="R186" i="34"/>
  <c r="R185" i="34"/>
  <c r="R184" i="34"/>
  <c r="R183" i="34"/>
  <c r="R182" i="34"/>
  <c r="R181" i="34"/>
  <c r="R180" i="34"/>
  <c r="R179" i="34"/>
  <c r="R178" i="34"/>
  <c r="R177" i="34"/>
  <c r="R176" i="34"/>
  <c r="R175" i="34"/>
  <c r="R174" i="34"/>
  <c r="R173" i="34"/>
  <c r="R172" i="34"/>
  <c r="R171" i="34"/>
  <c r="R170" i="34"/>
  <c r="R169" i="34"/>
  <c r="R168" i="34"/>
  <c r="R167" i="34"/>
  <c r="R166" i="34"/>
  <c r="R165" i="34"/>
  <c r="R164" i="34"/>
  <c r="R163" i="34"/>
  <c r="R162" i="34"/>
  <c r="R161" i="34"/>
  <c r="R160" i="34"/>
  <c r="R159" i="34"/>
  <c r="R158" i="34"/>
  <c r="R157" i="34"/>
  <c r="R156" i="34"/>
  <c r="R155" i="34"/>
  <c r="R154" i="34"/>
  <c r="R153" i="34"/>
  <c r="R152" i="34"/>
  <c r="R151" i="34"/>
  <c r="R150" i="34"/>
  <c r="R149" i="34"/>
  <c r="R148" i="34"/>
  <c r="R147" i="34"/>
  <c r="R146" i="34"/>
  <c r="R145" i="34"/>
  <c r="R144" i="34"/>
  <c r="R143" i="34"/>
  <c r="R142" i="34"/>
  <c r="R141" i="34"/>
  <c r="R140" i="34"/>
  <c r="R139" i="34"/>
  <c r="R138" i="34"/>
  <c r="R137" i="34"/>
  <c r="R136" i="34"/>
  <c r="R135" i="34"/>
  <c r="R134" i="34"/>
  <c r="R133" i="34"/>
  <c r="R132" i="34"/>
  <c r="R131" i="34"/>
  <c r="R130" i="34"/>
  <c r="R129" i="34"/>
  <c r="R128" i="34"/>
  <c r="R127" i="34"/>
  <c r="R126" i="34"/>
  <c r="R125" i="34"/>
  <c r="R124" i="34"/>
  <c r="R123" i="34"/>
  <c r="R122" i="34"/>
  <c r="R121" i="34"/>
  <c r="R120" i="34"/>
  <c r="R119" i="34"/>
  <c r="R118" i="34"/>
  <c r="R117" i="34"/>
  <c r="R116" i="34"/>
  <c r="R115" i="34"/>
  <c r="R114" i="34"/>
  <c r="R113" i="34"/>
  <c r="R112" i="34"/>
  <c r="R111" i="34"/>
  <c r="R110" i="34"/>
  <c r="R109" i="34"/>
  <c r="R108" i="34"/>
  <c r="R107" i="34"/>
  <c r="R106" i="34"/>
  <c r="R105" i="34"/>
  <c r="R104" i="34"/>
  <c r="R103" i="34"/>
  <c r="M102" i="34"/>
  <c r="I102" i="34"/>
  <c r="N102" i="34"/>
  <c r="S102" i="34"/>
  <c r="M101" i="34"/>
  <c r="I101" i="34"/>
  <c r="N101" i="34"/>
  <c r="S101" i="34"/>
  <c r="M100" i="34"/>
  <c r="I100" i="34"/>
  <c r="N100" i="34"/>
  <c r="S100" i="34"/>
  <c r="M99" i="34"/>
  <c r="I99" i="34"/>
  <c r="N99" i="34"/>
  <c r="S99" i="34"/>
  <c r="M98" i="34"/>
  <c r="I98" i="34"/>
  <c r="N98" i="34"/>
  <c r="S98" i="34"/>
  <c r="M97" i="34"/>
  <c r="I97" i="34"/>
  <c r="N97" i="34"/>
  <c r="S97" i="34"/>
  <c r="M96" i="34"/>
  <c r="I96" i="34"/>
  <c r="N96" i="34"/>
  <c r="S96" i="34"/>
  <c r="M95" i="34"/>
  <c r="I95" i="34"/>
  <c r="N95" i="34"/>
  <c r="S95" i="34"/>
  <c r="M94" i="34"/>
  <c r="I94" i="34"/>
  <c r="N94" i="34"/>
  <c r="S94" i="34"/>
  <c r="M93" i="34"/>
  <c r="I93" i="34"/>
  <c r="N93" i="34"/>
  <c r="S93" i="34"/>
  <c r="M92" i="34"/>
  <c r="I92" i="34"/>
  <c r="N92" i="34"/>
  <c r="S92" i="34"/>
  <c r="M91" i="34"/>
  <c r="I91" i="34"/>
  <c r="N91" i="34"/>
  <c r="S91" i="34"/>
  <c r="R102" i="34"/>
  <c r="R101" i="34"/>
  <c r="R100" i="34"/>
  <c r="R99" i="34"/>
  <c r="R98" i="34"/>
  <c r="R97" i="34"/>
  <c r="R96" i="34"/>
  <c r="R95" i="34"/>
  <c r="R94" i="34"/>
  <c r="R93" i="34"/>
  <c r="R92" i="34"/>
  <c r="R91" i="34"/>
  <c r="R90" i="34"/>
  <c r="S90" i="34"/>
  <c r="T573" i="34"/>
  <c r="T572" i="34"/>
  <c r="T571" i="34"/>
  <c r="T570" i="34"/>
  <c r="T569" i="34"/>
  <c r="T568" i="34"/>
  <c r="T567" i="34"/>
  <c r="T566" i="34"/>
  <c r="T565" i="34"/>
  <c r="T564" i="34"/>
  <c r="T563" i="34"/>
  <c r="T562" i="34"/>
  <c r="T561" i="34"/>
  <c r="T560" i="34"/>
  <c r="T559" i="34"/>
  <c r="T558" i="34"/>
  <c r="T557" i="34"/>
  <c r="T556" i="34"/>
  <c r="T555" i="34"/>
  <c r="T554" i="34"/>
  <c r="T553" i="34"/>
  <c r="T552" i="34"/>
  <c r="T551" i="34"/>
  <c r="T550" i="34"/>
  <c r="T549" i="34"/>
  <c r="T548" i="34"/>
  <c r="T547" i="34"/>
  <c r="T546" i="34"/>
  <c r="T545" i="34"/>
  <c r="T544" i="34"/>
  <c r="T543" i="34"/>
  <c r="T542" i="34"/>
  <c r="T541" i="34"/>
  <c r="T540" i="34"/>
  <c r="T539" i="34"/>
  <c r="T538" i="34"/>
  <c r="T537" i="34"/>
  <c r="T536" i="34"/>
  <c r="T535" i="34"/>
  <c r="T534" i="34"/>
  <c r="T533" i="34"/>
  <c r="T532" i="34"/>
  <c r="T531" i="34"/>
  <c r="T530" i="34"/>
  <c r="T529" i="34"/>
  <c r="T528" i="34"/>
  <c r="T527" i="34"/>
  <c r="T526" i="34"/>
  <c r="T525" i="34"/>
  <c r="T524" i="34"/>
  <c r="T523" i="34"/>
  <c r="T522" i="34"/>
  <c r="T521" i="34"/>
  <c r="T520" i="34"/>
  <c r="T519" i="34"/>
  <c r="T518" i="34"/>
  <c r="T517" i="34"/>
  <c r="T516" i="34"/>
  <c r="T515" i="34"/>
  <c r="T514" i="34"/>
  <c r="T513" i="34"/>
  <c r="T512" i="34"/>
  <c r="T511" i="34"/>
  <c r="T510" i="34"/>
  <c r="T509" i="34"/>
  <c r="T508" i="34"/>
  <c r="T507" i="34"/>
  <c r="T506" i="34"/>
  <c r="T505" i="34"/>
  <c r="T504" i="34"/>
  <c r="T503" i="34"/>
  <c r="T502" i="34"/>
  <c r="T501" i="34"/>
  <c r="T500" i="34"/>
  <c r="T499" i="34"/>
  <c r="T498" i="34"/>
  <c r="T497" i="34"/>
  <c r="T496" i="34"/>
  <c r="T495" i="34"/>
  <c r="T494" i="34"/>
  <c r="T493" i="34"/>
  <c r="T492" i="34"/>
  <c r="T491" i="34"/>
  <c r="T490" i="34"/>
  <c r="T489" i="34"/>
  <c r="T488" i="34"/>
  <c r="T487" i="34"/>
  <c r="T486" i="34"/>
  <c r="T485" i="34"/>
  <c r="T484" i="34"/>
  <c r="T483" i="34"/>
  <c r="T482" i="34"/>
  <c r="T481" i="34"/>
  <c r="T480" i="34"/>
  <c r="T479" i="34"/>
  <c r="T478" i="34"/>
  <c r="T477" i="34"/>
  <c r="T476" i="34"/>
  <c r="T475" i="34"/>
  <c r="T474" i="34"/>
  <c r="T473" i="34"/>
  <c r="T472" i="34"/>
  <c r="T471" i="34"/>
  <c r="T470" i="34"/>
  <c r="T469" i="34"/>
  <c r="T468" i="34"/>
  <c r="T467" i="34"/>
  <c r="T466" i="34"/>
  <c r="T465" i="34"/>
  <c r="T464" i="34"/>
  <c r="T463" i="34"/>
  <c r="T462" i="34"/>
  <c r="T461" i="34"/>
  <c r="T460" i="34"/>
  <c r="T459" i="34"/>
  <c r="T458" i="34"/>
  <c r="T457" i="34"/>
  <c r="T456" i="34"/>
  <c r="T455" i="34"/>
  <c r="T454" i="34"/>
  <c r="T453" i="34"/>
  <c r="T452" i="34"/>
  <c r="T451" i="34"/>
  <c r="T450" i="34"/>
  <c r="T449" i="34"/>
  <c r="T448" i="34"/>
  <c r="T447" i="34"/>
  <c r="T446" i="34"/>
  <c r="T445" i="34"/>
  <c r="T444" i="34"/>
  <c r="T443" i="34"/>
  <c r="T442" i="34"/>
  <c r="T441" i="34"/>
  <c r="T440" i="34"/>
  <c r="T439" i="34"/>
  <c r="T438" i="34"/>
  <c r="T437" i="34"/>
  <c r="T436" i="34"/>
  <c r="T435" i="34"/>
  <c r="T434" i="34"/>
  <c r="T433" i="34"/>
  <c r="T432" i="34"/>
  <c r="T431" i="34"/>
  <c r="T430" i="34"/>
  <c r="T429" i="34"/>
  <c r="T428" i="34"/>
  <c r="T427" i="34"/>
  <c r="T426" i="34"/>
  <c r="T425" i="34"/>
  <c r="T424" i="34"/>
  <c r="T423" i="34"/>
  <c r="T422" i="34"/>
  <c r="T421" i="34"/>
  <c r="T420" i="34"/>
  <c r="T419" i="34"/>
  <c r="T418" i="34"/>
  <c r="T417" i="34"/>
  <c r="T416" i="34"/>
  <c r="T415" i="34"/>
  <c r="T414" i="34"/>
  <c r="T413" i="34"/>
  <c r="T412" i="34"/>
  <c r="T411" i="34"/>
  <c r="T410" i="34"/>
  <c r="T409" i="34"/>
  <c r="T408" i="34"/>
  <c r="T407" i="34"/>
  <c r="T406" i="34"/>
  <c r="T405" i="34"/>
  <c r="T404" i="34"/>
  <c r="T403" i="34"/>
  <c r="T402" i="34"/>
  <c r="T401" i="34"/>
  <c r="T400" i="34"/>
  <c r="T399" i="34"/>
  <c r="T398" i="34"/>
  <c r="T397" i="34"/>
  <c r="T396" i="34"/>
  <c r="T395" i="34"/>
  <c r="T394" i="34"/>
  <c r="T393" i="34"/>
  <c r="T392" i="34"/>
  <c r="T391" i="34"/>
  <c r="T390" i="34"/>
  <c r="T389" i="34"/>
  <c r="T388" i="34"/>
  <c r="T387" i="34"/>
  <c r="T386" i="34"/>
  <c r="T385" i="34"/>
  <c r="T384" i="34"/>
  <c r="T383" i="34"/>
  <c r="T382" i="34"/>
  <c r="T381" i="34"/>
  <c r="T380" i="34"/>
  <c r="T379" i="34"/>
  <c r="T378" i="34"/>
  <c r="T377" i="34"/>
  <c r="T376" i="34"/>
  <c r="T375" i="34"/>
  <c r="T374" i="34"/>
  <c r="T373" i="34"/>
  <c r="T372" i="34"/>
  <c r="T371" i="34"/>
  <c r="T370" i="34"/>
  <c r="T369" i="34"/>
  <c r="T368" i="34"/>
  <c r="T367" i="34"/>
  <c r="T366" i="34"/>
  <c r="T365" i="34"/>
  <c r="T364" i="34"/>
  <c r="T363" i="34"/>
  <c r="T362" i="34"/>
  <c r="T361" i="34"/>
  <c r="T360" i="34"/>
  <c r="T359" i="34"/>
  <c r="T358" i="34"/>
  <c r="T357" i="34"/>
  <c r="T356" i="34"/>
  <c r="T355" i="34"/>
  <c r="T354" i="34"/>
  <c r="T353" i="34"/>
  <c r="T352" i="34"/>
  <c r="T351" i="34"/>
  <c r="T350" i="34"/>
  <c r="T349" i="34"/>
  <c r="T348" i="34"/>
  <c r="T347" i="34"/>
  <c r="T346" i="34"/>
  <c r="T345" i="34"/>
  <c r="T344" i="34"/>
  <c r="T343" i="34"/>
  <c r="T342" i="34"/>
  <c r="T341" i="34"/>
  <c r="T340" i="34"/>
  <c r="T339" i="34"/>
  <c r="T338" i="34"/>
  <c r="T337" i="34"/>
  <c r="T336" i="34"/>
  <c r="T335" i="34"/>
  <c r="T334" i="34"/>
  <c r="T333" i="34"/>
  <c r="T332" i="34"/>
  <c r="T331" i="34"/>
  <c r="T330" i="34"/>
  <c r="T329" i="34"/>
  <c r="T328" i="34"/>
  <c r="T327" i="34"/>
  <c r="T326" i="34"/>
  <c r="T325" i="34"/>
  <c r="T324" i="34"/>
  <c r="T323" i="34"/>
  <c r="T322" i="34"/>
  <c r="T321" i="34"/>
  <c r="T320" i="34"/>
  <c r="T319" i="34"/>
  <c r="T318" i="34"/>
  <c r="T317" i="34"/>
  <c r="T316" i="34"/>
  <c r="T315" i="34"/>
  <c r="T314" i="34"/>
  <c r="T313" i="34"/>
  <c r="T312" i="34"/>
  <c r="T311" i="34"/>
  <c r="T310" i="34"/>
  <c r="T309" i="34"/>
  <c r="T308" i="34"/>
  <c r="T307" i="34"/>
  <c r="T306" i="34"/>
  <c r="T305" i="34"/>
  <c r="T304" i="34"/>
  <c r="T303" i="34"/>
  <c r="T302" i="34"/>
  <c r="T301" i="34"/>
  <c r="T300" i="34"/>
  <c r="T299" i="34"/>
  <c r="T298" i="34"/>
  <c r="T297" i="34"/>
  <c r="T296" i="34"/>
  <c r="T295" i="34"/>
  <c r="T294" i="34"/>
  <c r="T293" i="34"/>
  <c r="T292" i="34"/>
  <c r="T291" i="34"/>
  <c r="T290" i="34"/>
  <c r="T289" i="34"/>
  <c r="T288" i="34"/>
  <c r="T287" i="34"/>
  <c r="T286" i="34"/>
  <c r="T285" i="34"/>
  <c r="T284" i="34"/>
  <c r="T283" i="34"/>
  <c r="T282" i="34"/>
  <c r="T281" i="34"/>
  <c r="T280" i="34"/>
  <c r="T279" i="34"/>
  <c r="T278" i="34"/>
  <c r="T277" i="34"/>
  <c r="T276" i="34"/>
  <c r="T275" i="34"/>
  <c r="T274" i="34"/>
  <c r="T273" i="34"/>
  <c r="T272" i="34"/>
  <c r="T271" i="34"/>
  <c r="T270" i="34"/>
  <c r="T269" i="34"/>
  <c r="T268" i="34"/>
  <c r="T267" i="34"/>
  <c r="T266" i="34"/>
  <c r="T265" i="34"/>
  <c r="T264" i="34"/>
  <c r="T263" i="34"/>
  <c r="T262" i="34"/>
  <c r="T261" i="34"/>
  <c r="T260" i="34"/>
  <c r="T259" i="34"/>
  <c r="T258" i="34"/>
  <c r="T257" i="34"/>
  <c r="T256" i="34"/>
  <c r="T255" i="34"/>
  <c r="T254" i="34"/>
  <c r="T253" i="34"/>
  <c r="T252" i="34"/>
  <c r="T251" i="34"/>
  <c r="T250" i="34"/>
  <c r="T249" i="34"/>
  <c r="T248" i="34"/>
  <c r="T247" i="34"/>
  <c r="T246" i="34"/>
  <c r="T245" i="34"/>
  <c r="T244" i="34"/>
  <c r="T243" i="34"/>
  <c r="T242" i="34"/>
  <c r="T241" i="34"/>
  <c r="T240" i="34"/>
  <c r="T239" i="34"/>
  <c r="T238" i="34"/>
  <c r="T237" i="34"/>
  <c r="T236" i="34"/>
  <c r="T235" i="34"/>
  <c r="T234" i="34"/>
  <c r="T233" i="34"/>
  <c r="T232" i="34"/>
  <c r="T231" i="34"/>
  <c r="T230" i="34"/>
  <c r="T229" i="34"/>
  <c r="T228" i="34"/>
  <c r="T227" i="34"/>
  <c r="T226" i="34"/>
  <c r="T225" i="34"/>
  <c r="T224" i="34"/>
  <c r="T223" i="34"/>
  <c r="T222" i="34"/>
  <c r="T221" i="34"/>
  <c r="T220" i="34"/>
  <c r="T219" i="34"/>
  <c r="T218" i="34"/>
  <c r="T217" i="34"/>
  <c r="T216" i="34"/>
  <c r="T215" i="34"/>
  <c r="T214" i="34"/>
  <c r="T213" i="34"/>
  <c r="T212" i="34"/>
  <c r="T211" i="34"/>
  <c r="T210" i="34"/>
  <c r="T209" i="34"/>
  <c r="T208" i="34"/>
  <c r="T207" i="34"/>
  <c r="T206" i="34"/>
  <c r="T205" i="34"/>
  <c r="T204" i="34"/>
  <c r="T203" i="34"/>
  <c r="T202" i="34"/>
  <c r="T201" i="34"/>
  <c r="T200" i="34"/>
  <c r="T199" i="34"/>
  <c r="T198" i="34"/>
  <c r="T197" i="34"/>
  <c r="T196" i="34"/>
  <c r="T195" i="34"/>
  <c r="T194" i="34"/>
  <c r="T193" i="34"/>
  <c r="T192" i="34"/>
  <c r="T191" i="34"/>
  <c r="T190" i="34"/>
  <c r="T189" i="34"/>
  <c r="T188" i="34"/>
  <c r="T187" i="34"/>
  <c r="T186" i="34"/>
  <c r="T185" i="34"/>
  <c r="T184" i="34"/>
  <c r="T183" i="34"/>
  <c r="T182" i="34"/>
  <c r="T181" i="34"/>
  <c r="T180" i="34"/>
  <c r="T179" i="34"/>
  <c r="T178" i="34"/>
  <c r="T177" i="34"/>
  <c r="T176" i="34"/>
  <c r="T175" i="34"/>
  <c r="T174" i="34"/>
  <c r="T173" i="34"/>
  <c r="T172" i="34"/>
  <c r="T171" i="34"/>
  <c r="T170" i="34"/>
  <c r="T169" i="34"/>
  <c r="T168" i="34"/>
  <c r="T167" i="34"/>
  <c r="T166" i="34"/>
  <c r="T165" i="34"/>
  <c r="T164" i="34"/>
  <c r="T163" i="34"/>
  <c r="T162" i="34"/>
  <c r="T161" i="34"/>
  <c r="T160" i="34"/>
  <c r="T159" i="34"/>
  <c r="T158" i="34"/>
  <c r="T157" i="34"/>
  <c r="T156" i="34"/>
  <c r="T155" i="34"/>
  <c r="T154" i="34"/>
  <c r="T153" i="34"/>
  <c r="T152" i="34"/>
  <c r="T151" i="34"/>
  <c r="T150" i="34"/>
  <c r="T149" i="34"/>
  <c r="T148" i="34"/>
  <c r="T147" i="34"/>
  <c r="T146" i="34"/>
  <c r="T145" i="34"/>
  <c r="T144" i="34"/>
  <c r="T143" i="34"/>
  <c r="T142" i="34"/>
  <c r="T141" i="34"/>
  <c r="T140" i="34"/>
  <c r="T139" i="34"/>
  <c r="T138" i="34"/>
  <c r="T137" i="34"/>
  <c r="T136" i="34"/>
  <c r="T135" i="34"/>
  <c r="T134" i="34"/>
  <c r="T133" i="34"/>
  <c r="T132" i="34"/>
  <c r="T131" i="34"/>
  <c r="T130" i="34"/>
  <c r="T129" i="34"/>
  <c r="T128" i="34"/>
  <c r="T127" i="34"/>
  <c r="T126" i="34"/>
  <c r="T125" i="34"/>
  <c r="T124" i="34"/>
  <c r="T123" i="34"/>
  <c r="T122" i="34"/>
  <c r="T121" i="34"/>
  <c r="T120" i="34"/>
  <c r="T119" i="34"/>
  <c r="T118" i="34"/>
  <c r="T117" i="34"/>
  <c r="T116" i="34"/>
  <c r="T115" i="34"/>
  <c r="T114" i="34"/>
  <c r="T113" i="34"/>
  <c r="T112" i="34"/>
  <c r="T111" i="34"/>
  <c r="T110" i="34"/>
  <c r="T109" i="34"/>
  <c r="T108" i="34"/>
  <c r="T107" i="34"/>
  <c r="T106" i="34"/>
  <c r="T105" i="34"/>
  <c r="T104" i="34"/>
  <c r="T103" i="34"/>
  <c r="T102" i="34"/>
  <c r="T101" i="34"/>
  <c r="T100" i="34"/>
  <c r="T99" i="34"/>
  <c r="T98" i="34"/>
  <c r="T97" i="34"/>
  <c r="T96" i="34"/>
  <c r="T95" i="34"/>
  <c r="T94" i="34"/>
  <c r="T93" i="34"/>
  <c r="T92" i="34"/>
  <c r="T91" i="34"/>
  <c r="T90" i="34"/>
  <c r="U90" i="34"/>
  <c r="U103" i="34"/>
  <c r="U152" i="34"/>
  <c r="U160" i="34"/>
  <c r="U161" i="34"/>
  <c r="U169" i="34"/>
  <c r="U184" i="34"/>
  <c r="U202" i="34"/>
  <c r="U274" i="34"/>
  <c r="U292" i="34"/>
  <c r="U303" i="34"/>
  <c r="U339" i="34"/>
  <c r="U346" i="34"/>
  <c r="U348" i="34"/>
  <c r="U350" i="34"/>
  <c r="U359" i="34"/>
  <c r="U362" i="34"/>
  <c r="U366" i="34"/>
  <c r="U380" i="34"/>
  <c r="U385" i="34"/>
  <c r="U386" i="34"/>
  <c r="U390" i="34"/>
  <c r="U392" i="34"/>
  <c r="U393" i="34"/>
  <c r="U397" i="34"/>
  <c r="U405" i="34"/>
  <c r="U408" i="34"/>
  <c r="U409" i="34"/>
  <c r="U444" i="34"/>
  <c r="V90" i="34"/>
  <c r="V103" i="34"/>
  <c r="V152" i="34"/>
  <c r="V160" i="34"/>
  <c r="V161" i="34"/>
  <c r="V169" i="34"/>
  <c r="V184" i="34"/>
  <c r="V202" i="34"/>
  <c r="V274" i="34"/>
  <c r="V292" i="34"/>
  <c r="V303" i="34"/>
  <c r="V339" i="34"/>
  <c r="V346" i="34"/>
  <c r="V348" i="34"/>
  <c r="V350" i="34"/>
  <c r="V359" i="34"/>
  <c r="V362" i="34"/>
  <c r="V366" i="34"/>
  <c r="V380" i="34"/>
  <c r="V385" i="34"/>
  <c r="V386" i="34"/>
  <c r="V390" i="34"/>
  <c r="V392" i="34"/>
  <c r="V393" i="34"/>
  <c r="V397" i="34"/>
  <c r="V405" i="34"/>
  <c r="V408" i="34"/>
  <c r="V409" i="34"/>
  <c r="V444" i="34"/>
  <c r="W90" i="34"/>
  <c r="W103" i="34"/>
  <c r="W152" i="34"/>
  <c r="W160" i="34"/>
  <c r="W161" i="34"/>
  <c r="W169" i="34"/>
  <c r="W184" i="34"/>
  <c r="W202" i="34"/>
  <c r="W274" i="34"/>
  <c r="W292" i="34"/>
  <c r="W303" i="34"/>
  <c r="W339" i="34"/>
  <c r="W346" i="34"/>
  <c r="W348" i="34"/>
  <c r="W350" i="34"/>
  <c r="W359" i="34"/>
  <c r="W362" i="34"/>
  <c r="W366" i="34"/>
  <c r="W380" i="34"/>
  <c r="W385" i="34"/>
  <c r="W386" i="34"/>
  <c r="W390" i="34"/>
  <c r="W392" i="34"/>
  <c r="W393" i="34"/>
  <c r="W397" i="34"/>
  <c r="W405" i="34"/>
  <c r="W408" i="34"/>
  <c r="W409" i="34"/>
  <c r="W444" i="34"/>
  <c r="X90" i="34"/>
  <c r="X103" i="34"/>
  <c r="X152" i="34"/>
  <c r="X160" i="34"/>
  <c r="X161" i="34"/>
  <c r="X169" i="34"/>
  <c r="X184" i="34"/>
  <c r="X202" i="34"/>
  <c r="X274" i="34"/>
  <c r="X292" i="34"/>
  <c r="X303" i="34"/>
  <c r="X339" i="34"/>
  <c r="X346" i="34"/>
  <c r="X348" i="34"/>
  <c r="X350" i="34"/>
  <c r="X359" i="34"/>
  <c r="X362" i="34"/>
  <c r="X366" i="34"/>
  <c r="X380" i="34"/>
  <c r="X385" i="34"/>
  <c r="X386" i="34"/>
  <c r="X390" i="34"/>
  <c r="X392" i="34"/>
  <c r="X393" i="34"/>
  <c r="X397" i="34"/>
  <c r="X405" i="34"/>
  <c r="X408" i="34"/>
  <c r="X409" i="34"/>
  <c r="X444" i="34"/>
  <c r="Y90" i="34"/>
  <c r="Y103" i="34"/>
  <c r="Y152" i="34"/>
  <c r="Y160" i="34"/>
  <c r="Y161" i="34"/>
  <c r="Y169" i="34"/>
  <c r="Y184" i="34"/>
  <c r="Y202" i="34"/>
  <c r="Y274" i="34"/>
  <c r="Y292" i="34"/>
  <c r="Y303" i="34"/>
  <c r="Y339" i="34"/>
  <c r="Y346" i="34"/>
  <c r="Y348" i="34"/>
  <c r="Y350" i="34"/>
  <c r="Y359" i="34"/>
  <c r="Y362" i="34"/>
  <c r="Y366" i="34"/>
  <c r="Y380" i="34"/>
  <c r="Y385" i="34"/>
  <c r="Y386" i="34"/>
  <c r="Y390" i="34"/>
  <c r="Y392" i="34"/>
  <c r="Y393" i="34"/>
  <c r="Y397" i="34"/>
  <c r="Y405" i="34"/>
  <c r="Y408" i="34"/>
  <c r="Y409" i="34"/>
  <c r="Y444" i="34"/>
  <c r="Z90" i="34"/>
  <c r="Z103" i="34"/>
  <c r="Z152" i="34"/>
  <c r="Z160" i="34"/>
  <c r="Z161" i="34"/>
  <c r="Z169" i="34"/>
  <c r="Z184" i="34"/>
  <c r="Z202" i="34"/>
  <c r="Z274" i="34"/>
  <c r="Z292" i="34"/>
  <c r="Z303" i="34"/>
  <c r="Z339" i="34"/>
  <c r="Z346" i="34"/>
  <c r="Z348" i="34"/>
  <c r="Z350" i="34"/>
  <c r="Z359" i="34"/>
  <c r="Z362" i="34"/>
  <c r="Z366" i="34"/>
  <c r="Z380" i="34"/>
  <c r="Z385" i="34"/>
  <c r="Z386" i="34"/>
  <c r="Z390" i="34"/>
  <c r="Z392" i="34"/>
  <c r="Z393" i="34"/>
  <c r="Z397" i="34"/>
  <c r="Z405" i="34"/>
  <c r="Z408" i="34"/>
  <c r="Z409" i="34"/>
  <c r="Z444" i="34"/>
  <c r="AA90" i="34"/>
  <c r="AA103" i="34"/>
  <c r="AA152" i="34"/>
  <c r="AA160" i="34"/>
  <c r="AA161" i="34"/>
  <c r="AA169" i="34"/>
  <c r="AA184" i="34"/>
  <c r="AA202" i="34"/>
  <c r="AA274" i="34"/>
  <c r="AA292" i="34"/>
  <c r="AA303" i="34"/>
  <c r="AA339" i="34"/>
  <c r="AA346" i="34"/>
  <c r="AA348" i="34"/>
  <c r="AA350" i="34"/>
  <c r="AA359" i="34"/>
  <c r="AA362" i="34"/>
  <c r="AA366" i="34"/>
  <c r="AA380" i="34"/>
  <c r="AA385" i="34"/>
  <c r="AA386" i="34"/>
  <c r="AA390" i="34"/>
  <c r="AA392" i="34"/>
  <c r="AA393" i="34"/>
  <c r="AA397" i="34"/>
  <c r="AA405" i="34"/>
  <c r="AA408" i="34"/>
  <c r="AA409" i="34"/>
  <c r="AA444" i="34"/>
  <c r="AB90" i="34"/>
  <c r="AB103" i="34"/>
  <c r="AB152" i="34"/>
  <c r="AB160" i="34"/>
  <c r="AB161" i="34"/>
  <c r="AB169" i="34"/>
  <c r="AB184" i="34"/>
  <c r="AB202" i="34"/>
  <c r="AB274" i="34"/>
  <c r="AB292" i="34"/>
  <c r="AB303" i="34"/>
  <c r="AB339" i="34"/>
  <c r="AB346" i="34"/>
  <c r="AB348" i="34"/>
  <c r="AB350" i="34"/>
  <c r="AB359" i="34"/>
  <c r="AB362" i="34"/>
  <c r="AB366" i="34"/>
  <c r="AB380" i="34"/>
  <c r="AB385" i="34"/>
  <c r="AB386" i="34"/>
  <c r="AB390" i="34"/>
  <c r="AB392" i="34"/>
  <c r="AB393" i="34"/>
  <c r="AB397" i="34"/>
  <c r="AB405" i="34"/>
  <c r="AB408" i="34"/>
  <c r="AB409" i="34"/>
  <c r="AB444" i="34"/>
  <c r="AC90" i="34"/>
  <c r="AC103" i="34"/>
  <c r="AC152" i="34"/>
  <c r="AC160" i="34"/>
  <c r="AC161" i="34"/>
  <c r="AC169" i="34"/>
  <c r="AC184" i="34"/>
  <c r="AC202" i="34"/>
  <c r="AC274" i="34"/>
  <c r="AC292" i="34"/>
  <c r="AC303" i="34"/>
  <c r="AC339" i="34"/>
  <c r="AC346" i="34"/>
  <c r="AC348" i="34"/>
  <c r="AC350" i="34"/>
  <c r="AC359" i="34"/>
  <c r="AC362" i="34"/>
  <c r="AC366" i="34"/>
  <c r="AC380" i="34"/>
  <c r="AC385" i="34"/>
  <c r="AC386" i="34"/>
  <c r="AC390" i="34"/>
  <c r="AC392" i="34"/>
  <c r="AC393" i="34"/>
  <c r="AC397" i="34"/>
  <c r="AC405" i="34"/>
  <c r="AC408" i="34"/>
  <c r="AC409" i="34"/>
  <c r="AC444" i="34"/>
  <c r="AD90" i="34"/>
  <c r="AD103" i="34"/>
  <c r="AD152" i="34"/>
  <c r="AD160" i="34"/>
  <c r="AD161" i="34"/>
  <c r="AD169" i="34"/>
  <c r="AD184" i="34"/>
  <c r="AD202" i="34"/>
  <c r="AD274" i="34"/>
  <c r="AD292" i="34"/>
  <c r="AD303" i="34"/>
  <c r="AD339" i="34"/>
  <c r="AD346" i="34"/>
  <c r="AD348" i="34"/>
  <c r="AD350" i="34"/>
  <c r="AD359" i="34"/>
  <c r="AD362" i="34"/>
  <c r="AD366" i="34"/>
  <c r="AD380" i="34"/>
  <c r="AD385" i="34"/>
  <c r="AD386" i="34"/>
  <c r="AD390" i="34"/>
  <c r="AD392" i="34"/>
  <c r="AD393" i="34"/>
  <c r="AD397" i="34"/>
  <c r="AD405" i="34"/>
  <c r="AD408" i="34"/>
  <c r="AD409" i="34"/>
  <c r="AD444" i="34"/>
  <c r="AE90" i="34"/>
  <c r="AE103" i="34"/>
  <c r="AE152" i="34"/>
  <c r="AE160" i="34"/>
  <c r="AE161" i="34"/>
  <c r="AE169" i="34"/>
  <c r="AE184" i="34"/>
  <c r="AE202" i="34"/>
  <c r="AE274" i="34"/>
  <c r="AE292" i="34"/>
  <c r="AE303" i="34"/>
  <c r="AE339" i="34"/>
  <c r="AE346" i="34"/>
  <c r="AE348" i="34"/>
  <c r="AE350" i="34"/>
  <c r="AE359" i="34"/>
  <c r="AE362" i="34"/>
  <c r="AE366" i="34"/>
  <c r="AE380" i="34"/>
  <c r="AE385" i="34"/>
  <c r="AE386" i="34"/>
  <c r="AE390" i="34"/>
  <c r="AE392" i="34"/>
  <c r="AE393" i="34"/>
  <c r="AE397" i="34"/>
  <c r="AE405" i="34"/>
  <c r="AE408" i="34"/>
  <c r="AE409" i="34"/>
  <c r="AE444" i="34"/>
  <c r="AF90" i="34"/>
  <c r="AF103" i="34"/>
  <c r="AF152" i="34"/>
  <c r="AF160" i="34"/>
  <c r="AF161" i="34"/>
  <c r="AF169" i="34"/>
  <c r="AF184" i="34"/>
  <c r="AF202" i="34"/>
  <c r="AF274" i="34"/>
  <c r="AF292" i="34"/>
  <c r="AF303" i="34"/>
  <c r="AF339" i="34"/>
  <c r="AF346" i="34"/>
  <c r="AF348" i="34"/>
  <c r="AF350" i="34"/>
  <c r="AF359" i="34"/>
  <c r="AF362" i="34"/>
  <c r="AF366" i="34"/>
  <c r="AF380" i="34"/>
  <c r="AF385" i="34"/>
  <c r="AF386" i="34"/>
  <c r="AF390" i="34"/>
  <c r="AF392" i="34"/>
  <c r="AF393" i="34"/>
  <c r="AF397" i="34"/>
  <c r="AF405" i="34"/>
  <c r="AF408" i="34"/>
  <c r="AF409" i="34"/>
  <c r="AF444" i="34"/>
  <c r="AG90" i="34"/>
  <c r="AG103" i="34"/>
  <c r="AG152" i="34"/>
  <c r="AG160" i="34"/>
  <c r="AG161" i="34"/>
  <c r="AG169" i="34"/>
  <c r="AG184" i="34"/>
  <c r="AG202" i="34"/>
  <c r="AG274" i="34"/>
  <c r="AG292" i="34"/>
  <c r="AG303" i="34"/>
  <c r="AG339" i="34"/>
  <c r="AG346" i="34"/>
  <c r="AG348" i="34"/>
  <c r="AG350" i="34"/>
  <c r="AG359" i="34"/>
  <c r="AG362" i="34"/>
  <c r="AG366" i="34"/>
  <c r="AG380" i="34"/>
  <c r="AG385" i="34"/>
  <c r="AG386" i="34"/>
  <c r="AG390" i="34"/>
  <c r="AG392" i="34"/>
  <c r="AG393" i="34"/>
  <c r="AG397" i="34"/>
  <c r="AG405" i="34"/>
  <c r="AG408" i="34"/>
  <c r="AG409" i="34"/>
  <c r="AG444" i="34"/>
  <c r="D112" i="34"/>
  <c r="D122" i="34"/>
  <c r="D127" i="34"/>
  <c r="D204" i="34"/>
  <c r="D213" i="34"/>
  <c r="D216" i="34"/>
  <c r="D226" i="34"/>
  <c r="D233" i="34"/>
  <c r="D249" i="34"/>
  <c r="D252" i="34"/>
  <c r="D265" i="34"/>
  <c r="D275" i="34"/>
  <c r="D301" i="34"/>
  <c r="D309" i="34"/>
  <c r="D351" i="34"/>
  <c r="D374" i="34"/>
  <c r="D381" i="34"/>
  <c r="D389" i="34"/>
  <c r="D396" i="34"/>
  <c r="D410" i="34"/>
  <c r="D436" i="34"/>
  <c r="O112" i="34"/>
  <c r="O122" i="34"/>
  <c r="O127" i="34"/>
  <c r="O204" i="34"/>
  <c r="O213" i="34"/>
  <c r="O216" i="34"/>
  <c r="O226" i="34"/>
  <c r="O233" i="34"/>
  <c r="O249" i="34"/>
  <c r="O252" i="34"/>
  <c r="O265" i="34"/>
  <c r="O275" i="34"/>
  <c r="O301" i="34"/>
  <c r="O309" i="34"/>
  <c r="O351" i="34"/>
  <c r="O374" i="34"/>
  <c r="O381" i="34"/>
  <c r="O389" i="34"/>
  <c r="O396" i="34"/>
  <c r="O410" i="34"/>
  <c r="O436" i="34"/>
  <c r="P112" i="34"/>
  <c r="P122" i="34"/>
  <c r="P127" i="34"/>
  <c r="P204" i="34"/>
  <c r="P213" i="34"/>
  <c r="P216" i="34"/>
  <c r="P226" i="34"/>
  <c r="P233" i="34"/>
  <c r="P249" i="34"/>
  <c r="P252" i="34"/>
  <c r="P265" i="34"/>
  <c r="P275" i="34"/>
  <c r="P301" i="34"/>
  <c r="P309" i="34"/>
  <c r="P351" i="34"/>
  <c r="P374" i="34"/>
  <c r="P381" i="34"/>
  <c r="P389" i="34"/>
  <c r="P396" i="34"/>
  <c r="P410" i="34"/>
  <c r="P436" i="34"/>
  <c r="Q112" i="34"/>
  <c r="Q122" i="34"/>
  <c r="Q127" i="34"/>
  <c r="Q204" i="34"/>
  <c r="Q213" i="34"/>
  <c r="Q216" i="34"/>
  <c r="Q226" i="34"/>
  <c r="Q233" i="34"/>
  <c r="Q249" i="34"/>
  <c r="Q252" i="34"/>
  <c r="Q265" i="34"/>
  <c r="Q275" i="34"/>
  <c r="Q301" i="34"/>
  <c r="Q309" i="34"/>
  <c r="Q351" i="34"/>
  <c r="Q374" i="34"/>
  <c r="Q381" i="34"/>
  <c r="Q389" i="34"/>
  <c r="Q396" i="34"/>
  <c r="Q410" i="34"/>
  <c r="Q436" i="34"/>
  <c r="U112" i="34"/>
  <c r="U122" i="34"/>
  <c r="U127" i="34"/>
  <c r="U204" i="34"/>
  <c r="U213" i="34"/>
  <c r="U216" i="34"/>
  <c r="U226" i="34"/>
  <c r="U233" i="34"/>
  <c r="U249" i="34"/>
  <c r="U252" i="34"/>
  <c r="U265" i="34"/>
  <c r="U275" i="34"/>
  <c r="U301" i="34"/>
  <c r="U309" i="34"/>
  <c r="U351" i="34"/>
  <c r="U374" i="34"/>
  <c r="U381" i="34"/>
  <c r="U389" i="34"/>
  <c r="U396" i="34"/>
  <c r="U410" i="34"/>
  <c r="U436" i="34"/>
  <c r="V112" i="34"/>
  <c r="V122" i="34"/>
  <c r="V127" i="34"/>
  <c r="V204" i="34"/>
  <c r="V213" i="34"/>
  <c r="V216" i="34"/>
  <c r="V226" i="34"/>
  <c r="V233" i="34"/>
  <c r="V249" i="34"/>
  <c r="V252" i="34"/>
  <c r="V265" i="34"/>
  <c r="V275" i="34"/>
  <c r="V301" i="34"/>
  <c r="V309" i="34"/>
  <c r="V351" i="34"/>
  <c r="V374" i="34"/>
  <c r="V381" i="34"/>
  <c r="V389" i="34"/>
  <c r="V396" i="34"/>
  <c r="V410" i="34"/>
  <c r="V436" i="34"/>
  <c r="W112" i="34"/>
  <c r="W122" i="34"/>
  <c r="W127" i="34"/>
  <c r="W204" i="34"/>
  <c r="W213" i="34"/>
  <c r="W216" i="34"/>
  <c r="W226" i="34"/>
  <c r="W233" i="34"/>
  <c r="W249" i="34"/>
  <c r="W252" i="34"/>
  <c r="W265" i="34"/>
  <c r="W275" i="34"/>
  <c r="W301" i="34"/>
  <c r="W309" i="34"/>
  <c r="W351" i="34"/>
  <c r="W374" i="34"/>
  <c r="W381" i="34"/>
  <c r="W389" i="34"/>
  <c r="W396" i="34"/>
  <c r="W410" i="34"/>
  <c r="W436" i="34"/>
  <c r="X112" i="34"/>
  <c r="X122" i="34"/>
  <c r="X127" i="34"/>
  <c r="X204" i="34"/>
  <c r="X213" i="34"/>
  <c r="X216" i="34"/>
  <c r="X226" i="34"/>
  <c r="X233" i="34"/>
  <c r="X249" i="34"/>
  <c r="X252" i="34"/>
  <c r="X265" i="34"/>
  <c r="X275" i="34"/>
  <c r="X301" i="34"/>
  <c r="X309" i="34"/>
  <c r="X351" i="34"/>
  <c r="X374" i="34"/>
  <c r="X381" i="34"/>
  <c r="X389" i="34"/>
  <c r="X396" i="34"/>
  <c r="X410" i="34"/>
  <c r="X436" i="34"/>
  <c r="Y112" i="34"/>
  <c r="Y122" i="34"/>
  <c r="Y127" i="34"/>
  <c r="Y204" i="34"/>
  <c r="Y213" i="34"/>
  <c r="Y216" i="34"/>
  <c r="Y226" i="34"/>
  <c r="Y233" i="34"/>
  <c r="Y249" i="34"/>
  <c r="Y252" i="34"/>
  <c r="Y265" i="34"/>
  <c r="Y275" i="34"/>
  <c r="Y301" i="34"/>
  <c r="Y309" i="34"/>
  <c r="Y351" i="34"/>
  <c r="Y374" i="34"/>
  <c r="Y381" i="34"/>
  <c r="Y389" i="34"/>
  <c r="Y396" i="34"/>
  <c r="Y410" i="34"/>
  <c r="Y436" i="34"/>
  <c r="Z112" i="34"/>
  <c r="Z122" i="34"/>
  <c r="Z127" i="34"/>
  <c r="Z204" i="34"/>
  <c r="Z213" i="34"/>
  <c r="Z216" i="34"/>
  <c r="Z226" i="34"/>
  <c r="Z233" i="34"/>
  <c r="Z249" i="34"/>
  <c r="Z252" i="34"/>
  <c r="Z265" i="34"/>
  <c r="Z275" i="34"/>
  <c r="Z301" i="34"/>
  <c r="Z309" i="34"/>
  <c r="Z351" i="34"/>
  <c r="Z374" i="34"/>
  <c r="Z381" i="34"/>
  <c r="Z389" i="34"/>
  <c r="Z396" i="34"/>
  <c r="Z410" i="34"/>
  <c r="Z436" i="34"/>
  <c r="AA112" i="34"/>
  <c r="AA122" i="34"/>
  <c r="AA127" i="34"/>
  <c r="AA204" i="34"/>
  <c r="AA213" i="34"/>
  <c r="AA216" i="34"/>
  <c r="AA226" i="34"/>
  <c r="AA233" i="34"/>
  <c r="AA249" i="34"/>
  <c r="AA252" i="34"/>
  <c r="AA265" i="34"/>
  <c r="AA275" i="34"/>
  <c r="AA301" i="34"/>
  <c r="AA309" i="34"/>
  <c r="AA351" i="34"/>
  <c r="AA374" i="34"/>
  <c r="AA381" i="34"/>
  <c r="AA389" i="34"/>
  <c r="AA396" i="34"/>
  <c r="AA410" i="34"/>
  <c r="AA436" i="34"/>
  <c r="AB112" i="34"/>
  <c r="AB122" i="34"/>
  <c r="AB127" i="34"/>
  <c r="AB204" i="34"/>
  <c r="AB213" i="34"/>
  <c r="AB216" i="34"/>
  <c r="AB226" i="34"/>
  <c r="AB233" i="34"/>
  <c r="AB249" i="34"/>
  <c r="AB252" i="34"/>
  <c r="AB265" i="34"/>
  <c r="AB275" i="34"/>
  <c r="AB301" i="34"/>
  <c r="AB309" i="34"/>
  <c r="AB351" i="34"/>
  <c r="AB374" i="34"/>
  <c r="AB381" i="34"/>
  <c r="AB389" i="34"/>
  <c r="AB396" i="34"/>
  <c r="AB410" i="34"/>
  <c r="AB436" i="34"/>
  <c r="AC112" i="34"/>
  <c r="AC122" i="34"/>
  <c r="AC127" i="34"/>
  <c r="AC204" i="34"/>
  <c r="AC213" i="34"/>
  <c r="AC216" i="34"/>
  <c r="AC226" i="34"/>
  <c r="AC233" i="34"/>
  <c r="AC249" i="34"/>
  <c r="AC252" i="34"/>
  <c r="AC265" i="34"/>
  <c r="AC275" i="34"/>
  <c r="AC301" i="34"/>
  <c r="AC309" i="34"/>
  <c r="AC351" i="34"/>
  <c r="AC374" i="34"/>
  <c r="AC381" i="34"/>
  <c r="AC389" i="34"/>
  <c r="AC396" i="34"/>
  <c r="AC410" i="34"/>
  <c r="AC436" i="34"/>
  <c r="AD112" i="34"/>
  <c r="AD122" i="34"/>
  <c r="AD127" i="34"/>
  <c r="AD204" i="34"/>
  <c r="AD213" i="34"/>
  <c r="AD216" i="34"/>
  <c r="AD226" i="34"/>
  <c r="AD233" i="34"/>
  <c r="AD249" i="34"/>
  <c r="AD252" i="34"/>
  <c r="AD265" i="34"/>
  <c r="AD275" i="34"/>
  <c r="AD301" i="34"/>
  <c r="AD309" i="34"/>
  <c r="AD351" i="34"/>
  <c r="AD374" i="34"/>
  <c r="AD381" i="34"/>
  <c r="AD389" i="34"/>
  <c r="AD396" i="34"/>
  <c r="AD410" i="34"/>
  <c r="AD436" i="34"/>
  <c r="AE112" i="34"/>
  <c r="AE122" i="34"/>
  <c r="AE127" i="34"/>
  <c r="AE204" i="34"/>
  <c r="AE213" i="34"/>
  <c r="AE216" i="34"/>
  <c r="AE226" i="34"/>
  <c r="AE233" i="34"/>
  <c r="AE249" i="34"/>
  <c r="AE252" i="34"/>
  <c r="AE265" i="34"/>
  <c r="AE275" i="34"/>
  <c r="AE301" i="34"/>
  <c r="AE309" i="34"/>
  <c r="AE351" i="34"/>
  <c r="AE374" i="34"/>
  <c r="AE381" i="34"/>
  <c r="AE389" i="34"/>
  <c r="AE396" i="34"/>
  <c r="AE410" i="34"/>
  <c r="AE436" i="34"/>
  <c r="AF112" i="34"/>
  <c r="AF122" i="34"/>
  <c r="AF127" i="34"/>
  <c r="AF204" i="34"/>
  <c r="AF213" i="34"/>
  <c r="AF216" i="34"/>
  <c r="AF226" i="34"/>
  <c r="AF233" i="34"/>
  <c r="AF249" i="34"/>
  <c r="AF252" i="34"/>
  <c r="AF265" i="34"/>
  <c r="AF275" i="34"/>
  <c r="AF301" i="34"/>
  <c r="AF309" i="34"/>
  <c r="AF351" i="34"/>
  <c r="AF374" i="34"/>
  <c r="AF381" i="34"/>
  <c r="AF389" i="34"/>
  <c r="AF396" i="34"/>
  <c r="AF410" i="34"/>
  <c r="AF436" i="34"/>
  <c r="AG112" i="34"/>
  <c r="AG122" i="34"/>
  <c r="AG127" i="34"/>
  <c r="AG204" i="34"/>
  <c r="AG213" i="34"/>
  <c r="AG216" i="34"/>
  <c r="AG226" i="34"/>
  <c r="AG233" i="34"/>
  <c r="AG249" i="34"/>
  <c r="AG252" i="34"/>
  <c r="AG265" i="34"/>
  <c r="AG275" i="34"/>
  <c r="AG301" i="34"/>
  <c r="AG309" i="34"/>
  <c r="AG351" i="34"/>
  <c r="AG374" i="34"/>
  <c r="AG381" i="34"/>
  <c r="AG389" i="34"/>
  <c r="AG396" i="34"/>
  <c r="AG410" i="34"/>
  <c r="AG436" i="34"/>
  <c r="D88" i="34"/>
  <c r="D143" i="34"/>
  <c r="D147" i="34"/>
  <c r="D162" i="34"/>
  <c r="D172" i="34"/>
  <c r="D196" i="34"/>
  <c r="D219" i="34"/>
  <c r="D223" i="34"/>
  <c r="D244" i="34"/>
  <c r="D300" i="34"/>
  <c r="D312" i="34"/>
  <c r="D329" i="34"/>
  <c r="D342" i="34"/>
  <c r="D356" i="34"/>
  <c r="D368" i="34"/>
  <c r="D376" i="34"/>
  <c r="D402" i="34"/>
  <c r="D422" i="34"/>
  <c r="D492" i="34"/>
  <c r="D521" i="34"/>
  <c r="D538" i="34"/>
  <c r="D558" i="34"/>
  <c r="D569" i="34"/>
  <c r="I88" i="34"/>
  <c r="M88" i="34"/>
  <c r="N88" i="34"/>
  <c r="O88" i="34"/>
  <c r="O143" i="34"/>
  <c r="O147" i="34"/>
  <c r="O162" i="34"/>
  <c r="O172" i="34"/>
  <c r="O196" i="34"/>
  <c r="O219" i="34"/>
  <c r="O223" i="34"/>
  <c r="O244" i="34"/>
  <c r="O300" i="34"/>
  <c r="O312" i="34"/>
  <c r="O329" i="34"/>
  <c r="O342" i="34"/>
  <c r="O356" i="34"/>
  <c r="O368" i="34"/>
  <c r="O376" i="34"/>
  <c r="O402" i="34"/>
  <c r="O422" i="34"/>
  <c r="O492" i="34"/>
  <c r="O521" i="34"/>
  <c r="O538" i="34"/>
  <c r="O558" i="34"/>
  <c r="O569" i="34"/>
  <c r="P88" i="34"/>
  <c r="P143" i="34"/>
  <c r="P147" i="34"/>
  <c r="P162" i="34"/>
  <c r="P172" i="34"/>
  <c r="P196" i="34"/>
  <c r="P219" i="34"/>
  <c r="P223" i="34"/>
  <c r="P244" i="34"/>
  <c r="P300" i="34"/>
  <c r="P312" i="34"/>
  <c r="P329" i="34"/>
  <c r="P342" i="34"/>
  <c r="P356" i="34"/>
  <c r="P368" i="34"/>
  <c r="P376" i="34"/>
  <c r="P402" i="34"/>
  <c r="P422" i="34"/>
  <c r="P492" i="34"/>
  <c r="P521" i="34"/>
  <c r="P538" i="34"/>
  <c r="P558" i="34"/>
  <c r="P569" i="34"/>
  <c r="Q88" i="34"/>
  <c r="Q143" i="34"/>
  <c r="Q147" i="34"/>
  <c r="Q162" i="34"/>
  <c r="Q172" i="34"/>
  <c r="Q196" i="34"/>
  <c r="Q219" i="34"/>
  <c r="Q223" i="34"/>
  <c r="Q244" i="34"/>
  <c r="Q300" i="34"/>
  <c r="Q312" i="34"/>
  <c r="Q329" i="34"/>
  <c r="Q342" i="34"/>
  <c r="Q356" i="34"/>
  <c r="Q368" i="34"/>
  <c r="Q376" i="34"/>
  <c r="Q402" i="34"/>
  <c r="Q422" i="34"/>
  <c r="Q492" i="34"/>
  <c r="Q521" i="34"/>
  <c r="Q538" i="34"/>
  <c r="Q558" i="34"/>
  <c r="Q569" i="34"/>
  <c r="M89" i="34"/>
  <c r="I89" i="34"/>
  <c r="N89" i="34"/>
  <c r="S89" i="34"/>
  <c r="R89" i="34"/>
  <c r="R88" i="34"/>
  <c r="S88" i="34"/>
  <c r="T89" i="34"/>
  <c r="T88" i="34"/>
  <c r="U88" i="34"/>
  <c r="U143" i="34"/>
  <c r="U147" i="34"/>
  <c r="U162" i="34"/>
  <c r="U172" i="34"/>
  <c r="U196" i="34"/>
  <c r="U219" i="34"/>
  <c r="U223" i="34"/>
  <c r="U244" i="34"/>
  <c r="U300" i="34"/>
  <c r="U312" i="34"/>
  <c r="U329" i="34"/>
  <c r="U342" i="34"/>
  <c r="U356" i="34"/>
  <c r="U368" i="34"/>
  <c r="U376" i="34"/>
  <c r="U402" i="34"/>
  <c r="U422" i="34"/>
  <c r="U492" i="34"/>
  <c r="U521" i="34"/>
  <c r="U538" i="34"/>
  <c r="U558" i="34"/>
  <c r="U569" i="34"/>
  <c r="V88" i="34"/>
  <c r="V143" i="34"/>
  <c r="V147" i="34"/>
  <c r="V162" i="34"/>
  <c r="V172" i="34"/>
  <c r="V196" i="34"/>
  <c r="V219" i="34"/>
  <c r="V223" i="34"/>
  <c r="V244" i="34"/>
  <c r="V300" i="34"/>
  <c r="V312" i="34"/>
  <c r="V329" i="34"/>
  <c r="V342" i="34"/>
  <c r="V356" i="34"/>
  <c r="V368" i="34"/>
  <c r="V376" i="34"/>
  <c r="V402" i="34"/>
  <c r="V422" i="34"/>
  <c r="V492" i="34"/>
  <c r="V521" i="34"/>
  <c r="V538" i="34"/>
  <c r="V558" i="34"/>
  <c r="V569" i="34"/>
  <c r="W88" i="34"/>
  <c r="W143" i="34"/>
  <c r="W147" i="34"/>
  <c r="W162" i="34"/>
  <c r="W172" i="34"/>
  <c r="W196" i="34"/>
  <c r="W219" i="34"/>
  <c r="W223" i="34"/>
  <c r="W244" i="34"/>
  <c r="W300" i="34"/>
  <c r="W312" i="34"/>
  <c r="W329" i="34"/>
  <c r="W342" i="34"/>
  <c r="W356" i="34"/>
  <c r="W368" i="34"/>
  <c r="W376" i="34"/>
  <c r="W402" i="34"/>
  <c r="W422" i="34"/>
  <c r="W492" i="34"/>
  <c r="W521" i="34"/>
  <c r="W538" i="34"/>
  <c r="W558" i="34"/>
  <c r="W569" i="34"/>
  <c r="X88" i="34"/>
  <c r="X143" i="34"/>
  <c r="X147" i="34"/>
  <c r="X162" i="34"/>
  <c r="X172" i="34"/>
  <c r="X196" i="34"/>
  <c r="X219" i="34"/>
  <c r="X223" i="34"/>
  <c r="X244" i="34"/>
  <c r="X300" i="34"/>
  <c r="X312" i="34"/>
  <c r="X329" i="34"/>
  <c r="X342" i="34"/>
  <c r="X356" i="34"/>
  <c r="X368" i="34"/>
  <c r="X376" i="34"/>
  <c r="X402" i="34"/>
  <c r="X422" i="34"/>
  <c r="X492" i="34"/>
  <c r="X521" i="34"/>
  <c r="X538" i="34"/>
  <c r="X558" i="34"/>
  <c r="X569" i="34"/>
  <c r="Y88" i="34"/>
  <c r="Y143" i="34"/>
  <c r="Y147" i="34"/>
  <c r="Y162" i="34"/>
  <c r="Y172" i="34"/>
  <c r="Y196" i="34"/>
  <c r="Y219" i="34"/>
  <c r="Y223" i="34"/>
  <c r="Y244" i="34"/>
  <c r="Y300" i="34"/>
  <c r="Y312" i="34"/>
  <c r="Y329" i="34"/>
  <c r="Y342" i="34"/>
  <c r="Y356" i="34"/>
  <c r="Y368" i="34"/>
  <c r="Y376" i="34"/>
  <c r="Y402" i="34"/>
  <c r="Y422" i="34"/>
  <c r="Y492" i="34"/>
  <c r="Y521" i="34"/>
  <c r="Y538" i="34"/>
  <c r="Y558" i="34"/>
  <c r="Y569" i="34"/>
  <c r="Z88" i="34"/>
  <c r="Z143" i="34"/>
  <c r="Z147" i="34"/>
  <c r="Z162" i="34"/>
  <c r="Z172" i="34"/>
  <c r="Z196" i="34"/>
  <c r="Z219" i="34"/>
  <c r="Z223" i="34"/>
  <c r="Z244" i="34"/>
  <c r="Z300" i="34"/>
  <c r="Z312" i="34"/>
  <c r="Z329" i="34"/>
  <c r="Z342" i="34"/>
  <c r="Z356" i="34"/>
  <c r="Z368" i="34"/>
  <c r="Z376" i="34"/>
  <c r="Z402" i="34"/>
  <c r="Z422" i="34"/>
  <c r="Z492" i="34"/>
  <c r="Z521" i="34"/>
  <c r="Z538" i="34"/>
  <c r="Z558" i="34"/>
  <c r="Z569" i="34"/>
  <c r="AA88" i="34"/>
  <c r="AA143" i="34"/>
  <c r="AA147" i="34"/>
  <c r="AA162" i="34"/>
  <c r="AA172" i="34"/>
  <c r="AA196" i="34"/>
  <c r="AA219" i="34"/>
  <c r="AA223" i="34"/>
  <c r="AA244" i="34"/>
  <c r="AA300" i="34"/>
  <c r="AA312" i="34"/>
  <c r="AA329" i="34"/>
  <c r="AA342" i="34"/>
  <c r="AA356" i="34"/>
  <c r="AA368" i="34"/>
  <c r="AA376" i="34"/>
  <c r="AA402" i="34"/>
  <c r="AA422" i="34"/>
  <c r="AA492" i="34"/>
  <c r="AA521" i="34"/>
  <c r="AA538" i="34"/>
  <c r="AA558" i="34"/>
  <c r="AA569" i="34"/>
  <c r="AB88" i="34"/>
  <c r="AB143" i="34"/>
  <c r="AB147" i="34"/>
  <c r="AB162" i="34"/>
  <c r="AB172" i="34"/>
  <c r="AB196" i="34"/>
  <c r="AB219" i="34"/>
  <c r="AB223" i="34"/>
  <c r="AB244" i="34"/>
  <c r="AB300" i="34"/>
  <c r="AB312" i="34"/>
  <c r="AB329" i="34"/>
  <c r="AB342" i="34"/>
  <c r="AB356" i="34"/>
  <c r="AB368" i="34"/>
  <c r="AB376" i="34"/>
  <c r="AB402" i="34"/>
  <c r="AB422" i="34"/>
  <c r="AB492" i="34"/>
  <c r="AB521" i="34"/>
  <c r="AB538" i="34"/>
  <c r="AB558" i="34"/>
  <c r="AB569" i="34"/>
  <c r="AC88" i="34"/>
  <c r="AC143" i="34"/>
  <c r="AC147" i="34"/>
  <c r="AC162" i="34"/>
  <c r="AC172" i="34"/>
  <c r="AC196" i="34"/>
  <c r="AC219" i="34"/>
  <c r="AC223" i="34"/>
  <c r="AC244" i="34"/>
  <c r="AC300" i="34"/>
  <c r="AC312" i="34"/>
  <c r="AC329" i="34"/>
  <c r="AC342" i="34"/>
  <c r="AC356" i="34"/>
  <c r="AC368" i="34"/>
  <c r="AC376" i="34"/>
  <c r="AC402" i="34"/>
  <c r="AC422" i="34"/>
  <c r="AC492" i="34"/>
  <c r="AC521" i="34"/>
  <c r="AC538" i="34"/>
  <c r="AC558" i="34"/>
  <c r="AC569" i="34"/>
  <c r="AD88" i="34"/>
  <c r="AD143" i="34"/>
  <c r="AD147" i="34"/>
  <c r="AD162" i="34"/>
  <c r="AD172" i="34"/>
  <c r="AD196" i="34"/>
  <c r="AD219" i="34"/>
  <c r="AD223" i="34"/>
  <c r="AD244" i="34"/>
  <c r="AD300" i="34"/>
  <c r="AD312" i="34"/>
  <c r="AD329" i="34"/>
  <c r="AD342" i="34"/>
  <c r="AD356" i="34"/>
  <c r="AD368" i="34"/>
  <c r="AD376" i="34"/>
  <c r="AD402" i="34"/>
  <c r="AD422" i="34"/>
  <c r="AD492" i="34"/>
  <c r="AD521" i="34"/>
  <c r="AD538" i="34"/>
  <c r="AD558" i="34"/>
  <c r="AD569" i="34"/>
  <c r="AE88" i="34"/>
  <c r="AE143" i="34"/>
  <c r="AE147" i="34"/>
  <c r="AE162" i="34"/>
  <c r="AE172" i="34"/>
  <c r="AE196" i="34"/>
  <c r="AE219" i="34"/>
  <c r="AE223" i="34"/>
  <c r="AE244" i="34"/>
  <c r="AE300" i="34"/>
  <c r="AE312" i="34"/>
  <c r="AE329" i="34"/>
  <c r="AE342" i="34"/>
  <c r="AE356" i="34"/>
  <c r="AE368" i="34"/>
  <c r="AE376" i="34"/>
  <c r="AE402" i="34"/>
  <c r="AE422" i="34"/>
  <c r="AE492" i="34"/>
  <c r="AE521" i="34"/>
  <c r="AE538" i="34"/>
  <c r="AE558" i="34"/>
  <c r="AE569" i="34"/>
  <c r="AF88" i="34"/>
  <c r="AF143" i="34"/>
  <c r="AF147" i="34"/>
  <c r="AF162" i="34"/>
  <c r="AF172" i="34"/>
  <c r="AF196" i="34"/>
  <c r="AF219" i="34"/>
  <c r="AF223" i="34"/>
  <c r="AF244" i="34"/>
  <c r="AF300" i="34"/>
  <c r="AF312" i="34"/>
  <c r="AF329" i="34"/>
  <c r="AF342" i="34"/>
  <c r="AF356" i="34"/>
  <c r="AF368" i="34"/>
  <c r="AF376" i="34"/>
  <c r="AF402" i="34"/>
  <c r="AF422" i="34"/>
  <c r="AF492" i="34"/>
  <c r="AF521" i="34"/>
  <c r="AF538" i="34"/>
  <c r="AF558" i="34"/>
  <c r="AF569" i="34"/>
  <c r="AG88" i="34"/>
  <c r="AG143" i="34"/>
  <c r="AG147" i="34"/>
  <c r="AG162" i="34"/>
  <c r="AG172" i="34"/>
  <c r="AG196" i="34"/>
  <c r="AG219" i="34"/>
  <c r="AG223" i="34"/>
  <c r="AG244" i="34"/>
  <c r="AG300" i="34"/>
  <c r="AG312" i="34"/>
  <c r="AG329" i="34"/>
  <c r="AG342" i="34"/>
  <c r="AG356" i="34"/>
  <c r="AG368" i="34"/>
  <c r="AG376" i="34"/>
  <c r="AG402" i="34"/>
  <c r="AG422" i="34"/>
  <c r="AG492" i="34"/>
  <c r="AG521" i="34"/>
  <c r="AG538" i="34"/>
  <c r="AG558" i="34"/>
  <c r="AG569" i="34"/>
  <c r="D19" i="34"/>
  <c r="D20" i="34"/>
  <c r="D21" i="34"/>
  <c r="D22" i="34"/>
  <c r="D24" i="34"/>
  <c r="D25" i="34"/>
  <c r="D26" i="34"/>
  <c r="D27" i="34"/>
  <c r="D28" i="34"/>
  <c r="D29" i="34"/>
  <c r="D30" i="34"/>
  <c r="D33" i="34"/>
  <c r="D35" i="34"/>
  <c r="D36" i="34"/>
  <c r="D38" i="34"/>
  <c r="D39" i="34"/>
  <c r="D40" i="34"/>
  <c r="D41" i="34"/>
  <c r="D43" i="34"/>
  <c r="D45" i="34"/>
  <c r="D46" i="34"/>
  <c r="D47" i="34"/>
  <c r="D48" i="34"/>
  <c r="D49" i="34"/>
  <c r="D50" i="34"/>
  <c r="D51" i="34"/>
  <c r="D52" i="34"/>
  <c r="D53" i="34"/>
  <c r="D57" i="34"/>
  <c r="D58" i="34"/>
  <c r="D59" i="34"/>
  <c r="D60" i="34"/>
  <c r="D63" i="34"/>
  <c r="D64" i="34"/>
  <c r="D65" i="34"/>
  <c r="D67" i="34"/>
  <c r="D68" i="34"/>
  <c r="D70" i="34"/>
  <c r="D71" i="34"/>
  <c r="D73" i="34"/>
  <c r="D74" i="34"/>
  <c r="D77" i="34"/>
  <c r="D80" i="34"/>
  <c r="D81" i="34"/>
  <c r="D82" i="34"/>
  <c r="D83" i="34"/>
  <c r="D84" i="34"/>
  <c r="D85" i="34"/>
  <c r="D89" i="34"/>
  <c r="D95" i="34"/>
  <c r="D109" i="34"/>
  <c r="D123" i="34"/>
  <c r="D149" i="34"/>
  <c r="D185" i="34"/>
  <c r="D210" i="34"/>
  <c r="D222" i="34"/>
  <c r="D224" i="34"/>
  <c r="D232" i="34"/>
  <c r="D243" i="34"/>
  <c r="D266" i="34"/>
  <c r="D277" i="34"/>
  <c r="D280" i="34"/>
  <c r="D291" i="34"/>
  <c r="D296" i="34"/>
  <c r="D298" i="34"/>
  <c r="D315" i="34"/>
  <c r="D322" i="34"/>
  <c r="D333" i="34"/>
  <c r="D335" i="34"/>
  <c r="D336" i="34"/>
  <c r="D337" i="34"/>
  <c r="D338" i="34"/>
  <c r="D341" i="34"/>
  <c r="D347" i="34"/>
  <c r="D361" i="34"/>
  <c r="D371" i="34"/>
  <c r="D398" i="34"/>
  <c r="D407" i="34"/>
  <c r="D421" i="34"/>
  <c r="D423" i="34"/>
  <c r="D433" i="34"/>
  <c r="D440" i="34"/>
  <c r="D443" i="34"/>
  <c r="D446" i="34"/>
  <c r="D451" i="34"/>
  <c r="D457" i="34"/>
  <c r="D464" i="34"/>
  <c r="D495" i="34"/>
  <c r="D501" i="34"/>
  <c r="D504" i="34"/>
  <c r="D505" i="34"/>
  <c r="D512" i="34"/>
  <c r="D514" i="34"/>
  <c r="D516" i="34"/>
  <c r="D520" i="34"/>
  <c r="D542" i="34"/>
  <c r="D557" i="34"/>
  <c r="D561" i="34"/>
  <c r="I19" i="34"/>
  <c r="I20" i="34"/>
  <c r="I21" i="34"/>
  <c r="I22" i="34"/>
  <c r="I24" i="34"/>
  <c r="I25" i="34"/>
  <c r="I26" i="34"/>
  <c r="I27" i="34"/>
  <c r="I28" i="34"/>
  <c r="I29" i="34"/>
  <c r="I30" i="34"/>
  <c r="I33" i="34"/>
  <c r="I35" i="34"/>
  <c r="I36" i="34"/>
  <c r="I38" i="34"/>
  <c r="I39" i="34"/>
  <c r="I40" i="34"/>
  <c r="I41" i="34"/>
  <c r="I43" i="34"/>
  <c r="I45" i="34"/>
  <c r="I46" i="34"/>
  <c r="I47" i="34"/>
  <c r="I48" i="34"/>
  <c r="I49" i="34"/>
  <c r="I50" i="34"/>
  <c r="I51" i="34"/>
  <c r="I52" i="34"/>
  <c r="I53" i="34"/>
  <c r="I57" i="34"/>
  <c r="I58" i="34"/>
  <c r="I59" i="34"/>
  <c r="I60" i="34"/>
  <c r="I63" i="34"/>
  <c r="I64" i="34"/>
  <c r="I65" i="34"/>
  <c r="I67" i="34"/>
  <c r="I68" i="34"/>
  <c r="I70" i="34"/>
  <c r="I71" i="34"/>
  <c r="I73" i="34"/>
  <c r="I74" i="34"/>
  <c r="I77" i="34"/>
  <c r="I80" i="34"/>
  <c r="I81" i="34"/>
  <c r="I82" i="34"/>
  <c r="I83" i="34"/>
  <c r="I84" i="34"/>
  <c r="I85" i="34"/>
  <c r="M19" i="34"/>
  <c r="M20" i="34"/>
  <c r="M21" i="34"/>
  <c r="M22" i="34"/>
  <c r="M24" i="34"/>
  <c r="M25" i="34"/>
  <c r="M26" i="34"/>
  <c r="M27" i="34"/>
  <c r="M28" i="34"/>
  <c r="M29" i="34"/>
  <c r="M30" i="34"/>
  <c r="M33" i="34"/>
  <c r="M35" i="34"/>
  <c r="M36" i="34"/>
  <c r="M38" i="34"/>
  <c r="M39" i="34"/>
  <c r="M40" i="34"/>
  <c r="M41" i="34"/>
  <c r="M43" i="34"/>
  <c r="M45" i="34"/>
  <c r="M46" i="34"/>
  <c r="M47" i="34"/>
  <c r="M48" i="34"/>
  <c r="M49" i="34"/>
  <c r="M50" i="34"/>
  <c r="M51" i="34"/>
  <c r="M52" i="34"/>
  <c r="M53" i="34"/>
  <c r="M57" i="34"/>
  <c r="M58" i="34"/>
  <c r="M59" i="34"/>
  <c r="M60" i="34"/>
  <c r="M63" i="34"/>
  <c r="M64" i="34"/>
  <c r="M65" i="34"/>
  <c r="M67" i="34"/>
  <c r="M68" i="34"/>
  <c r="M70" i="34"/>
  <c r="M71" i="34"/>
  <c r="M73" i="34"/>
  <c r="M74" i="34"/>
  <c r="M77" i="34"/>
  <c r="M80" i="34"/>
  <c r="M81" i="34"/>
  <c r="M82" i="34"/>
  <c r="M83" i="34"/>
  <c r="M84" i="34"/>
  <c r="M85" i="34"/>
  <c r="N19" i="34"/>
  <c r="N20" i="34"/>
  <c r="N21" i="34"/>
  <c r="N22" i="34"/>
  <c r="N24" i="34"/>
  <c r="N25" i="34"/>
  <c r="N26" i="34"/>
  <c r="N27" i="34"/>
  <c r="N28" i="34"/>
  <c r="N29" i="34"/>
  <c r="N30" i="34"/>
  <c r="N33" i="34"/>
  <c r="N35" i="34"/>
  <c r="N36" i="34"/>
  <c r="N38" i="34"/>
  <c r="N39" i="34"/>
  <c r="N40" i="34"/>
  <c r="N41" i="34"/>
  <c r="N43" i="34"/>
  <c r="N45" i="34"/>
  <c r="N46" i="34"/>
  <c r="N47" i="34"/>
  <c r="N48" i="34"/>
  <c r="N49" i="34"/>
  <c r="N50" i="34"/>
  <c r="N51" i="34"/>
  <c r="N52" i="34"/>
  <c r="N53" i="34"/>
  <c r="N57" i="34"/>
  <c r="N58" i="34"/>
  <c r="N59" i="34"/>
  <c r="N60" i="34"/>
  <c r="N63" i="34"/>
  <c r="N64" i="34"/>
  <c r="N65" i="34"/>
  <c r="N67" i="34"/>
  <c r="N68" i="34"/>
  <c r="N70" i="34"/>
  <c r="N71" i="34"/>
  <c r="N73" i="34"/>
  <c r="N74" i="34"/>
  <c r="N77" i="34"/>
  <c r="N80" i="34"/>
  <c r="N81" i="34"/>
  <c r="N82" i="34"/>
  <c r="N83" i="34"/>
  <c r="N84" i="34"/>
  <c r="N85" i="34"/>
  <c r="O19" i="34"/>
  <c r="O20" i="34"/>
  <c r="O21" i="34"/>
  <c r="O22" i="34"/>
  <c r="O24" i="34"/>
  <c r="O25" i="34"/>
  <c r="O26" i="34"/>
  <c r="O27" i="34"/>
  <c r="O28" i="34"/>
  <c r="O29" i="34"/>
  <c r="O30" i="34"/>
  <c r="O33" i="34"/>
  <c r="O35" i="34"/>
  <c r="O36" i="34"/>
  <c r="O38" i="34"/>
  <c r="O39" i="34"/>
  <c r="O40" i="34"/>
  <c r="O41" i="34"/>
  <c r="O43" i="34"/>
  <c r="O45" i="34"/>
  <c r="O46" i="34"/>
  <c r="O47" i="34"/>
  <c r="O48" i="34"/>
  <c r="O49" i="34"/>
  <c r="O50" i="34"/>
  <c r="O51" i="34"/>
  <c r="O52" i="34"/>
  <c r="O53" i="34"/>
  <c r="O57" i="34"/>
  <c r="O58" i="34"/>
  <c r="O59" i="34"/>
  <c r="O60" i="34"/>
  <c r="O63" i="34"/>
  <c r="O64" i="34"/>
  <c r="O65" i="34"/>
  <c r="O67" i="34"/>
  <c r="O68" i="34"/>
  <c r="O70" i="34"/>
  <c r="O71" i="34"/>
  <c r="O73" i="34"/>
  <c r="O74" i="34"/>
  <c r="O77" i="34"/>
  <c r="O80" i="34"/>
  <c r="O81" i="34"/>
  <c r="O82" i="34"/>
  <c r="O83" i="34"/>
  <c r="O84" i="34"/>
  <c r="O85" i="34"/>
  <c r="O89" i="34"/>
  <c r="O95" i="34"/>
  <c r="O109" i="34"/>
  <c r="O123" i="34"/>
  <c r="O149" i="34"/>
  <c r="O185" i="34"/>
  <c r="O210" i="34"/>
  <c r="O222" i="34"/>
  <c r="O224" i="34"/>
  <c r="O232" i="34"/>
  <c r="O243" i="34"/>
  <c r="O266" i="34"/>
  <c r="O277" i="34"/>
  <c r="O280" i="34"/>
  <c r="O291" i="34"/>
  <c r="O296" i="34"/>
  <c r="O298" i="34"/>
  <c r="O315" i="34"/>
  <c r="O322" i="34"/>
  <c r="O333" i="34"/>
  <c r="O335" i="34"/>
  <c r="O336" i="34"/>
  <c r="O337" i="34"/>
  <c r="O338" i="34"/>
  <c r="O341" i="34"/>
  <c r="O347" i="34"/>
  <c r="O361" i="34"/>
  <c r="O371" i="34"/>
  <c r="O398" i="34"/>
  <c r="O407" i="34"/>
  <c r="O421" i="34"/>
  <c r="O423" i="34"/>
  <c r="O433" i="34"/>
  <c r="O440" i="34"/>
  <c r="O443" i="34"/>
  <c r="O446" i="34"/>
  <c r="O451" i="34"/>
  <c r="O457" i="34"/>
  <c r="O464" i="34"/>
  <c r="O495" i="34"/>
  <c r="O501" i="34"/>
  <c r="O504" i="34"/>
  <c r="O505" i="34"/>
  <c r="O512" i="34"/>
  <c r="O514" i="34"/>
  <c r="O516" i="34"/>
  <c r="O520" i="34"/>
  <c r="O542" i="34"/>
  <c r="O557" i="34"/>
  <c r="O561" i="34"/>
  <c r="P19" i="34"/>
  <c r="P20" i="34"/>
  <c r="P21" i="34"/>
  <c r="P22" i="34"/>
  <c r="P24" i="34"/>
  <c r="P25" i="34"/>
  <c r="P26" i="34"/>
  <c r="P27" i="34"/>
  <c r="P28" i="34"/>
  <c r="P29" i="34"/>
  <c r="P30" i="34"/>
  <c r="P33" i="34"/>
  <c r="P35" i="34"/>
  <c r="P36" i="34"/>
  <c r="P38" i="34"/>
  <c r="P39" i="34"/>
  <c r="P40" i="34"/>
  <c r="P41" i="34"/>
  <c r="P43" i="34"/>
  <c r="P45" i="34"/>
  <c r="P46" i="34"/>
  <c r="P47" i="34"/>
  <c r="P48" i="34"/>
  <c r="P49" i="34"/>
  <c r="P50" i="34"/>
  <c r="P51" i="34"/>
  <c r="P52" i="34"/>
  <c r="P53" i="34"/>
  <c r="P57" i="34"/>
  <c r="P58" i="34"/>
  <c r="P59" i="34"/>
  <c r="P60" i="34"/>
  <c r="P63" i="34"/>
  <c r="P64" i="34"/>
  <c r="P65" i="34"/>
  <c r="P67" i="34"/>
  <c r="P68" i="34"/>
  <c r="P70" i="34"/>
  <c r="P71" i="34"/>
  <c r="P73" i="34"/>
  <c r="P74" i="34"/>
  <c r="P77" i="34"/>
  <c r="P80" i="34"/>
  <c r="P81" i="34"/>
  <c r="P82" i="34"/>
  <c r="P83" i="34"/>
  <c r="P84" i="34"/>
  <c r="P85" i="34"/>
  <c r="P89" i="34"/>
  <c r="P95" i="34"/>
  <c r="P109" i="34"/>
  <c r="P123" i="34"/>
  <c r="P149" i="34"/>
  <c r="P185" i="34"/>
  <c r="P210" i="34"/>
  <c r="P222" i="34"/>
  <c r="P224" i="34"/>
  <c r="P232" i="34"/>
  <c r="P243" i="34"/>
  <c r="P266" i="34"/>
  <c r="P277" i="34"/>
  <c r="P280" i="34"/>
  <c r="P291" i="34"/>
  <c r="P296" i="34"/>
  <c r="P298" i="34"/>
  <c r="P315" i="34"/>
  <c r="P322" i="34"/>
  <c r="P333" i="34"/>
  <c r="P335" i="34"/>
  <c r="P336" i="34"/>
  <c r="P337" i="34"/>
  <c r="P338" i="34"/>
  <c r="P341" i="34"/>
  <c r="P347" i="34"/>
  <c r="P361" i="34"/>
  <c r="P371" i="34"/>
  <c r="P398" i="34"/>
  <c r="P407" i="34"/>
  <c r="P421" i="34"/>
  <c r="P423" i="34"/>
  <c r="P433" i="34"/>
  <c r="P440" i="34"/>
  <c r="P443" i="34"/>
  <c r="P446" i="34"/>
  <c r="P451" i="34"/>
  <c r="P457" i="34"/>
  <c r="P464" i="34"/>
  <c r="P495" i="34"/>
  <c r="P501" i="34"/>
  <c r="P504" i="34"/>
  <c r="P505" i="34"/>
  <c r="P512" i="34"/>
  <c r="P514" i="34"/>
  <c r="P516" i="34"/>
  <c r="P520" i="34"/>
  <c r="P542" i="34"/>
  <c r="P557" i="34"/>
  <c r="P561" i="34"/>
  <c r="Q19" i="34"/>
  <c r="Q20" i="34"/>
  <c r="Q21" i="34"/>
  <c r="Q22" i="34"/>
  <c r="Q24" i="34"/>
  <c r="Q25" i="34"/>
  <c r="Q26" i="34"/>
  <c r="Q27" i="34"/>
  <c r="Q28" i="34"/>
  <c r="Q29" i="34"/>
  <c r="Q30" i="34"/>
  <c r="Q33" i="34"/>
  <c r="Q35" i="34"/>
  <c r="Q36" i="34"/>
  <c r="Q38" i="34"/>
  <c r="Q39" i="34"/>
  <c r="Q40" i="34"/>
  <c r="Q41" i="34"/>
  <c r="Q43" i="34"/>
  <c r="Q45" i="34"/>
  <c r="Q46" i="34"/>
  <c r="Q47" i="34"/>
  <c r="Q48" i="34"/>
  <c r="Q49" i="34"/>
  <c r="Q50" i="34"/>
  <c r="Q51" i="34"/>
  <c r="Q52" i="34"/>
  <c r="Q53" i="34"/>
  <c r="Q57" i="34"/>
  <c r="Q58" i="34"/>
  <c r="Q59" i="34"/>
  <c r="Q60" i="34"/>
  <c r="Q63" i="34"/>
  <c r="Q64" i="34"/>
  <c r="Q65" i="34"/>
  <c r="Q67" i="34"/>
  <c r="Q68" i="34"/>
  <c r="Q70" i="34"/>
  <c r="Q71" i="34"/>
  <c r="Q73" i="34"/>
  <c r="Q74" i="34"/>
  <c r="Q77" i="34"/>
  <c r="Q80" i="34"/>
  <c r="Q81" i="34"/>
  <c r="Q82" i="34"/>
  <c r="Q83" i="34"/>
  <c r="Q84" i="34"/>
  <c r="Q85" i="34"/>
  <c r="Q89" i="34"/>
  <c r="Q95" i="34"/>
  <c r="Q109" i="34"/>
  <c r="Q123" i="34"/>
  <c r="Q149" i="34"/>
  <c r="Q185" i="34"/>
  <c r="Q210" i="34"/>
  <c r="Q222" i="34"/>
  <c r="Q224" i="34"/>
  <c r="Q232" i="34"/>
  <c r="Q243" i="34"/>
  <c r="Q266" i="34"/>
  <c r="Q277" i="34"/>
  <c r="Q280" i="34"/>
  <c r="Q291" i="34"/>
  <c r="Q296" i="34"/>
  <c r="Q298" i="34"/>
  <c r="Q315" i="34"/>
  <c r="Q322" i="34"/>
  <c r="Q333" i="34"/>
  <c r="Q335" i="34"/>
  <c r="Q336" i="34"/>
  <c r="Q337" i="34"/>
  <c r="Q338" i="34"/>
  <c r="Q341" i="34"/>
  <c r="Q347" i="34"/>
  <c r="Q361" i="34"/>
  <c r="Q371" i="34"/>
  <c r="Q398" i="34"/>
  <c r="Q407" i="34"/>
  <c r="Q421" i="34"/>
  <c r="Q423" i="34"/>
  <c r="Q433" i="34"/>
  <c r="Q440" i="34"/>
  <c r="Q443" i="34"/>
  <c r="Q446" i="34"/>
  <c r="Q451" i="34"/>
  <c r="Q457" i="34"/>
  <c r="Q464" i="34"/>
  <c r="Q495" i="34"/>
  <c r="Q501" i="34"/>
  <c r="Q504" i="34"/>
  <c r="Q505" i="34"/>
  <c r="Q512" i="34"/>
  <c r="Q514" i="34"/>
  <c r="Q516" i="34"/>
  <c r="Q520" i="34"/>
  <c r="Q542" i="34"/>
  <c r="Q557" i="34"/>
  <c r="Q561" i="34"/>
  <c r="M87" i="34"/>
  <c r="I87" i="34"/>
  <c r="N87" i="34"/>
  <c r="S87" i="34"/>
  <c r="M86" i="34"/>
  <c r="I86" i="34"/>
  <c r="N86" i="34"/>
  <c r="S86" i="34"/>
  <c r="S85" i="34"/>
  <c r="S84" i="34"/>
  <c r="S83" i="34"/>
  <c r="S82" i="34"/>
  <c r="S81" i="34"/>
  <c r="S80" i="34"/>
  <c r="M79" i="34"/>
  <c r="I79" i="34"/>
  <c r="N79" i="34"/>
  <c r="S79" i="34"/>
  <c r="M78" i="34"/>
  <c r="I78" i="34"/>
  <c r="N78" i="34"/>
  <c r="S78" i="34"/>
  <c r="S77" i="34"/>
  <c r="M76" i="34"/>
  <c r="I76" i="34"/>
  <c r="N76" i="34"/>
  <c r="S76" i="34"/>
  <c r="M75" i="34"/>
  <c r="I75" i="34"/>
  <c r="N75" i="34"/>
  <c r="S75" i="34"/>
  <c r="S74" i="34"/>
  <c r="S73" i="34"/>
  <c r="M72" i="34"/>
  <c r="I72" i="34"/>
  <c r="N72" i="34"/>
  <c r="S72" i="34"/>
  <c r="S71" i="34"/>
  <c r="S70" i="34"/>
  <c r="M69" i="34"/>
  <c r="I69" i="34"/>
  <c r="N69" i="34"/>
  <c r="S69" i="34"/>
  <c r="S68" i="34"/>
  <c r="S67" i="34"/>
  <c r="M66" i="34"/>
  <c r="I66" i="34"/>
  <c r="N66" i="34"/>
  <c r="S66" i="34"/>
  <c r="S65" i="34"/>
  <c r="S64" i="34"/>
  <c r="S63" i="34"/>
  <c r="M62" i="34"/>
  <c r="I62" i="34"/>
  <c r="N62" i="34"/>
  <c r="S62" i="34"/>
  <c r="M61" i="34"/>
  <c r="I61" i="34"/>
  <c r="N61" i="34"/>
  <c r="S61" i="34"/>
  <c r="S60" i="34"/>
  <c r="S59" i="34"/>
  <c r="S58" i="34"/>
  <c r="S57" i="34"/>
  <c r="M56" i="34"/>
  <c r="I56" i="34"/>
  <c r="N56" i="34"/>
  <c r="S56" i="34"/>
  <c r="M55" i="34"/>
  <c r="I55" i="34"/>
  <c r="N55" i="34"/>
  <c r="S55" i="34"/>
  <c r="M54" i="34"/>
  <c r="I54" i="34"/>
  <c r="N54" i="34"/>
  <c r="S54" i="34"/>
  <c r="S53" i="34"/>
  <c r="S52" i="34"/>
  <c r="S51" i="34"/>
  <c r="S50" i="34"/>
  <c r="S49" i="34"/>
  <c r="S48" i="34"/>
  <c r="S47" i="34"/>
  <c r="S46" i="34"/>
  <c r="S45" i="34"/>
  <c r="M44" i="34"/>
  <c r="I44" i="34"/>
  <c r="N44" i="34"/>
  <c r="S44" i="34"/>
  <c r="S43" i="34"/>
  <c r="M42" i="34"/>
  <c r="I42" i="34"/>
  <c r="N42" i="34"/>
  <c r="S42" i="34"/>
  <c r="S41" i="34"/>
  <c r="S40" i="34"/>
  <c r="S39" i="34"/>
  <c r="S38" i="34"/>
  <c r="M37" i="34"/>
  <c r="I37" i="34"/>
  <c r="N37" i="34"/>
  <c r="S37" i="34"/>
  <c r="S36" i="34"/>
  <c r="S35" i="34"/>
  <c r="M34" i="34"/>
  <c r="I34" i="34"/>
  <c r="N34" i="34"/>
  <c r="S34" i="34"/>
  <c r="S33" i="34"/>
  <c r="M32" i="34"/>
  <c r="I32" i="34"/>
  <c r="N32" i="34"/>
  <c r="S32" i="34"/>
  <c r="M31" i="34"/>
  <c r="I31" i="34"/>
  <c r="N31" i="34"/>
  <c r="S31" i="34"/>
  <c r="S30" i="34"/>
  <c r="S29" i="34"/>
  <c r="S28" i="34"/>
  <c r="S27" i="34"/>
  <c r="S26" i="34"/>
  <c r="S25" i="34"/>
  <c r="S24" i="34"/>
  <c r="M23" i="34"/>
  <c r="I23" i="34"/>
  <c r="N23" i="34"/>
  <c r="S23" i="34"/>
  <c r="S22" i="34"/>
  <c r="S21" i="34"/>
  <c r="S20" i="34"/>
  <c r="R87" i="34"/>
  <c r="R86" i="34"/>
  <c r="R85" i="34"/>
  <c r="R84" i="34"/>
  <c r="R83" i="34"/>
  <c r="R82" i="34"/>
  <c r="R81" i="34"/>
  <c r="R80" i="34"/>
  <c r="R79" i="34"/>
  <c r="R78" i="34"/>
  <c r="R77" i="34"/>
  <c r="R76" i="34"/>
  <c r="R75" i="34"/>
  <c r="R74" i="34"/>
  <c r="R73" i="34"/>
  <c r="R72" i="34"/>
  <c r="R71" i="34"/>
  <c r="R70" i="34"/>
  <c r="R69" i="34"/>
  <c r="R68" i="34"/>
  <c r="R67" i="34"/>
  <c r="R66" i="34"/>
  <c r="R65" i="34"/>
  <c r="R64" i="34"/>
  <c r="R63" i="34"/>
  <c r="R62" i="34"/>
  <c r="R61" i="34"/>
  <c r="R60" i="34"/>
  <c r="R59" i="34"/>
  <c r="R58" i="34"/>
  <c r="R57" i="34"/>
  <c r="R56" i="34"/>
  <c r="R55" i="34"/>
  <c r="R54" i="34"/>
  <c r="R53" i="34"/>
  <c r="R52" i="34"/>
  <c r="R51" i="34"/>
  <c r="R50" i="34"/>
  <c r="R49" i="34"/>
  <c r="R48" i="34"/>
  <c r="R47" i="34"/>
  <c r="R46" i="34"/>
  <c r="R45" i="34"/>
  <c r="R44" i="34"/>
  <c r="R43" i="34"/>
  <c r="R42" i="34"/>
  <c r="R41" i="34"/>
  <c r="R40" i="34"/>
  <c r="R39" i="34"/>
  <c r="R38" i="34"/>
  <c r="R37" i="34"/>
  <c r="R36" i="34"/>
  <c r="R35" i="34"/>
  <c r="R34" i="34"/>
  <c r="R33" i="34"/>
  <c r="R32" i="34"/>
  <c r="R31" i="34"/>
  <c r="R30" i="34"/>
  <c r="R29" i="34"/>
  <c r="R28" i="34"/>
  <c r="R27" i="34"/>
  <c r="R26" i="34"/>
  <c r="R25" i="34"/>
  <c r="R24" i="34"/>
  <c r="R23" i="34"/>
  <c r="R22" i="34"/>
  <c r="R21" i="34"/>
  <c r="R20" i="34"/>
  <c r="R19" i="34"/>
  <c r="S19" i="34"/>
  <c r="T87" i="34"/>
  <c r="T86" i="34"/>
  <c r="T85" i="34"/>
  <c r="T84" i="34"/>
  <c r="T83" i="34"/>
  <c r="T82" i="34"/>
  <c r="T81" i="34"/>
  <c r="T80" i="34"/>
  <c r="T79" i="34"/>
  <c r="T78" i="34"/>
  <c r="T77" i="34"/>
  <c r="T76" i="34"/>
  <c r="T75" i="34"/>
  <c r="T74" i="34"/>
  <c r="T73" i="34"/>
  <c r="T72" i="34"/>
  <c r="T71" i="34"/>
  <c r="T70" i="34"/>
  <c r="T69" i="34"/>
  <c r="T68" i="34"/>
  <c r="T67" i="34"/>
  <c r="T66" i="34"/>
  <c r="T65" i="34"/>
  <c r="T64" i="34"/>
  <c r="T63" i="34"/>
  <c r="T62" i="34"/>
  <c r="T61" i="34"/>
  <c r="T60" i="34"/>
  <c r="T59" i="34"/>
  <c r="T58" i="34"/>
  <c r="T57" i="34"/>
  <c r="T56" i="34"/>
  <c r="T55" i="34"/>
  <c r="T54" i="34"/>
  <c r="T53" i="34"/>
  <c r="T52" i="34"/>
  <c r="T51" i="34"/>
  <c r="T50" i="34"/>
  <c r="T49" i="34"/>
  <c r="T48" i="34"/>
  <c r="T47" i="34"/>
  <c r="T46" i="34"/>
  <c r="T45" i="34"/>
  <c r="T44" i="34"/>
  <c r="T43" i="34"/>
  <c r="T42" i="34"/>
  <c r="T41" i="34"/>
  <c r="T40" i="34"/>
  <c r="T39" i="34"/>
  <c r="T38" i="34"/>
  <c r="T37" i="34"/>
  <c r="T36" i="34"/>
  <c r="T35" i="34"/>
  <c r="T34" i="34"/>
  <c r="T33" i="34"/>
  <c r="T32" i="34"/>
  <c r="T31" i="34"/>
  <c r="T30" i="34"/>
  <c r="T29" i="34"/>
  <c r="T28" i="34"/>
  <c r="T27" i="34"/>
  <c r="T26" i="34"/>
  <c r="T25" i="34"/>
  <c r="T24" i="34"/>
  <c r="T23" i="34"/>
  <c r="T22" i="34"/>
  <c r="T21" i="34"/>
  <c r="T20" i="34"/>
  <c r="T19" i="34"/>
  <c r="U19" i="34"/>
  <c r="U20" i="34"/>
  <c r="U21" i="34"/>
  <c r="U22" i="34"/>
  <c r="U24" i="34"/>
  <c r="U25" i="34"/>
  <c r="U26" i="34"/>
  <c r="U27" i="34"/>
  <c r="U28" i="34"/>
  <c r="U29" i="34"/>
  <c r="U30" i="34"/>
  <c r="U33" i="34"/>
  <c r="U35" i="34"/>
  <c r="U36" i="34"/>
  <c r="U38" i="34"/>
  <c r="U39" i="34"/>
  <c r="U40" i="34"/>
  <c r="U41" i="34"/>
  <c r="U43" i="34"/>
  <c r="U45" i="34"/>
  <c r="U46" i="34"/>
  <c r="U47" i="34"/>
  <c r="U48" i="34"/>
  <c r="U49" i="34"/>
  <c r="U50" i="34"/>
  <c r="U51" i="34"/>
  <c r="U52" i="34"/>
  <c r="U53" i="34"/>
  <c r="U57" i="34"/>
  <c r="U58" i="34"/>
  <c r="U59" i="34"/>
  <c r="U60" i="34"/>
  <c r="U63" i="34"/>
  <c r="U64" i="34"/>
  <c r="U65" i="34"/>
  <c r="U67" i="34"/>
  <c r="U68" i="34"/>
  <c r="U70" i="34"/>
  <c r="U71" i="34"/>
  <c r="U73" i="34"/>
  <c r="U74" i="34"/>
  <c r="U77" i="34"/>
  <c r="U80" i="34"/>
  <c r="U81" i="34"/>
  <c r="U82" i="34"/>
  <c r="U83" i="34"/>
  <c r="U84" i="34"/>
  <c r="U85" i="34"/>
  <c r="U89" i="34"/>
  <c r="U95" i="34"/>
  <c r="U109" i="34"/>
  <c r="U123" i="34"/>
  <c r="U149" i="34"/>
  <c r="U185" i="34"/>
  <c r="U210" i="34"/>
  <c r="U222" i="34"/>
  <c r="U224" i="34"/>
  <c r="U232" i="34"/>
  <c r="U243" i="34"/>
  <c r="U266" i="34"/>
  <c r="U277" i="34"/>
  <c r="U280" i="34"/>
  <c r="U291" i="34"/>
  <c r="U296" i="34"/>
  <c r="U298" i="34"/>
  <c r="U315" i="34"/>
  <c r="U322" i="34"/>
  <c r="U333" i="34"/>
  <c r="U335" i="34"/>
  <c r="U336" i="34"/>
  <c r="U337" i="34"/>
  <c r="U338" i="34"/>
  <c r="U341" i="34"/>
  <c r="U347" i="34"/>
  <c r="U361" i="34"/>
  <c r="U371" i="34"/>
  <c r="U398" i="34"/>
  <c r="U407" i="34"/>
  <c r="U421" i="34"/>
  <c r="U423" i="34"/>
  <c r="U433" i="34"/>
  <c r="U440" i="34"/>
  <c r="U443" i="34"/>
  <c r="U446" i="34"/>
  <c r="U451" i="34"/>
  <c r="U457" i="34"/>
  <c r="U464" i="34"/>
  <c r="U495" i="34"/>
  <c r="U501" i="34"/>
  <c r="U504" i="34"/>
  <c r="U505" i="34"/>
  <c r="U512" i="34"/>
  <c r="U514" i="34"/>
  <c r="U516" i="34"/>
  <c r="U520" i="34"/>
  <c r="U542" i="34"/>
  <c r="U557" i="34"/>
  <c r="U561" i="34"/>
  <c r="V19" i="34"/>
  <c r="V20" i="34"/>
  <c r="V21" i="34"/>
  <c r="V22" i="34"/>
  <c r="V24" i="34"/>
  <c r="V25" i="34"/>
  <c r="V26" i="34"/>
  <c r="V27" i="34"/>
  <c r="V28" i="34"/>
  <c r="V29" i="34"/>
  <c r="V30" i="34"/>
  <c r="V33" i="34"/>
  <c r="V35" i="34"/>
  <c r="V36" i="34"/>
  <c r="V38" i="34"/>
  <c r="V39" i="34"/>
  <c r="V40" i="34"/>
  <c r="V41" i="34"/>
  <c r="V43" i="34"/>
  <c r="V45" i="34"/>
  <c r="V46" i="34"/>
  <c r="V47" i="34"/>
  <c r="V48" i="34"/>
  <c r="V49" i="34"/>
  <c r="V50" i="34"/>
  <c r="V51" i="34"/>
  <c r="V52" i="34"/>
  <c r="V53" i="34"/>
  <c r="V57" i="34"/>
  <c r="V58" i="34"/>
  <c r="V59" i="34"/>
  <c r="V60" i="34"/>
  <c r="V63" i="34"/>
  <c r="V64" i="34"/>
  <c r="V65" i="34"/>
  <c r="V67" i="34"/>
  <c r="V68" i="34"/>
  <c r="V70" i="34"/>
  <c r="V71" i="34"/>
  <c r="V73" i="34"/>
  <c r="V74" i="34"/>
  <c r="V77" i="34"/>
  <c r="V80" i="34"/>
  <c r="V81" i="34"/>
  <c r="V82" i="34"/>
  <c r="V83" i="34"/>
  <c r="V84" i="34"/>
  <c r="V85" i="34"/>
  <c r="V89" i="34"/>
  <c r="V95" i="34"/>
  <c r="V109" i="34"/>
  <c r="V123" i="34"/>
  <c r="V149" i="34"/>
  <c r="V185" i="34"/>
  <c r="V210" i="34"/>
  <c r="V222" i="34"/>
  <c r="V224" i="34"/>
  <c r="V232" i="34"/>
  <c r="V243" i="34"/>
  <c r="V266" i="34"/>
  <c r="V277" i="34"/>
  <c r="V280" i="34"/>
  <c r="V291" i="34"/>
  <c r="V296" i="34"/>
  <c r="V298" i="34"/>
  <c r="V315" i="34"/>
  <c r="V322" i="34"/>
  <c r="V333" i="34"/>
  <c r="V335" i="34"/>
  <c r="V336" i="34"/>
  <c r="V337" i="34"/>
  <c r="V338" i="34"/>
  <c r="V341" i="34"/>
  <c r="V347" i="34"/>
  <c r="V361" i="34"/>
  <c r="V371" i="34"/>
  <c r="V398" i="34"/>
  <c r="V407" i="34"/>
  <c r="V421" i="34"/>
  <c r="V423" i="34"/>
  <c r="V433" i="34"/>
  <c r="V440" i="34"/>
  <c r="V443" i="34"/>
  <c r="V446" i="34"/>
  <c r="V451" i="34"/>
  <c r="V457" i="34"/>
  <c r="V464" i="34"/>
  <c r="V495" i="34"/>
  <c r="V501" i="34"/>
  <c r="V504" i="34"/>
  <c r="V505" i="34"/>
  <c r="V512" i="34"/>
  <c r="V514" i="34"/>
  <c r="V516" i="34"/>
  <c r="V520" i="34"/>
  <c r="V542" i="34"/>
  <c r="V557" i="34"/>
  <c r="V561" i="34"/>
  <c r="W19" i="34"/>
  <c r="W20" i="34"/>
  <c r="W21" i="34"/>
  <c r="W22" i="34"/>
  <c r="W24" i="34"/>
  <c r="W25" i="34"/>
  <c r="W26" i="34"/>
  <c r="W27" i="34"/>
  <c r="W28" i="34"/>
  <c r="W29" i="34"/>
  <c r="W30" i="34"/>
  <c r="W33" i="34"/>
  <c r="W35" i="34"/>
  <c r="W36" i="34"/>
  <c r="W38" i="34"/>
  <c r="W39" i="34"/>
  <c r="W40" i="34"/>
  <c r="W41" i="34"/>
  <c r="W43" i="34"/>
  <c r="W45" i="34"/>
  <c r="W46" i="34"/>
  <c r="W47" i="34"/>
  <c r="W48" i="34"/>
  <c r="W49" i="34"/>
  <c r="W50" i="34"/>
  <c r="W51" i="34"/>
  <c r="W52" i="34"/>
  <c r="W53" i="34"/>
  <c r="W57" i="34"/>
  <c r="W58" i="34"/>
  <c r="W59" i="34"/>
  <c r="W60" i="34"/>
  <c r="W63" i="34"/>
  <c r="W64" i="34"/>
  <c r="W65" i="34"/>
  <c r="W67" i="34"/>
  <c r="W68" i="34"/>
  <c r="W70" i="34"/>
  <c r="W71" i="34"/>
  <c r="W73" i="34"/>
  <c r="W74" i="34"/>
  <c r="W77" i="34"/>
  <c r="W80" i="34"/>
  <c r="W81" i="34"/>
  <c r="W82" i="34"/>
  <c r="W83" i="34"/>
  <c r="W84" i="34"/>
  <c r="W85" i="34"/>
  <c r="W89" i="34"/>
  <c r="W95" i="34"/>
  <c r="W109" i="34"/>
  <c r="W123" i="34"/>
  <c r="W149" i="34"/>
  <c r="W185" i="34"/>
  <c r="W210" i="34"/>
  <c r="W222" i="34"/>
  <c r="W224" i="34"/>
  <c r="W232" i="34"/>
  <c r="W243" i="34"/>
  <c r="W266" i="34"/>
  <c r="W277" i="34"/>
  <c r="W280" i="34"/>
  <c r="W291" i="34"/>
  <c r="W296" i="34"/>
  <c r="W298" i="34"/>
  <c r="W315" i="34"/>
  <c r="W322" i="34"/>
  <c r="W333" i="34"/>
  <c r="W335" i="34"/>
  <c r="W336" i="34"/>
  <c r="W337" i="34"/>
  <c r="W338" i="34"/>
  <c r="W341" i="34"/>
  <c r="W347" i="34"/>
  <c r="W361" i="34"/>
  <c r="W371" i="34"/>
  <c r="W398" i="34"/>
  <c r="W407" i="34"/>
  <c r="W421" i="34"/>
  <c r="W423" i="34"/>
  <c r="W433" i="34"/>
  <c r="W440" i="34"/>
  <c r="W443" i="34"/>
  <c r="W446" i="34"/>
  <c r="W451" i="34"/>
  <c r="W457" i="34"/>
  <c r="W464" i="34"/>
  <c r="W495" i="34"/>
  <c r="W501" i="34"/>
  <c r="W504" i="34"/>
  <c r="W505" i="34"/>
  <c r="W512" i="34"/>
  <c r="W514" i="34"/>
  <c r="W516" i="34"/>
  <c r="W520" i="34"/>
  <c r="W542" i="34"/>
  <c r="W557" i="34"/>
  <c r="W561" i="34"/>
  <c r="X19" i="34"/>
  <c r="X20" i="34"/>
  <c r="X21" i="34"/>
  <c r="X22" i="34"/>
  <c r="X24" i="34"/>
  <c r="X25" i="34"/>
  <c r="X26" i="34"/>
  <c r="X27" i="34"/>
  <c r="X28" i="34"/>
  <c r="X29" i="34"/>
  <c r="X30" i="34"/>
  <c r="X33" i="34"/>
  <c r="X35" i="34"/>
  <c r="X36" i="34"/>
  <c r="X38" i="34"/>
  <c r="X39" i="34"/>
  <c r="X40" i="34"/>
  <c r="X41" i="34"/>
  <c r="X43" i="34"/>
  <c r="X45" i="34"/>
  <c r="X46" i="34"/>
  <c r="X47" i="34"/>
  <c r="X48" i="34"/>
  <c r="X49" i="34"/>
  <c r="X50" i="34"/>
  <c r="X51" i="34"/>
  <c r="X52" i="34"/>
  <c r="X53" i="34"/>
  <c r="X57" i="34"/>
  <c r="X58" i="34"/>
  <c r="X59" i="34"/>
  <c r="X60" i="34"/>
  <c r="X63" i="34"/>
  <c r="X64" i="34"/>
  <c r="X65" i="34"/>
  <c r="X67" i="34"/>
  <c r="X68" i="34"/>
  <c r="X70" i="34"/>
  <c r="X71" i="34"/>
  <c r="X73" i="34"/>
  <c r="X74" i="34"/>
  <c r="X77" i="34"/>
  <c r="X80" i="34"/>
  <c r="X81" i="34"/>
  <c r="X82" i="34"/>
  <c r="X83" i="34"/>
  <c r="X84" i="34"/>
  <c r="X85" i="34"/>
  <c r="X89" i="34"/>
  <c r="X95" i="34"/>
  <c r="X109" i="34"/>
  <c r="X123" i="34"/>
  <c r="X149" i="34"/>
  <c r="X185" i="34"/>
  <c r="X210" i="34"/>
  <c r="X222" i="34"/>
  <c r="X224" i="34"/>
  <c r="X232" i="34"/>
  <c r="X243" i="34"/>
  <c r="X266" i="34"/>
  <c r="X277" i="34"/>
  <c r="X280" i="34"/>
  <c r="X291" i="34"/>
  <c r="X296" i="34"/>
  <c r="X298" i="34"/>
  <c r="X315" i="34"/>
  <c r="X322" i="34"/>
  <c r="X333" i="34"/>
  <c r="X335" i="34"/>
  <c r="X336" i="34"/>
  <c r="X337" i="34"/>
  <c r="X338" i="34"/>
  <c r="X341" i="34"/>
  <c r="X347" i="34"/>
  <c r="X361" i="34"/>
  <c r="X371" i="34"/>
  <c r="X398" i="34"/>
  <c r="X407" i="34"/>
  <c r="X421" i="34"/>
  <c r="X423" i="34"/>
  <c r="X433" i="34"/>
  <c r="X440" i="34"/>
  <c r="X443" i="34"/>
  <c r="X446" i="34"/>
  <c r="X451" i="34"/>
  <c r="X457" i="34"/>
  <c r="X464" i="34"/>
  <c r="X495" i="34"/>
  <c r="X501" i="34"/>
  <c r="X504" i="34"/>
  <c r="X505" i="34"/>
  <c r="X512" i="34"/>
  <c r="X514" i="34"/>
  <c r="X516" i="34"/>
  <c r="X520" i="34"/>
  <c r="X542" i="34"/>
  <c r="X557" i="34"/>
  <c r="X561" i="34"/>
  <c r="Y19" i="34"/>
  <c r="Y20" i="34"/>
  <c r="Y21" i="34"/>
  <c r="Y22" i="34"/>
  <c r="Y24" i="34"/>
  <c r="Y25" i="34"/>
  <c r="Y26" i="34"/>
  <c r="Y27" i="34"/>
  <c r="Y28" i="34"/>
  <c r="Y29" i="34"/>
  <c r="Y30" i="34"/>
  <c r="Y33" i="34"/>
  <c r="Y35" i="34"/>
  <c r="Y36" i="34"/>
  <c r="Y38" i="34"/>
  <c r="Y39" i="34"/>
  <c r="Y40" i="34"/>
  <c r="Y41" i="34"/>
  <c r="Y43" i="34"/>
  <c r="Y45" i="34"/>
  <c r="Y46" i="34"/>
  <c r="Y47" i="34"/>
  <c r="Y48" i="34"/>
  <c r="Y49" i="34"/>
  <c r="Y50" i="34"/>
  <c r="Y51" i="34"/>
  <c r="Y52" i="34"/>
  <c r="Y53" i="34"/>
  <c r="Y57" i="34"/>
  <c r="Y58" i="34"/>
  <c r="Y59" i="34"/>
  <c r="Y60" i="34"/>
  <c r="Y63" i="34"/>
  <c r="Y64" i="34"/>
  <c r="Y65" i="34"/>
  <c r="Y67" i="34"/>
  <c r="Y68" i="34"/>
  <c r="Y70" i="34"/>
  <c r="Y71" i="34"/>
  <c r="Y73" i="34"/>
  <c r="Y74" i="34"/>
  <c r="Y77" i="34"/>
  <c r="Y80" i="34"/>
  <c r="Y81" i="34"/>
  <c r="Y82" i="34"/>
  <c r="Y83" i="34"/>
  <c r="Y84" i="34"/>
  <c r="Y85" i="34"/>
  <c r="Y89" i="34"/>
  <c r="Y95" i="34"/>
  <c r="Y109" i="34"/>
  <c r="Y123" i="34"/>
  <c r="Y149" i="34"/>
  <c r="Y185" i="34"/>
  <c r="Y210" i="34"/>
  <c r="Y222" i="34"/>
  <c r="Y224" i="34"/>
  <c r="Y232" i="34"/>
  <c r="Y243" i="34"/>
  <c r="Y266" i="34"/>
  <c r="Y277" i="34"/>
  <c r="Y280" i="34"/>
  <c r="Y291" i="34"/>
  <c r="Y296" i="34"/>
  <c r="Y298" i="34"/>
  <c r="Y315" i="34"/>
  <c r="Y322" i="34"/>
  <c r="Y333" i="34"/>
  <c r="Y335" i="34"/>
  <c r="Y336" i="34"/>
  <c r="Y337" i="34"/>
  <c r="Y338" i="34"/>
  <c r="Y341" i="34"/>
  <c r="Y347" i="34"/>
  <c r="Y361" i="34"/>
  <c r="Y371" i="34"/>
  <c r="Y398" i="34"/>
  <c r="Y407" i="34"/>
  <c r="Y421" i="34"/>
  <c r="Y423" i="34"/>
  <c r="Y433" i="34"/>
  <c r="Y440" i="34"/>
  <c r="Y443" i="34"/>
  <c r="Y446" i="34"/>
  <c r="Y451" i="34"/>
  <c r="Y457" i="34"/>
  <c r="Y464" i="34"/>
  <c r="Y495" i="34"/>
  <c r="Y501" i="34"/>
  <c r="Y504" i="34"/>
  <c r="Y505" i="34"/>
  <c r="Y512" i="34"/>
  <c r="Y514" i="34"/>
  <c r="Y516" i="34"/>
  <c r="Y520" i="34"/>
  <c r="Y542" i="34"/>
  <c r="Y557" i="34"/>
  <c r="Y561" i="34"/>
  <c r="Z19" i="34"/>
  <c r="Z20" i="34"/>
  <c r="Z21" i="34"/>
  <c r="Z22" i="34"/>
  <c r="Z24" i="34"/>
  <c r="Z25" i="34"/>
  <c r="Z26" i="34"/>
  <c r="Z27" i="34"/>
  <c r="Z28" i="34"/>
  <c r="Z29" i="34"/>
  <c r="Z30" i="34"/>
  <c r="Z33" i="34"/>
  <c r="Z35" i="34"/>
  <c r="Z36" i="34"/>
  <c r="Z38" i="34"/>
  <c r="Z39" i="34"/>
  <c r="Z40" i="34"/>
  <c r="Z41" i="34"/>
  <c r="Z43" i="34"/>
  <c r="Z45" i="34"/>
  <c r="Z46" i="34"/>
  <c r="Z47" i="34"/>
  <c r="Z48" i="34"/>
  <c r="Z49" i="34"/>
  <c r="Z50" i="34"/>
  <c r="Z51" i="34"/>
  <c r="Z52" i="34"/>
  <c r="Z53" i="34"/>
  <c r="Z57" i="34"/>
  <c r="Z58" i="34"/>
  <c r="Z59" i="34"/>
  <c r="Z60" i="34"/>
  <c r="Z63" i="34"/>
  <c r="Z64" i="34"/>
  <c r="Z65" i="34"/>
  <c r="Z67" i="34"/>
  <c r="Z68" i="34"/>
  <c r="Z70" i="34"/>
  <c r="Z71" i="34"/>
  <c r="Z73" i="34"/>
  <c r="Z74" i="34"/>
  <c r="Z77" i="34"/>
  <c r="Z80" i="34"/>
  <c r="Z81" i="34"/>
  <c r="Z82" i="34"/>
  <c r="Z83" i="34"/>
  <c r="Z84" i="34"/>
  <c r="Z85" i="34"/>
  <c r="Z89" i="34"/>
  <c r="Z95" i="34"/>
  <c r="Z109" i="34"/>
  <c r="Z123" i="34"/>
  <c r="Z149" i="34"/>
  <c r="Z185" i="34"/>
  <c r="Z210" i="34"/>
  <c r="Z222" i="34"/>
  <c r="Z224" i="34"/>
  <c r="Z232" i="34"/>
  <c r="Z243" i="34"/>
  <c r="Z266" i="34"/>
  <c r="Z277" i="34"/>
  <c r="Z280" i="34"/>
  <c r="Z291" i="34"/>
  <c r="Z296" i="34"/>
  <c r="Z298" i="34"/>
  <c r="Z315" i="34"/>
  <c r="Z322" i="34"/>
  <c r="Z333" i="34"/>
  <c r="Z335" i="34"/>
  <c r="Z336" i="34"/>
  <c r="Z337" i="34"/>
  <c r="Z338" i="34"/>
  <c r="Z341" i="34"/>
  <c r="Z347" i="34"/>
  <c r="Z361" i="34"/>
  <c r="Z371" i="34"/>
  <c r="Z398" i="34"/>
  <c r="Z407" i="34"/>
  <c r="Z421" i="34"/>
  <c r="Z423" i="34"/>
  <c r="Z433" i="34"/>
  <c r="Z440" i="34"/>
  <c r="Z443" i="34"/>
  <c r="Z446" i="34"/>
  <c r="Z451" i="34"/>
  <c r="Z457" i="34"/>
  <c r="Z464" i="34"/>
  <c r="Z495" i="34"/>
  <c r="Z501" i="34"/>
  <c r="Z504" i="34"/>
  <c r="Z505" i="34"/>
  <c r="Z512" i="34"/>
  <c r="Z514" i="34"/>
  <c r="Z516" i="34"/>
  <c r="Z520" i="34"/>
  <c r="Z542" i="34"/>
  <c r="Z557" i="34"/>
  <c r="Z561" i="34"/>
  <c r="AA19" i="34"/>
  <c r="AA20" i="34"/>
  <c r="AA21" i="34"/>
  <c r="AA22" i="34"/>
  <c r="AA24" i="34"/>
  <c r="AA25" i="34"/>
  <c r="AA26" i="34"/>
  <c r="AA27" i="34"/>
  <c r="AA28" i="34"/>
  <c r="AA29" i="34"/>
  <c r="AA30" i="34"/>
  <c r="AA33" i="34"/>
  <c r="AA35" i="34"/>
  <c r="AA36" i="34"/>
  <c r="AA38" i="34"/>
  <c r="AA39" i="34"/>
  <c r="AA40" i="34"/>
  <c r="AA41" i="34"/>
  <c r="AA43" i="34"/>
  <c r="AA45" i="34"/>
  <c r="AA46" i="34"/>
  <c r="AA47" i="34"/>
  <c r="AA48" i="34"/>
  <c r="AA49" i="34"/>
  <c r="AA50" i="34"/>
  <c r="AA51" i="34"/>
  <c r="AA52" i="34"/>
  <c r="AA53" i="34"/>
  <c r="AA57" i="34"/>
  <c r="AA58" i="34"/>
  <c r="AA59" i="34"/>
  <c r="AA60" i="34"/>
  <c r="AA63" i="34"/>
  <c r="AA64" i="34"/>
  <c r="AA65" i="34"/>
  <c r="AA67" i="34"/>
  <c r="AA68" i="34"/>
  <c r="AA70" i="34"/>
  <c r="AA71" i="34"/>
  <c r="AA73" i="34"/>
  <c r="AA74" i="34"/>
  <c r="AA77" i="34"/>
  <c r="AA80" i="34"/>
  <c r="AA81" i="34"/>
  <c r="AA82" i="34"/>
  <c r="AA83" i="34"/>
  <c r="AA84" i="34"/>
  <c r="AA85" i="34"/>
  <c r="AA89" i="34"/>
  <c r="AA95" i="34"/>
  <c r="AA109" i="34"/>
  <c r="AA123" i="34"/>
  <c r="AA149" i="34"/>
  <c r="AA185" i="34"/>
  <c r="AA210" i="34"/>
  <c r="AA222" i="34"/>
  <c r="AA224" i="34"/>
  <c r="AA232" i="34"/>
  <c r="AA243" i="34"/>
  <c r="AA266" i="34"/>
  <c r="AA277" i="34"/>
  <c r="AA280" i="34"/>
  <c r="AA291" i="34"/>
  <c r="AA296" i="34"/>
  <c r="AA298" i="34"/>
  <c r="AA315" i="34"/>
  <c r="AA322" i="34"/>
  <c r="AA333" i="34"/>
  <c r="AA335" i="34"/>
  <c r="AA336" i="34"/>
  <c r="AA337" i="34"/>
  <c r="AA338" i="34"/>
  <c r="AA341" i="34"/>
  <c r="AA347" i="34"/>
  <c r="AA361" i="34"/>
  <c r="AA371" i="34"/>
  <c r="AA398" i="34"/>
  <c r="AA407" i="34"/>
  <c r="AA421" i="34"/>
  <c r="AA423" i="34"/>
  <c r="AA433" i="34"/>
  <c r="AA440" i="34"/>
  <c r="AA443" i="34"/>
  <c r="AA446" i="34"/>
  <c r="AA451" i="34"/>
  <c r="AA457" i="34"/>
  <c r="AA464" i="34"/>
  <c r="AA495" i="34"/>
  <c r="AA501" i="34"/>
  <c r="AA504" i="34"/>
  <c r="AA505" i="34"/>
  <c r="AA512" i="34"/>
  <c r="AA514" i="34"/>
  <c r="AA516" i="34"/>
  <c r="AA520" i="34"/>
  <c r="AA542" i="34"/>
  <c r="AA557" i="34"/>
  <c r="AA561" i="34"/>
  <c r="AB19" i="34"/>
  <c r="AB20" i="34"/>
  <c r="AB21" i="34"/>
  <c r="AB22" i="34"/>
  <c r="AB24" i="34"/>
  <c r="AB25" i="34"/>
  <c r="AB26" i="34"/>
  <c r="AB27" i="34"/>
  <c r="AB28" i="34"/>
  <c r="AB29" i="34"/>
  <c r="AB30" i="34"/>
  <c r="AB33" i="34"/>
  <c r="AB35" i="34"/>
  <c r="AB36" i="34"/>
  <c r="AB38" i="34"/>
  <c r="AB39" i="34"/>
  <c r="AB40" i="34"/>
  <c r="AB41" i="34"/>
  <c r="AB43" i="34"/>
  <c r="AB45" i="34"/>
  <c r="AB46" i="34"/>
  <c r="AB47" i="34"/>
  <c r="AB48" i="34"/>
  <c r="AB49" i="34"/>
  <c r="AB50" i="34"/>
  <c r="AB51" i="34"/>
  <c r="AB52" i="34"/>
  <c r="AB53" i="34"/>
  <c r="AB57" i="34"/>
  <c r="AB58" i="34"/>
  <c r="AB59" i="34"/>
  <c r="AB60" i="34"/>
  <c r="AB63" i="34"/>
  <c r="AB64" i="34"/>
  <c r="AB65" i="34"/>
  <c r="AB67" i="34"/>
  <c r="AB68" i="34"/>
  <c r="AB70" i="34"/>
  <c r="AB71" i="34"/>
  <c r="AB73" i="34"/>
  <c r="AB74" i="34"/>
  <c r="AB77" i="34"/>
  <c r="AB80" i="34"/>
  <c r="AB81" i="34"/>
  <c r="AB82" i="34"/>
  <c r="AB83" i="34"/>
  <c r="AB84" i="34"/>
  <c r="AB85" i="34"/>
  <c r="AB89" i="34"/>
  <c r="AB95" i="34"/>
  <c r="AB109" i="34"/>
  <c r="AB123" i="34"/>
  <c r="AB149" i="34"/>
  <c r="AB185" i="34"/>
  <c r="AB210" i="34"/>
  <c r="AB222" i="34"/>
  <c r="AB224" i="34"/>
  <c r="AB232" i="34"/>
  <c r="AB243" i="34"/>
  <c r="AB266" i="34"/>
  <c r="AB277" i="34"/>
  <c r="AB280" i="34"/>
  <c r="AB291" i="34"/>
  <c r="AB296" i="34"/>
  <c r="AB298" i="34"/>
  <c r="AB315" i="34"/>
  <c r="AB322" i="34"/>
  <c r="AB333" i="34"/>
  <c r="AB335" i="34"/>
  <c r="AB336" i="34"/>
  <c r="AB337" i="34"/>
  <c r="AB338" i="34"/>
  <c r="AB341" i="34"/>
  <c r="AB347" i="34"/>
  <c r="AB361" i="34"/>
  <c r="AB371" i="34"/>
  <c r="AB398" i="34"/>
  <c r="AB407" i="34"/>
  <c r="AB421" i="34"/>
  <c r="AB423" i="34"/>
  <c r="AB433" i="34"/>
  <c r="AB440" i="34"/>
  <c r="AB443" i="34"/>
  <c r="AB446" i="34"/>
  <c r="AB451" i="34"/>
  <c r="AB457" i="34"/>
  <c r="AB464" i="34"/>
  <c r="AB495" i="34"/>
  <c r="AB501" i="34"/>
  <c r="AB504" i="34"/>
  <c r="AB505" i="34"/>
  <c r="AB512" i="34"/>
  <c r="AB514" i="34"/>
  <c r="AB516" i="34"/>
  <c r="AB520" i="34"/>
  <c r="AB542" i="34"/>
  <c r="AB557" i="34"/>
  <c r="AB561" i="34"/>
  <c r="AC19" i="34"/>
  <c r="AC20" i="34"/>
  <c r="AC21" i="34"/>
  <c r="AC22" i="34"/>
  <c r="AC24" i="34"/>
  <c r="AC25" i="34"/>
  <c r="AC26" i="34"/>
  <c r="AC27" i="34"/>
  <c r="AC28" i="34"/>
  <c r="AC29" i="34"/>
  <c r="AC30" i="34"/>
  <c r="AC33" i="34"/>
  <c r="AC35" i="34"/>
  <c r="AC36" i="34"/>
  <c r="AC38" i="34"/>
  <c r="AC39" i="34"/>
  <c r="AC40" i="34"/>
  <c r="AC41" i="34"/>
  <c r="AC43" i="34"/>
  <c r="AC45" i="34"/>
  <c r="AC46" i="34"/>
  <c r="AC47" i="34"/>
  <c r="AC48" i="34"/>
  <c r="AC49" i="34"/>
  <c r="AC50" i="34"/>
  <c r="AC51" i="34"/>
  <c r="AC52" i="34"/>
  <c r="AC53" i="34"/>
  <c r="AC57" i="34"/>
  <c r="AC58" i="34"/>
  <c r="AC59" i="34"/>
  <c r="AC60" i="34"/>
  <c r="AC63" i="34"/>
  <c r="AC64" i="34"/>
  <c r="AC65" i="34"/>
  <c r="AC67" i="34"/>
  <c r="AC68" i="34"/>
  <c r="AC70" i="34"/>
  <c r="AC71" i="34"/>
  <c r="AC73" i="34"/>
  <c r="AC74" i="34"/>
  <c r="AC77" i="34"/>
  <c r="AC80" i="34"/>
  <c r="AC81" i="34"/>
  <c r="AC82" i="34"/>
  <c r="AC83" i="34"/>
  <c r="AC84" i="34"/>
  <c r="AC85" i="34"/>
  <c r="AC89" i="34"/>
  <c r="AC95" i="34"/>
  <c r="AC109" i="34"/>
  <c r="AC123" i="34"/>
  <c r="AC149" i="34"/>
  <c r="AC185" i="34"/>
  <c r="AC210" i="34"/>
  <c r="AC222" i="34"/>
  <c r="AC224" i="34"/>
  <c r="AC232" i="34"/>
  <c r="AC243" i="34"/>
  <c r="AC266" i="34"/>
  <c r="AC277" i="34"/>
  <c r="AC280" i="34"/>
  <c r="AC291" i="34"/>
  <c r="AC296" i="34"/>
  <c r="AC298" i="34"/>
  <c r="AC315" i="34"/>
  <c r="AC322" i="34"/>
  <c r="AC333" i="34"/>
  <c r="AC335" i="34"/>
  <c r="AC336" i="34"/>
  <c r="AC337" i="34"/>
  <c r="AC338" i="34"/>
  <c r="AC341" i="34"/>
  <c r="AC347" i="34"/>
  <c r="AC361" i="34"/>
  <c r="AC371" i="34"/>
  <c r="AC398" i="34"/>
  <c r="AC407" i="34"/>
  <c r="AC421" i="34"/>
  <c r="AC423" i="34"/>
  <c r="AC433" i="34"/>
  <c r="AC440" i="34"/>
  <c r="AC443" i="34"/>
  <c r="AC446" i="34"/>
  <c r="AC451" i="34"/>
  <c r="AC457" i="34"/>
  <c r="AC464" i="34"/>
  <c r="AC495" i="34"/>
  <c r="AC501" i="34"/>
  <c r="AC504" i="34"/>
  <c r="AC505" i="34"/>
  <c r="AC512" i="34"/>
  <c r="AC514" i="34"/>
  <c r="AC516" i="34"/>
  <c r="AC520" i="34"/>
  <c r="AC542" i="34"/>
  <c r="AC557" i="34"/>
  <c r="AC561" i="34"/>
  <c r="AD19" i="34"/>
  <c r="AD20" i="34"/>
  <c r="AD21" i="34"/>
  <c r="AD22" i="34"/>
  <c r="AD24" i="34"/>
  <c r="AD25" i="34"/>
  <c r="AD26" i="34"/>
  <c r="AD27" i="34"/>
  <c r="AD28" i="34"/>
  <c r="AD29" i="34"/>
  <c r="AD30" i="34"/>
  <c r="AD33" i="34"/>
  <c r="AD35" i="34"/>
  <c r="AD36" i="34"/>
  <c r="AD38" i="34"/>
  <c r="AD39" i="34"/>
  <c r="AD40" i="34"/>
  <c r="AD41" i="34"/>
  <c r="AD43" i="34"/>
  <c r="AD45" i="34"/>
  <c r="AD46" i="34"/>
  <c r="AD47" i="34"/>
  <c r="AD48" i="34"/>
  <c r="AD49" i="34"/>
  <c r="AD50" i="34"/>
  <c r="AD51" i="34"/>
  <c r="AD52" i="34"/>
  <c r="AD53" i="34"/>
  <c r="AD57" i="34"/>
  <c r="AD58" i="34"/>
  <c r="AD59" i="34"/>
  <c r="AD60" i="34"/>
  <c r="AD63" i="34"/>
  <c r="AD64" i="34"/>
  <c r="AD65" i="34"/>
  <c r="AD67" i="34"/>
  <c r="AD68" i="34"/>
  <c r="AD70" i="34"/>
  <c r="AD71" i="34"/>
  <c r="AD73" i="34"/>
  <c r="AD74" i="34"/>
  <c r="AD77" i="34"/>
  <c r="AD80" i="34"/>
  <c r="AD81" i="34"/>
  <c r="AD82" i="34"/>
  <c r="AD83" i="34"/>
  <c r="AD84" i="34"/>
  <c r="AD85" i="34"/>
  <c r="AD89" i="34"/>
  <c r="AD95" i="34"/>
  <c r="AD109" i="34"/>
  <c r="AD123" i="34"/>
  <c r="AD149" i="34"/>
  <c r="AD185" i="34"/>
  <c r="AD210" i="34"/>
  <c r="AD222" i="34"/>
  <c r="AD224" i="34"/>
  <c r="AD232" i="34"/>
  <c r="AD243" i="34"/>
  <c r="AD266" i="34"/>
  <c r="AD277" i="34"/>
  <c r="AD280" i="34"/>
  <c r="AD291" i="34"/>
  <c r="AD296" i="34"/>
  <c r="AD298" i="34"/>
  <c r="AD315" i="34"/>
  <c r="AD322" i="34"/>
  <c r="AD333" i="34"/>
  <c r="AD335" i="34"/>
  <c r="AD336" i="34"/>
  <c r="AD337" i="34"/>
  <c r="AD338" i="34"/>
  <c r="AD341" i="34"/>
  <c r="AD347" i="34"/>
  <c r="AD361" i="34"/>
  <c r="AD371" i="34"/>
  <c r="AD398" i="34"/>
  <c r="AD407" i="34"/>
  <c r="AD421" i="34"/>
  <c r="AD423" i="34"/>
  <c r="AD433" i="34"/>
  <c r="AD440" i="34"/>
  <c r="AD443" i="34"/>
  <c r="AD446" i="34"/>
  <c r="AD451" i="34"/>
  <c r="AD457" i="34"/>
  <c r="AD464" i="34"/>
  <c r="AD495" i="34"/>
  <c r="AD501" i="34"/>
  <c r="AD504" i="34"/>
  <c r="AD505" i="34"/>
  <c r="AD512" i="34"/>
  <c r="AD514" i="34"/>
  <c r="AD516" i="34"/>
  <c r="AD520" i="34"/>
  <c r="AD542" i="34"/>
  <c r="AD557" i="34"/>
  <c r="AD561" i="34"/>
  <c r="AE19" i="34"/>
  <c r="AE20" i="34"/>
  <c r="AE21" i="34"/>
  <c r="AE22" i="34"/>
  <c r="AE24" i="34"/>
  <c r="AE25" i="34"/>
  <c r="AE26" i="34"/>
  <c r="AE27" i="34"/>
  <c r="AE28" i="34"/>
  <c r="AE29" i="34"/>
  <c r="AE30" i="34"/>
  <c r="AE33" i="34"/>
  <c r="AE35" i="34"/>
  <c r="AE36" i="34"/>
  <c r="AE38" i="34"/>
  <c r="AE39" i="34"/>
  <c r="AE40" i="34"/>
  <c r="AE41" i="34"/>
  <c r="AE43" i="34"/>
  <c r="AE45" i="34"/>
  <c r="AE46" i="34"/>
  <c r="AE47" i="34"/>
  <c r="AE48" i="34"/>
  <c r="AE49" i="34"/>
  <c r="AE50" i="34"/>
  <c r="AE51" i="34"/>
  <c r="AE52" i="34"/>
  <c r="AE53" i="34"/>
  <c r="AE57" i="34"/>
  <c r="AE58" i="34"/>
  <c r="AE59" i="34"/>
  <c r="AE60" i="34"/>
  <c r="AE63" i="34"/>
  <c r="AE64" i="34"/>
  <c r="AE65" i="34"/>
  <c r="AE67" i="34"/>
  <c r="AE68" i="34"/>
  <c r="AE70" i="34"/>
  <c r="AE71" i="34"/>
  <c r="AE73" i="34"/>
  <c r="AE74" i="34"/>
  <c r="AE77" i="34"/>
  <c r="AE80" i="34"/>
  <c r="AE81" i="34"/>
  <c r="AE82" i="34"/>
  <c r="AE83" i="34"/>
  <c r="AE84" i="34"/>
  <c r="AE85" i="34"/>
  <c r="AE89" i="34"/>
  <c r="AE95" i="34"/>
  <c r="AE109" i="34"/>
  <c r="AE123" i="34"/>
  <c r="AE149" i="34"/>
  <c r="AE185" i="34"/>
  <c r="AE210" i="34"/>
  <c r="AE222" i="34"/>
  <c r="AE224" i="34"/>
  <c r="AE232" i="34"/>
  <c r="AE243" i="34"/>
  <c r="AE266" i="34"/>
  <c r="AE277" i="34"/>
  <c r="AE280" i="34"/>
  <c r="AE291" i="34"/>
  <c r="AE296" i="34"/>
  <c r="AE298" i="34"/>
  <c r="AE315" i="34"/>
  <c r="AE322" i="34"/>
  <c r="AE333" i="34"/>
  <c r="AE335" i="34"/>
  <c r="AE336" i="34"/>
  <c r="AE337" i="34"/>
  <c r="AE338" i="34"/>
  <c r="AE341" i="34"/>
  <c r="AE347" i="34"/>
  <c r="AE361" i="34"/>
  <c r="AE371" i="34"/>
  <c r="AE398" i="34"/>
  <c r="AE407" i="34"/>
  <c r="AE421" i="34"/>
  <c r="AE423" i="34"/>
  <c r="AE433" i="34"/>
  <c r="AE440" i="34"/>
  <c r="AE443" i="34"/>
  <c r="AE446" i="34"/>
  <c r="AE451" i="34"/>
  <c r="AE457" i="34"/>
  <c r="AE464" i="34"/>
  <c r="AE495" i="34"/>
  <c r="AE501" i="34"/>
  <c r="AE504" i="34"/>
  <c r="AE505" i="34"/>
  <c r="AE512" i="34"/>
  <c r="AE514" i="34"/>
  <c r="AE516" i="34"/>
  <c r="AE520" i="34"/>
  <c r="AE542" i="34"/>
  <c r="AE557" i="34"/>
  <c r="AE561" i="34"/>
  <c r="AF19" i="34"/>
  <c r="AF20" i="34"/>
  <c r="AF21" i="34"/>
  <c r="AF22" i="34"/>
  <c r="AF24" i="34"/>
  <c r="AF25" i="34"/>
  <c r="AF26" i="34"/>
  <c r="AF27" i="34"/>
  <c r="AF28" i="34"/>
  <c r="AF29" i="34"/>
  <c r="AF30" i="34"/>
  <c r="AF33" i="34"/>
  <c r="AF35" i="34"/>
  <c r="AF36" i="34"/>
  <c r="AF38" i="34"/>
  <c r="AF39" i="34"/>
  <c r="AF40" i="34"/>
  <c r="AF41" i="34"/>
  <c r="AF43" i="34"/>
  <c r="AF45" i="34"/>
  <c r="AF46" i="34"/>
  <c r="AF47" i="34"/>
  <c r="AF48" i="34"/>
  <c r="AF49" i="34"/>
  <c r="AF50" i="34"/>
  <c r="AF51" i="34"/>
  <c r="AF52" i="34"/>
  <c r="AF53" i="34"/>
  <c r="AF57" i="34"/>
  <c r="AF58" i="34"/>
  <c r="AF59" i="34"/>
  <c r="AF60" i="34"/>
  <c r="AF63" i="34"/>
  <c r="AF64" i="34"/>
  <c r="AF65" i="34"/>
  <c r="AF67" i="34"/>
  <c r="AF68" i="34"/>
  <c r="AF70" i="34"/>
  <c r="AF71" i="34"/>
  <c r="AF73" i="34"/>
  <c r="AF74" i="34"/>
  <c r="AF77" i="34"/>
  <c r="AF80" i="34"/>
  <c r="AF81" i="34"/>
  <c r="AF82" i="34"/>
  <c r="AF83" i="34"/>
  <c r="AF84" i="34"/>
  <c r="AF85" i="34"/>
  <c r="AF89" i="34"/>
  <c r="AF95" i="34"/>
  <c r="AF109" i="34"/>
  <c r="AF123" i="34"/>
  <c r="AF149" i="34"/>
  <c r="AF185" i="34"/>
  <c r="AF210" i="34"/>
  <c r="AF222" i="34"/>
  <c r="AF224" i="34"/>
  <c r="AF232" i="34"/>
  <c r="AF243" i="34"/>
  <c r="AF266" i="34"/>
  <c r="AF277" i="34"/>
  <c r="AF280" i="34"/>
  <c r="AF291" i="34"/>
  <c r="AF296" i="34"/>
  <c r="AF298" i="34"/>
  <c r="AF315" i="34"/>
  <c r="AF322" i="34"/>
  <c r="AF333" i="34"/>
  <c r="AF335" i="34"/>
  <c r="AF336" i="34"/>
  <c r="AF337" i="34"/>
  <c r="AF338" i="34"/>
  <c r="AF341" i="34"/>
  <c r="AF347" i="34"/>
  <c r="AF361" i="34"/>
  <c r="AF371" i="34"/>
  <c r="AF398" i="34"/>
  <c r="AF407" i="34"/>
  <c r="AF421" i="34"/>
  <c r="AF423" i="34"/>
  <c r="AF433" i="34"/>
  <c r="AF440" i="34"/>
  <c r="AF443" i="34"/>
  <c r="AF446" i="34"/>
  <c r="AF451" i="34"/>
  <c r="AF457" i="34"/>
  <c r="AF464" i="34"/>
  <c r="AF495" i="34"/>
  <c r="AF501" i="34"/>
  <c r="AF504" i="34"/>
  <c r="AF505" i="34"/>
  <c r="AF512" i="34"/>
  <c r="AF514" i="34"/>
  <c r="AF516" i="34"/>
  <c r="AF520" i="34"/>
  <c r="AF542" i="34"/>
  <c r="AF557" i="34"/>
  <c r="AF561" i="34"/>
  <c r="AG19" i="34"/>
  <c r="AG20" i="34"/>
  <c r="AG21" i="34"/>
  <c r="AG22" i="34"/>
  <c r="AG24" i="34"/>
  <c r="AG25" i="34"/>
  <c r="AG26" i="34"/>
  <c r="AG27" i="34"/>
  <c r="AG28" i="34"/>
  <c r="AG29" i="34"/>
  <c r="AG30" i="34"/>
  <c r="AG33" i="34"/>
  <c r="AG35" i="34"/>
  <c r="AG36" i="34"/>
  <c r="AG38" i="34"/>
  <c r="AG39" i="34"/>
  <c r="AG40" i="34"/>
  <c r="AG41" i="34"/>
  <c r="AG43" i="34"/>
  <c r="AG45" i="34"/>
  <c r="AG46" i="34"/>
  <c r="AG47" i="34"/>
  <c r="AG48" i="34"/>
  <c r="AG49" i="34"/>
  <c r="AG50" i="34"/>
  <c r="AG51" i="34"/>
  <c r="AG52" i="34"/>
  <c r="AG53" i="34"/>
  <c r="AG57" i="34"/>
  <c r="AG58" i="34"/>
  <c r="AG59" i="34"/>
  <c r="AG60" i="34"/>
  <c r="AG63" i="34"/>
  <c r="AG64" i="34"/>
  <c r="AG65" i="34"/>
  <c r="AG67" i="34"/>
  <c r="AG68" i="34"/>
  <c r="AG70" i="34"/>
  <c r="AG71" i="34"/>
  <c r="AG73" i="34"/>
  <c r="AG74" i="34"/>
  <c r="AG77" i="34"/>
  <c r="AG80" i="34"/>
  <c r="AG81" i="34"/>
  <c r="AG82" i="34"/>
  <c r="AG83" i="34"/>
  <c r="AG84" i="34"/>
  <c r="AG85" i="34"/>
  <c r="AG89" i="34"/>
  <c r="AG95" i="34"/>
  <c r="AG109" i="34"/>
  <c r="AG123" i="34"/>
  <c r="AG149" i="34"/>
  <c r="AG185" i="34"/>
  <c r="AG210" i="34"/>
  <c r="AG222" i="34"/>
  <c r="AG224" i="34"/>
  <c r="AG232" i="34"/>
  <c r="AG243" i="34"/>
  <c r="AG266" i="34"/>
  <c r="AG277" i="34"/>
  <c r="AG280" i="34"/>
  <c r="AG291" i="34"/>
  <c r="AG296" i="34"/>
  <c r="AG298" i="34"/>
  <c r="AG315" i="34"/>
  <c r="AG322" i="34"/>
  <c r="AG333" i="34"/>
  <c r="AG335" i="34"/>
  <c r="AG336" i="34"/>
  <c r="AG337" i="34"/>
  <c r="AG338" i="34"/>
  <c r="AG341" i="34"/>
  <c r="AG347" i="34"/>
  <c r="AG361" i="34"/>
  <c r="AG371" i="34"/>
  <c r="AG398" i="34"/>
  <c r="AG407" i="34"/>
  <c r="AG421" i="34"/>
  <c r="AG423" i="34"/>
  <c r="AG433" i="34"/>
  <c r="AG440" i="34"/>
  <c r="AG443" i="34"/>
  <c r="AG446" i="34"/>
  <c r="AG451" i="34"/>
  <c r="AG457" i="34"/>
  <c r="AG464" i="34"/>
  <c r="AG495" i="34"/>
  <c r="AG501" i="34"/>
  <c r="AG504" i="34"/>
  <c r="AG505" i="34"/>
  <c r="AG512" i="34"/>
  <c r="AG514" i="34"/>
  <c r="AG516" i="34"/>
  <c r="AG520" i="34"/>
  <c r="AG542" i="34"/>
  <c r="AG557" i="34"/>
  <c r="AG561" i="34"/>
  <c r="D101" i="34"/>
  <c r="D140" i="34"/>
  <c r="D154" i="34"/>
  <c r="D197" i="34"/>
  <c r="D209" i="34"/>
  <c r="D217" i="34"/>
  <c r="D218" i="34"/>
  <c r="D229" i="34"/>
  <c r="D234" i="34"/>
  <c r="D290" i="34"/>
  <c r="D314" i="34"/>
  <c r="D325" i="34"/>
  <c r="D332" i="34"/>
  <c r="D363" i="34"/>
  <c r="D367" i="34"/>
  <c r="D391" i="34"/>
  <c r="D404" i="34"/>
  <c r="D429" i="34"/>
  <c r="D434" i="34"/>
  <c r="D490" i="34"/>
  <c r="D503" i="34"/>
  <c r="D541" i="34"/>
  <c r="O101" i="34"/>
  <c r="O140" i="34"/>
  <c r="O154" i="34"/>
  <c r="O197" i="34"/>
  <c r="O209" i="34"/>
  <c r="O217" i="34"/>
  <c r="O218" i="34"/>
  <c r="O229" i="34"/>
  <c r="O234" i="34"/>
  <c r="O290" i="34"/>
  <c r="O314" i="34"/>
  <c r="O325" i="34"/>
  <c r="O332" i="34"/>
  <c r="O363" i="34"/>
  <c r="O367" i="34"/>
  <c r="O391" i="34"/>
  <c r="O404" i="34"/>
  <c r="O429" i="34"/>
  <c r="O434" i="34"/>
  <c r="O490" i="34"/>
  <c r="O503" i="34"/>
  <c r="O541" i="34"/>
  <c r="P101" i="34"/>
  <c r="P140" i="34"/>
  <c r="P154" i="34"/>
  <c r="P197" i="34"/>
  <c r="P209" i="34"/>
  <c r="P217" i="34"/>
  <c r="P218" i="34"/>
  <c r="P229" i="34"/>
  <c r="P234" i="34"/>
  <c r="P290" i="34"/>
  <c r="P314" i="34"/>
  <c r="P325" i="34"/>
  <c r="P332" i="34"/>
  <c r="P363" i="34"/>
  <c r="P367" i="34"/>
  <c r="P391" i="34"/>
  <c r="P404" i="34"/>
  <c r="P429" i="34"/>
  <c r="P434" i="34"/>
  <c r="P490" i="34"/>
  <c r="P503" i="34"/>
  <c r="P541" i="34"/>
  <c r="Q101" i="34"/>
  <c r="Q140" i="34"/>
  <c r="Q154" i="34"/>
  <c r="Q197" i="34"/>
  <c r="Q209" i="34"/>
  <c r="Q217" i="34"/>
  <c r="Q218" i="34"/>
  <c r="Q229" i="34"/>
  <c r="Q234" i="34"/>
  <c r="Q290" i="34"/>
  <c r="Q314" i="34"/>
  <c r="Q325" i="34"/>
  <c r="Q332" i="34"/>
  <c r="Q363" i="34"/>
  <c r="Q367" i="34"/>
  <c r="Q391" i="34"/>
  <c r="Q404" i="34"/>
  <c r="Q429" i="34"/>
  <c r="Q434" i="34"/>
  <c r="Q490" i="34"/>
  <c r="Q503" i="34"/>
  <c r="Q541" i="34"/>
  <c r="U101" i="34"/>
  <c r="U140" i="34"/>
  <c r="U154" i="34"/>
  <c r="U197" i="34"/>
  <c r="U209" i="34"/>
  <c r="U217" i="34"/>
  <c r="U218" i="34"/>
  <c r="U229" i="34"/>
  <c r="U234" i="34"/>
  <c r="U290" i="34"/>
  <c r="U314" i="34"/>
  <c r="U325" i="34"/>
  <c r="U332" i="34"/>
  <c r="U363" i="34"/>
  <c r="U367" i="34"/>
  <c r="U391" i="34"/>
  <c r="U404" i="34"/>
  <c r="U429" i="34"/>
  <c r="U434" i="34"/>
  <c r="U490" i="34"/>
  <c r="U503" i="34"/>
  <c r="U541" i="34"/>
  <c r="V101" i="34"/>
  <c r="V140" i="34"/>
  <c r="V154" i="34"/>
  <c r="V197" i="34"/>
  <c r="V209" i="34"/>
  <c r="V217" i="34"/>
  <c r="V218" i="34"/>
  <c r="V229" i="34"/>
  <c r="V234" i="34"/>
  <c r="V290" i="34"/>
  <c r="V314" i="34"/>
  <c r="V325" i="34"/>
  <c r="V332" i="34"/>
  <c r="V363" i="34"/>
  <c r="V367" i="34"/>
  <c r="V391" i="34"/>
  <c r="V404" i="34"/>
  <c r="V429" i="34"/>
  <c r="V434" i="34"/>
  <c r="V490" i="34"/>
  <c r="V503" i="34"/>
  <c r="V541" i="34"/>
  <c r="W101" i="34"/>
  <c r="W140" i="34"/>
  <c r="W154" i="34"/>
  <c r="W197" i="34"/>
  <c r="W209" i="34"/>
  <c r="W217" i="34"/>
  <c r="W218" i="34"/>
  <c r="W229" i="34"/>
  <c r="W234" i="34"/>
  <c r="W290" i="34"/>
  <c r="W314" i="34"/>
  <c r="W325" i="34"/>
  <c r="W332" i="34"/>
  <c r="W363" i="34"/>
  <c r="W367" i="34"/>
  <c r="W391" i="34"/>
  <c r="W404" i="34"/>
  <c r="W429" i="34"/>
  <c r="W434" i="34"/>
  <c r="W490" i="34"/>
  <c r="W503" i="34"/>
  <c r="W541" i="34"/>
  <c r="X101" i="34"/>
  <c r="X140" i="34"/>
  <c r="X154" i="34"/>
  <c r="X197" i="34"/>
  <c r="X209" i="34"/>
  <c r="X217" i="34"/>
  <c r="X218" i="34"/>
  <c r="X229" i="34"/>
  <c r="X234" i="34"/>
  <c r="X290" i="34"/>
  <c r="X314" i="34"/>
  <c r="X325" i="34"/>
  <c r="X332" i="34"/>
  <c r="X363" i="34"/>
  <c r="X367" i="34"/>
  <c r="X391" i="34"/>
  <c r="X404" i="34"/>
  <c r="X429" i="34"/>
  <c r="X434" i="34"/>
  <c r="X490" i="34"/>
  <c r="X503" i="34"/>
  <c r="X541" i="34"/>
  <c r="Y101" i="34"/>
  <c r="Y140" i="34"/>
  <c r="Y154" i="34"/>
  <c r="Y197" i="34"/>
  <c r="Y209" i="34"/>
  <c r="Y217" i="34"/>
  <c r="Y218" i="34"/>
  <c r="Y229" i="34"/>
  <c r="Y234" i="34"/>
  <c r="Y290" i="34"/>
  <c r="Y314" i="34"/>
  <c r="Y325" i="34"/>
  <c r="Y332" i="34"/>
  <c r="Y363" i="34"/>
  <c r="Y367" i="34"/>
  <c r="Y391" i="34"/>
  <c r="Y404" i="34"/>
  <c r="Y429" i="34"/>
  <c r="Y434" i="34"/>
  <c r="Y490" i="34"/>
  <c r="Y503" i="34"/>
  <c r="Y541" i="34"/>
  <c r="Z101" i="34"/>
  <c r="Z140" i="34"/>
  <c r="Z154" i="34"/>
  <c r="Z197" i="34"/>
  <c r="Z209" i="34"/>
  <c r="Z217" i="34"/>
  <c r="Z218" i="34"/>
  <c r="Z229" i="34"/>
  <c r="Z234" i="34"/>
  <c r="Z290" i="34"/>
  <c r="Z314" i="34"/>
  <c r="Z325" i="34"/>
  <c r="Z332" i="34"/>
  <c r="Z363" i="34"/>
  <c r="Z367" i="34"/>
  <c r="Z391" i="34"/>
  <c r="Z404" i="34"/>
  <c r="Z429" i="34"/>
  <c r="Z434" i="34"/>
  <c r="Z490" i="34"/>
  <c r="Z503" i="34"/>
  <c r="Z541" i="34"/>
  <c r="AA101" i="34"/>
  <c r="AA140" i="34"/>
  <c r="AA154" i="34"/>
  <c r="AA197" i="34"/>
  <c r="AA209" i="34"/>
  <c r="AA217" i="34"/>
  <c r="AA218" i="34"/>
  <c r="AA229" i="34"/>
  <c r="AA234" i="34"/>
  <c r="AA290" i="34"/>
  <c r="AA314" i="34"/>
  <c r="AA325" i="34"/>
  <c r="AA332" i="34"/>
  <c r="AA363" i="34"/>
  <c r="AA367" i="34"/>
  <c r="AA391" i="34"/>
  <c r="AA404" i="34"/>
  <c r="AA429" i="34"/>
  <c r="AA434" i="34"/>
  <c r="AA490" i="34"/>
  <c r="AA503" i="34"/>
  <c r="AA541" i="34"/>
  <c r="AB101" i="34"/>
  <c r="AB140" i="34"/>
  <c r="AB154" i="34"/>
  <c r="AB197" i="34"/>
  <c r="AB209" i="34"/>
  <c r="AB217" i="34"/>
  <c r="AB218" i="34"/>
  <c r="AB229" i="34"/>
  <c r="AB234" i="34"/>
  <c r="AB290" i="34"/>
  <c r="AB314" i="34"/>
  <c r="AB325" i="34"/>
  <c r="AB332" i="34"/>
  <c r="AB363" i="34"/>
  <c r="AB367" i="34"/>
  <c r="AB391" i="34"/>
  <c r="AB404" i="34"/>
  <c r="AB429" i="34"/>
  <c r="AB434" i="34"/>
  <c r="AB490" i="34"/>
  <c r="AB503" i="34"/>
  <c r="AB541" i="34"/>
  <c r="AC101" i="34"/>
  <c r="AC140" i="34"/>
  <c r="AC154" i="34"/>
  <c r="AC197" i="34"/>
  <c r="AC209" i="34"/>
  <c r="AC217" i="34"/>
  <c r="AC218" i="34"/>
  <c r="AC229" i="34"/>
  <c r="AC234" i="34"/>
  <c r="AC290" i="34"/>
  <c r="AC314" i="34"/>
  <c r="AC325" i="34"/>
  <c r="AC332" i="34"/>
  <c r="AC363" i="34"/>
  <c r="AC367" i="34"/>
  <c r="AC391" i="34"/>
  <c r="AC404" i="34"/>
  <c r="AC429" i="34"/>
  <c r="AC434" i="34"/>
  <c r="AC490" i="34"/>
  <c r="AC503" i="34"/>
  <c r="AC541" i="34"/>
  <c r="AD101" i="34"/>
  <c r="AD140" i="34"/>
  <c r="AD154" i="34"/>
  <c r="AD197" i="34"/>
  <c r="AD209" i="34"/>
  <c r="AD217" i="34"/>
  <c r="AD218" i="34"/>
  <c r="AD229" i="34"/>
  <c r="AD234" i="34"/>
  <c r="AD290" i="34"/>
  <c r="AD314" i="34"/>
  <c r="AD325" i="34"/>
  <c r="AD332" i="34"/>
  <c r="AD363" i="34"/>
  <c r="AD367" i="34"/>
  <c r="AD391" i="34"/>
  <c r="AD404" i="34"/>
  <c r="AD429" i="34"/>
  <c r="AD434" i="34"/>
  <c r="AD490" i="34"/>
  <c r="AD503" i="34"/>
  <c r="AD541" i="34"/>
  <c r="AE101" i="34"/>
  <c r="AE140" i="34"/>
  <c r="AE154" i="34"/>
  <c r="AE197" i="34"/>
  <c r="AE209" i="34"/>
  <c r="AE217" i="34"/>
  <c r="AE218" i="34"/>
  <c r="AE229" i="34"/>
  <c r="AE234" i="34"/>
  <c r="AE290" i="34"/>
  <c r="AE314" i="34"/>
  <c r="AE325" i="34"/>
  <c r="AE332" i="34"/>
  <c r="AE363" i="34"/>
  <c r="AE367" i="34"/>
  <c r="AE391" i="34"/>
  <c r="AE404" i="34"/>
  <c r="AE429" i="34"/>
  <c r="AE434" i="34"/>
  <c r="AE490" i="34"/>
  <c r="AE503" i="34"/>
  <c r="AE541" i="34"/>
  <c r="AF101" i="34"/>
  <c r="AF140" i="34"/>
  <c r="AF154" i="34"/>
  <c r="AF197" i="34"/>
  <c r="AF209" i="34"/>
  <c r="AF217" i="34"/>
  <c r="AF218" i="34"/>
  <c r="AF229" i="34"/>
  <c r="AF234" i="34"/>
  <c r="AF290" i="34"/>
  <c r="AF314" i="34"/>
  <c r="AF325" i="34"/>
  <c r="AF332" i="34"/>
  <c r="AF363" i="34"/>
  <c r="AF367" i="34"/>
  <c r="AF391" i="34"/>
  <c r="AF404" i="34"/>
  <c r="AF429" i="34"/>
  <c r="AF434" i="34"/>
  <c r="AF490" i="34"/>
  <c r="AF503" i="34"/>
  <c r="AF541" i="34"/>
  <c r="AG101" i="34"/>
  <c r="AG140" i="34"/>
  <c r="AG154" i="34"/>
  <c r="AG197" i="34"/>
  <c r="AG209" i="34"/>
  <c r="AG217" i="34"/>
  <c r="AG218" i="34"/>
  <c r="AG229" i="34"/>
  <c r="AG234" i="34"/>
  <c r="AG290" i="34"/>
  <c r="AG314" i="34"/>
  <c r="AG325" i="34"/>
  <c r="AG332" i="34"/>
  <c r="AG363" i="34"/>
  <c r="AG367" i="34"/>
  <c r="AG391" i="34"/>
  <c r="AG404" i="34"/>
  <c r="AG429" i="34"/>
  <c r="AG434" i="34"/>
  <c r="AG490" i="34"/>
  <c r="AG503" i="34"/>
  <c r="AG541" i="34"/>
  <c r="D110" i="34"/>
  <c r="D141" i="34"/>
  <c r="D187" i="34"/>
  <c r="D262" i="34"/>
  <c r="D302" i="34"/>
  <c r="D326" i="34"/>
  <c r="D370" i="34"/>
  <c r="D455" i="34"/>
  <c r="D467" i="34"/>
  <c r="D471" i="34"/>
  <c r="D515" i="34"/>
  <c r="D530" i="34"/>
  <c r="O110" i="34"/>
  <c r="O141" i="34"/>
  <c r="O187" i="34"/>
  <c r="O262" i="34"/>
  <c r="O302" i="34"/>
  <c r="O326" i="34"/>
  <c r="O370" i="34"/>
  <c r="O455" i="34"/>
  <c r="O467" i="34"/>
  <c r="O471" i="34"/>
  <c r="O515" i="34"/>
  <c r="O530" i="34"/>
  <c r="P110" i="34"/>
  <c r="P141" i="34"/>
  <c r="P187" i="34"/>
  <c r="P262" i="34"/>
  <c r="P302" i="34"/>
  <c r="P326" i="34"/>
  <c r="P370" i="34"/>
  <c r="P455" i="34"/>
  <c r="P467" i="34"/>
  <c r="P471" i="34"/>
  <c r="P515" i="34"/>
  <c r="P530" i="34"/>
  <c r="Q110" i="34"/>
  <c r="Q141" i="34"/>
  <c r="Q187" i="34"/>
  <c r="Q262" i="34"/>
  <c r="Q302" i="34"/>
  <c r="Q326" i="34"/>
  <c r="Q370" i="34"/>
  <c r="Q455" i="34"/>
  <c r="Q467" i="34"/>
  <c r="Q471" i="34"/>
  <c r="Q515" i="34"/>
  <c r="Q530" i="34"/>
  <c r="U110" i="34"/>
  <c r="U141" i="34"/>
  <c r="U187" i="34"/>
  <c r="U262" i="34"/>
  <c r="U302" i="34"/>
  <c r="U326" i="34"/>
  <c r="U370" i="34"/>
  <c r="U455" i="34"/>
  <c r="U467" i="34"/>
  <c r="U471" i="34"/>
  <c r="U515" i="34"/>
  <c r="U530" i="34"/>
  <c r="V110" i="34"/>
  <c r="V141" i="34"/>
  <c r="V187" i="34"/>
  <c r="V262" i="34"/>
  <c r="V302" i="34"/>
  <c r="V326" i="34"/>
  <c r="V370" i="34"/>
  <c r="V455" i="34"/>
  <c r="V467" i="34"/>
  <c r="V471" i="34"/>
  <c r="V515" i="34"/>
  <c r="V530" i="34"/>
  <c r="W110" i="34"/>
  <c r="W141" i="34"/>
  <c r="W187" i="34"/>
  <c r="W262" i="34"/>
  <c r="W302" i="34"/>
  <c r="W326" i="34"/>
  <c r="W370" i="34"/>
  <c r="W455" i="34"/>
  <c r="W467" i="34"/>
  <c r="W471" i="34"/>
  <c r="W515" i="34"/>
  <c r="W530" i="34"/>
  <c r="X110" i="34"/>
  <c r="X141" i="34"/>
  <c r="X187" i="34"/>
  <c r="X262" i="34"/>
  <c r="X302" i="34"/>
  <c r="X326" i="34"/>
  <c r="X370" i="34"/>
  <c r="X455" i="34"/>
  <c r="X467" i="34"/>
  <c r="X471" i="34"/>
  <c r="X515" i="34"/>
  <c r="X530" i="34"/>
  <c r="Y110" i="34"/>
  <c r="Y141" i="34"/>
  <c r="Y187" i="34"/>
  <c r="Y262" i="34"/>
  <c r="Y302" i="34"/>
  <c r="Y326" i="34"/>
  <c r="Y370" i="34"/>
  <c r="Y455" i="34"/>
  <c r="Y467" i="34"/>
  <c r="Y471" i="34"/>
  <c r="Y515" i="34"/>
  <c r="Y530" i="34"/>
  <c r="Z110" i="34"/>
  <c r="Z141" i="34"/>
  <c r="Z187" i="34"/>
  <c r="Z262" i="34"/>
  <c r="Z302" i="34"/>
  <c r="Z326" i="34"/>
  <c r="Z370" i="34"/>
  <c r="Z455" i="34"/>
  <c r="Z467" i="34"/>
  <c r="Z471" i="34"/>
  <c r="Z515" i="34"/>
  <c r="Z530" i="34"/>
  <c r="AA110" i="34"/>
  <c r="AA141" i="34"/>
  <c r="AA187" i="34"/>
  <c r="AA262" i="34"/>
  <c r="AA302" i="34"/>
  <c r="AA326" i="34"/>
  <c r="AA370" i="34"/>
  <c r="AA455" i="34"/>
  <c r="AA467" i="34"/>
  <c r="AA471" i="34"/>
  <c r="AA515" i="34"/>
  <c r="AA530" i="34"/>
  <c r="AB110" i="34"/>
  <c r="AB141" i="34"/>
  <c r="AB187" i="34"/>
  <c r="AB262" i="34"/>
  <c r="AB302" i="34"/>
  <c r="AB326" i="34"/>
  <c r="AB370" i="34"/>
  <c r="AB455" i="34"/>
  <c r="AB467" i="34"/>
  <c r="AB471" i="34"/>
  <c r="AB515" i="34"/>
  <c r="AB530" i="34"/>
  <c r="AC110" i="34"/>
  <c r="AC141" i="34"/>
  <c r="AC187" i="34"/>
  <c r="AC262" i="34"/>
  <c r="AC302" i="34"/>
  <c r="AC326" i="34"/>
  <c r="AC370" i="34"/>
  <c r="AC455" i="34"/>
  <c r="AC467" i="34"/>
  <c r="AC471" i="34"/>
  <c r="AC515" i="34"/>
  <c r="AC530" i="34"/>
  <c r="AD110" i="34"/>
  <c r="AD141" i="34"/>
  <c r="AD187" i="34"/>
  <c r="AD262" i="34"/>
  <c r="AD302" i="34"/>
  <c r="AD326" i="34"/>
  <c r="AD370" i="34"/>
  <c r="AD455" i="34"/>
  <c r="AD467" i="34"/>
  <c r="AD471" i="34"/>
  <c r="AD515" i="34"/>
  <c r="AD530" i="34"/>
  <c r="AE110" i="34"/>
  <c r="AE141" i="34"/>
  <c r="AE187" i="34"/>
  <c r="AE262" i="34"/>
  <c r="AE302" i="34"/>
  <c r="AE326" i="34"/>
  <c r="AE370" i="34"/>
  <c r="AE455" i="34"/>
  <c r="AE467" i="34"/>
  <c r="AE471" i="34"/>
  <c r="AE515" i="34"/>
  <c r="AE530" i="34"/>
  <c r="AF110" i="34"/>
  <c r="AF141" i="34"/>
  <c r="AF187" i="34"/>
  <c r="AF262" i="34"/>
  <c r="AF302" i="34"/>
  <c r="AF326" i="34"/>
  <c r="AF370" i="34"/>
  <c r="AF455" i="34"/>
  <c r="AF467" i="34"/>
  <c r="AF471" i="34"/>
  <c r="AF515" i="34"/>
  <c r="AF530" i="34"/>
  <c r="AG110" i="34"/>
  <c r="AG141" i="34"/>
  <c r="AG187" i="34"/>
  <c r="AG262" i="34"/>
  <c r="AG302" i="34"/>
  <c r="AG326" i="34"/>
  <c r="AG370" i="34"/>
  <c r="AG455" i="34"/>
  <c r="AG467" i="34"/>
  <c r="AG471" i="34"/>
  <c r="AG515" i="34"/>
  <c r="AG530" i="34"/>
  <c r="D97" i="34"/>
  <c r="D108" i="34"/>
  <c r="D186" i="34"/>
  <c r="D281" i="34"/>
  <c r="D401" i="34"/>
  <c r="D481" i="34"/>
  <c r="D497" i="34"/>
  <c r="D537" i="34"/>
  <c r="O97" i="34"/>
  <c r="O108" i="34"/>
  <c r="O186" i="34"/>
  <c r="O281" i="34"/>
  <c r="O401" i="34"/>
  <c r="O481" i="34"/>
  <c r="O497" i="34"/>
  <c r="O537" i="34"/>
  <c r="P97" i="34"/>
  <c r="P108" i="34"/>
  <c r="P186" i="34"/>
  <c r="P281" i="34"/>
  <c r="P401" i="34"/>
  <c r="P481" i="34"/>
  <c r="P497" i="34"/>
  <c r="P537" i="34"/>
  <c r="Q97" i="34"/>
  <c r="Q108" i="34"/>
  <c r="Q186" i="34"/>
  <c r="Q281" i="34"/>
  <c r="Q401" i="34"/>
  <c r="Q481" i="34"/>
  <c r="Q497" i="34"/>
  <c r="Q537" i="34"/>
  <c r="U97" i="34"/>
  <c r="U108" i="34"/>
  <c r="U186" i="34"/>
  <c r="U281" i="34"/>
  <c r="U401" i="34"/>
  <c r="U481" i="34"/>
  <c r="U497" i="34"/>
  <c r="U537" i="34"/>
  <c r="V97" i="34"/>
  <c r="V108" i="34"/>
  <c r="V186" i="34"/>
  <c r="V281" i="34"/>
  <c r="V401" i="34"/>
  <c r="V481" i="34"/>
  <c r="V497" i="34"/>
  <c r="V537" i="34"/>
  <c r="W97" i="34"/>
  <c r="W108" i="34"/>
  <c r="W186" i="34"/>
  <c r="W281" i="34"/>
  <c r="W401" i="34"/>
  <c r="W481" i="34"/>
  <c r="W497" i="34"/>
  <c r="W537" i="34"/>
  <c r="X97" i="34"/>
  <c r="X108" i="34"/>
  <c r="X186" i="34"/>
  <c r="X281" i="34"/>
  <c r="X401" i="34"/>
  <c r="X481" i="34"/>
  <c r="X497" i="34"/>
  <c r="X537" i="34"/>
  <c r="Y97" i="34"/>
  <c r="Y108" i="34"/>
  <c r="Y186" i="34"/>
  <c r="Y281" i="34"/>
  <c r="Y401" i="34"/>
  <c r="Y481" i="34"/>
  <c r="Y497" i="34"/>
  <c r="Y537" i="34"/>
  <c r="Z97" i="34"/>
  <c r="Z108" i="34"/>
  <c r="Z186" i="34"/>
  <c r="Z281" i="34"/>
  <c r="Z401" i="34"/>
  <c r="Z481" i="34"/>
  <c r="Z497" i="34"/>
  <c r="Z537" i="34"/>
  <c r="AA97" i="34"/>
  <c r="AA108" i="34"/>
  <c r="AA186" i="34"/>
  <c r="AA281" i="34"/>
  <c r="AA401" i="34"/>
  <c r="AA481" i="34"/>
  <c r="AA497" i="34"/>
  <c r="AA537" i="34"/>
  <c r="AB97" i="34"/>
  <c r="AB108" i="34"/>
  <c r="AB186" i="34"/>
  <c r="AB281" i="34"/>
  <c r="AB401" i="34"/>
  <c r="AB481" i="34"/>
  <c r="AB497" i="34"/>
  <c r="AB537" i="34"/>
  <c r="AC97" i="34"/>
  <c r="AC108" i="34"/>
  <c r="AC186" i="34"/>
  <c r="AC281" i="34"/>
  <c r="AC401" i="34"/>
  <c r="AC481" i="34"/>
  <c r="AC497" i="34"/>
  <c r="AC537" i="34"/>
  <c r="AD97" i="34"/>
  <c r="AD108" i="34"/>
  <c r="AD186" i="34"/>
  <c r="AD281" i="34"/>
  <c r="AD401" i="34"/>
  <c r="AD481" i="34"/>
  <c r="AD497" i="34"/>
  <c r="AD537" i="34"/>
  <c r="AE97" i="34"/>
  <c r="AE108" i="34"/>
  <c r="AE186" i="34"/>
  <c r="AE281" i="34"/>
  <c r="AE401" i="34"/>
  <c r="AE481" i="34"/>
  <c r="AE497" i="34"/>
  <c r="AE537" i="34"/>
  <c r="AF97" i="34"/>
  <c r="AF108" i="34"/>
  <c r="AF186" i="34"/>
  <c r="AF281" i="34"/>
  <c r="AF401" i="34"/>
  <c r="AF481" i="34"/>
  <c r="AF497" i="34"/>
  <c r="AF537" i="34"/>
  <c r="AG97" i="34"/>
  <c r="AG108" i="34"/>
  <c r="AG186" i="34"/>
  <c r="AG281" i="34"/>
  <c r="AG401" i="34"/>
  <c r="AG481" i="34"/>
  <c r="AG497" i="34"/>
  <c r="AG537" i="34"/>
  <c r="D102" i="34"/>
  <c r="D129" i="34"/>
  <c r="D159" i="34"/>
  <c r="D176" i="34"/>
  <c r="D268" i="34"/>
  <c r="D282" i="34"/>
  <c r="D308" i="34"/>
  <c r="D411" i="34"/>
  <c r="D427" i="34"/>
  <c r="D430" i="34"/>
  <c r="D441" i="34"/>
  <c r="D447" i="34"/>
  <c r="D477" i="34"/>
  <c r="D502" i="34"/>
  <c r="D533" i="34"/>
  <c r="D559" i="34"/>
  <c r="D562" i="34"/>
  <c r="D573" i="34"/>
  <c r="O102" i="34"/>
  <c r="O129" i="34"/>
  <c r="O159" i="34"/>
  <c r="O176" i="34"/>
  <c r="O268" i="34"/>
  <c r="O282" i="34"/>
  <c r="O308" i="34"/>
  <c r="O411" i="34"/>
  <c r="O427" i="34"/>
  <c r="O430" i="34"/>
  <c r="O441" i="34"/>
  <c r="O447" i="34"/>
  <c r="O477" i="34"/>
  <c r="O502" i="34"/>
  <c r="O533" i="34"/>
  <c r="O559" i="34"/>
  <c r="O562" i="34"/>
  <c r="O573" i="34"/>
  <c r="P102" i="34"/>
  <c r="P129" i="34"/>
  <c r="P159" i="34"/>
  <c r="P176" i="34"/>
  <c r="P268" i="34"/>
  <c r="P282" i="34"/>
  <c r="P308" i="34"/>
  <c r="P411" i="34"/>
  <c r="P427" i="34"/>
  <c r="P430" i="34"/>
  <c r="P441" i="34"/>
  <c r="P447" i="34"/>
  <c r="P477" i="34"/>
  <c r="P502" i="34"/>
  <c r="P533" i="34"/>
  <c r="P559" i="34"/>
  <c r="P562" i="34"/>
  <c r="P573" i="34"/>
  <c r="Q102" i="34"/>
  <c r="Q129" i="34"/>
  <c r="Q159" i="34"/>
  <c r="Q176" i="34"/>
  <c r="Q268" i="34"/>
  <c r="Q282" i="34"/>
  <c r="Q308" i="34"/>
  <c r="Q411" i="34"/>
  <c r="Q427" i="34"/>
  <c r="Q430" i="34"/>
  <c r="Q441" i="34"/>
  <c r="Q447" i="34"/>
  <c r="Q477" i="34"/>
  <c r="Q502" i="34"/>
  <c r="Q533" i="34"/>
  <c r="Q559" i="34"/>
  <c r="Q562" i="34"/>
  <c r="Q573" i="34"/>
  <c r="U102" i="34"/>
  <c r="U129" i="34"/>
  <c r="U159" i="34"/>
  <c r="U176" i="34"/>
  <c r="U268" i="34"/>
  <c r="U282" i="34"/>
  <c r="U308" i="34"/>
  <c r="U411" i="34"/>
  <c r="U427" i="34"/>
  <c r="U430" i="34"/>
  <c r="U441" i="34"/>
  <c r="U447" i="34"/>
  <c r="U477" i="34"/>
  <c r="U502" i="34"/>
  <c r="U533" i="34"/>
  <c r="U559" i="34"/>
  <c r="U562" i="34"/>
  <c r="U573" i="34"/>
  <c r="V102" i="34"/>
  <c r="V129" i="34"/>
  <c r="V159" i="34"/>
  <c r="V176" i="34"/>
  <c r="V268" i="34"/>
  <c r="V282" i="34"/>
  <c r="V308" i="34"/>
  <c r="V411" i="34"/>
  <c r="V427" i="34"/>
  <c r="V430" i="34"/>
  <c r="V441" i="34"/>
  <c r="V447" i="34"/>
  <c r="V477" i="34"/>
  <c r="V502" i="34"/>
  <c r="V533" i="34"/>
  <c r="V559" i="34"/>
  <c r="V562" i="34"/>
  <c r="V573" i="34"/>
  <c r="W102" i="34"/>
  <c r="W129" i="34"/>
  <c r="W159" i="34"/>
  <c r="W176" i="34"/>
  <c r="W268" i="34"/>
  <c r="W282" i="34"/>
  <c r="W308" i="34"/>
  <c r="W411" i="34"/>
  <c r="W427" i="34"/>
  <c r="W430" i="34"/>
  <c r="W441" i="34"/>
  <c r="W447" i="34"/>
  <c r="W477" i="34"/>
  <c r="W502" i="34"/>
  <c r="W533" i="34"/>
  <c r="W559" i="34"/>
  <c r="W562" i="34"/>
  <c r="W573" i="34"/>
  <c r="X102" i="34"/>
  <c r="X129" i="34"/>
  <c r="X159" i="34"/>
  <c r="X176" i="34"/>
  <c r="X268" i="34"/>
  <c r="X282" i="34"/>
  <c r="X308" i="34"/>
  <c r="X411" i="34"/>
  <c r="X427" i="34"/>
  <c r="X430" i="34"/>
  <c r="X441" i="34"/>
  <c r="X447" i="34"/>
  <c r="X477" i="34"/>
  <c r="X502" i="34"/>
  <c r="X533" i="34"/>
  <c r="X559" i="34"/>
  <c r="X562" i="34"/>
  <c r="X573" i="34"/>
  <c r="Y102" i="34"/>
  <c r="Y129" i="34"/>
  <c r="Y159" i="34"/>
  <c r="Y176" i="34"/>
  <c r="Y268" i="34"/>
  <c r="Y282" i="34"/>
  <c r="Y308" i="34"/>
  <c r="Y411" i="34"/>
  <c r="Y427" i="34"/>
  <c r="Y430" i="34"/>
  <c r="Y441" i="34"/>
  <c r="Y447" i="34"/>
  <c r="Y477" i="34"/>
  <c r="Y502" i="34"/>
  <c r="Y533" i="34"/>
  <c r="Y559" i="34"/>
  <c r="Y562" i="34"/>
  <c r="Y573" i="34"/>
  <c r="Z102" i="34"/>
  <c r="Z129" i="34"/>
  <c r="Z159" i="34"/>
  <c r="Z176" i="34"/>
  <c r="Z268" i="34"/>
  <c r="Z282" i="34"/>
  <c r="Z308" i="34"/>
  <c r="Z411" i="34"/>
  <c r="Z427" i="34"/>
  <c r="Z430" i="34"/>
  <c r="Z441" i="34"/>
  <c r="Z447" i="34"/>
  <c r="Z477" i="34"/>
  <c r="Z502" i="34"/>
  <c r="Z533" i="34"/>
  <c r="Z559" i="34"/>
  <c r="Z562" i="34"/>
  <c r="Z573" i="34"/>
  <c r="AA102" i="34"/>
  <c r="AA129" i="34"/>
  <c r="AA159" i="34"/>
  <c r="AA176" i="34"/>
  <c r="AA268" i="34"/>
  <c r="AA282" i="34"/>
  <c r="AA308" i="34"/>
  <c r="AA411" i="34"/>
  <c r="AA427" i="34"/>
  <c r="AA430" i="34"/>
  <c r="AA441" i="34"/>
  <c r="AA447" i="34"/>
  <c r="AA477" i="34"/>
  <c r="AA502" i="34"/>
  <c r="AA533" i="34"/>
  <c r="AA559" i="34"/>
  <c r="AA562" i="34"/>
  <c r="AA573" i="34"/>
  <c r="AB102" i="34"/>
  <c r="AB129" i="34"/>
  <c r="AB159" i="34"/>
  <c r="AB176" i="34"/>
  <c r="AB268" i="34"/>
  <c r="AB282" i="34"/>
  <c r="AB308" i="34"/>
  <c r="AB411" i="34"/>
  <c r="AB427" i="34"/>
  <c r="AB430" i="34"/>
  <c r="AB441" i="34"/>
  <c r="AB447" i="34"/>
  <c r="AB477" i="34"/>
  <c r="AB502" i="34"/>
  <c r="AB533" i="34"/>
  <c r="AB559" i="34"/>
  <c r="AB562" i="34"/>
  <c r="AB573" i="34"/>
  <c r="AC102" i="34"/>
  <c r="AC129" i="34"/>
  <c r="AC159" i="34"/>
  <c r="AC176" i="34"/>
  <c r="AC268" i="34"/>
  <c r="AC282" i="34"/>
  <c r="AC308" i="34"/>
  <c r="AC411" i="34"/>
  <c r="AC427" i="34"/>
  <c r="AC430" i="34"/>
  <c r="AC441" i="34"/>
  <c r="AC447" i="34"/>
  <c r="AC477" i="34"/>
  <c r="AC502" i="34"/>
  <c r="AC533" i="34"/>
  <c r="AC559" i="34"/>
  <c r="AC562" i="34"/>
  <c r="AC573" i="34"/>
  <c r="AD102" i="34"/>
  <c r="AD129" i="34"/>
  <c r="AD159" i="34"/>
  <c r="AD176" i="34"/>
  <c r="AD268" i="34"/>
  <c r="AD282" i="34"/>
  <c r="AD308" i="34"/>
  <c r="AD411" i="34"/>
  <c r="AD427" i="34"/>
  <c r="AD430" i="34"/>
  <c r="AD441" i="34"/>
  <c r="AD447" i="34"/>
  <c r="AD477" i="34"/>
  <c r="AD502" i="34"/>
  <c r="AD533" i="34"/>
  <c r="AD559" i="34"/>
  <c r="AD562" i="34"/>
  <c r="AD573" i="34"/>
  <c r="AE102" i="34"/>
  <c r="AE129" i="34"/>
  <c r="AE159" i="34"/>
  <c r="AE176" i="34"/>
  <c r="AE268" i="34"/>
  <c r="AE282" i="34"/>
  <c r="AE308" i="34"/>
  <c r="AE411" i="34"/>
  <c r="AE427" i="34"/>
  <c r="AE430" i="34"/>
  <c r="AE441" i="34"/>
  <c r="AE447" i="34"/>
  <c r="AE477" i="34"/>
  <c r="AE502" i="34"/>
  <c r="AE533" i="34"/>
  <c r="AE559" i="34"/>
  <c r="AE562" i="34"/>
  <c r="AE573" i="34"/>
  <c r="AF102" i="34"/>
  <c r="AF129" i="34"/>
  <c r="AF159" i="34"/>
  <c r="AF176" i="34"/>
  <c r="AF268" i="34"/>
  <c r="AF282" i="34"/>
  <c r="AF308" i="34"/>
  <c r="AF411" i="34"/>
  <c r="AF427" i="34"/>
  <c r="AF430" i="34"/>
  <c r="AF441" i="34"/>
  <c r="AF447" i="34"/>
  <c r="AF477" i="34"/>
  <c r="AF502" i="34"/>
  <c r="AF533" i="34"/>
  <c r="AF559" i="34"/>
  <c r="AF562" i="34"/>
  <c r="AF573" i="34"/>
  <c r="AG102" i="34"/>
  <c r="AG129" i="34"/>
  <c r="AG159" i="34"/>
  <c r="AG176" i="34"/>
  <c r="AG268" i="34"/>
  <c r="AG282" i="34"/>
  <c r="AG308" i="34"/>
  <c r="AG411" i="34"/>
  <c r="AG427" i="34"/>
  <c r="AG430" i="34"/>
  <c r="AG441" i="34"/>
  <c r="AG447" i="34"/>
  <c r="AG477" i="34"/>
  <c r="AG502" i="34"/>
  <c r="AG533" i="34"/>
  <c r="AG559" i="34"/>
  <c r="AG562" i="34"/>
  <c r="AG573" i="34"/>
  <c r="D137" i="34"/>
  <c r="D139" i="34"/>
  <c r="D145" i="34"/>
  <c r="D146" i="34"/>
  <c r="D156" i="34"/>
  <c r="D205" i="34"/>
  <c r="D220" i="34"/>
  <c r="D228" i="34"/>
  <c r="D230" i="34"/>
  <c r="D238" i="34"/>
  <c r="D246" i="34"/>
  <c r="D305" i="34"/>
  <c r="D307" i="34"/>
  <c r="D311" i="34"/>
  <c r="D425" i="34"/>
  <c r="D478" i="34"/>
  <c r="D500" i="34"/>
  <c r="D508" i="34"/>
  <c r="D565" i="34"/>
  <c r="D568" i="34"/>
  <c r="O137" i="34"/>
  <c r="O139" i="34"/>
  <c r="O145" i="34"/>
  <c r="O146" i="34"/>
  <c r="O156" i="34"/>
  <c r="O205" i="34"/>
  <c r="O220" i="34"/>
  <c r="O228" i="34"/>
  <c r="O230" i="34"/>
  <c r="O238" i="34"/>
  <c r="O246" i="34"/>
  <c r="O305" i="34"/>
  <c r="O307" i="34"/>
  <c r="O311" i="34"/>
  <c r="O425" i="34"/>
  <c r="O478" i="34"/>
  <c r="O500" i="34"/>
  <c r="O508" i="34"/>
  <c r="O565" i="34"/>
  <c r="O568" i="34"/>
  <c r="P137" i="34"/>
  <c r="P139" i="34"/>
  <c r="P145" i="34"/>
  <c r="P146" i="34"/>
  <c r="P156" i="34"/>
  <c r="P205" i="34"/>
  <c r="P220" i="34"/>
  <c r="P228" i="34"/>
  <c r="P230" i="34"/>
  <c r="P238" i="34"/>
  <c r="P246" i="34"/>
  <c r="P305" i="34"/>
  <c r="P307" i="34"/>
  <c r="P311" i="34"/>
  <c r="P425" i="34"/>
  <c r="P478" i="34"/>
  <c r="P500" i="34"/>
  <c r="P508" i="34"/>
  <c r="P565" i="34"/>
  <c r="P568" i="34"/>
  <c r="Q137" i="34"/>
  <c r="Q139" i="34"/>
  <c r="Q145" i="34"/>
  <c r="Q146" i="34"/>
  <c r="Q156" i="34"/>
  <c r="Q205" i="34"/>
  <c r="Q220" i="34"/>
  <c r="Q228" i="34"/>
  <c r="Q230" i="34"/>
  <c r="Q238" i="34"/>
  <c r="Q246" i="34"/>
  <c r="Q305" i="34"/>
  <c r="Q307" i="34"/>
  <c r="Q311" i="34"/>
  <c r="Q425" i="34"/>
  <c r="Q478" i="34"/>
  <c r="Q500" i="34"/>
  <c r="Q508" i="34"/>
  <c r="Q565" i="34"/>
  <c r="Q568" i="34"/>
  <c r="U137" i="34"/>
  <c r="U139" i="34"/>
  <c r="U145" i="34"/>
  <c r="U146" i="34"/>
  <c r="U156" i="34"/>
  <c r="U205" i="34"/>
  <c r="U220" i="34"/>
  <c r="U228" i="34"/>
  <c r="U230" i="34"/>
  <c r="U238" i="34"/>
  <c r="U246" i="34"/>
  <c r="U305" i="34"/>
  <c r="U307" i="34"/>
  <c r="U311" i="34"/>
  <c r="U425" i="34"/>
  <c r="U478" i="34"/>
  <c r="U500" i="34"/>
  <c r="U508" i="34"/>
  <c r="U565" i="34"/>
  <c r="U568" i="34"/>
  <c r="V137" i="34"/>
  <c r="V139" i="34"/>
  <c r="V145" i="34"/>
  <c r="V146" i="34"/>
  <c r="V156" i="34"/>
  <c r="V205" i="34"/>
  <c r="V220" i="34"/>
  <c r="V228" i="34"/>
  <c r="V230" i="34"/>
  <c r="V238" i="34"/>
  <c r="V246" i="34"/>
  <c r="V305" i="34"/>
  <c r="V307" i="34"/>
  <c r="V311" i="34"/>
  <c r="V425" i="34"/>
  <c r="V478" i="34"/>
  <c r="V500" i="34"/>
  <c r="V508" i="34"/>
  <c r="V565" i="34"/>
  <c r="V568" i="34"/>
  <c r="W137" i="34"/>
  <c r="W139" i="34"/>
  <c r="W145" i="34"/>
  <c r="W146" i="34"/>
  <c r="W156" i="34"/>
  <c r="W205" i="34"/>
  <c r="W220" i="34"/>
  <c r="W228" i="34"/>
  <c r="W230" i="34"/>
  <c r="W238" i="34"/>
  <c r="W246" i="34"/>
  <c r="W305" i="34"/>
  <c r="W307" i="34"/>
  <c r="W311" i="34"/>
  <c r="W425" i="34"/>
  <c r="W478" i="34"/>
  <c r="W500" i="34"/>
  <c r="W508" i="34"/>
  <c r="W565" i="34"/>
  <c r="W568" i="34"/>
  <c r="X137" i="34"/>
  <c r="X139" i="34"/>
  <c r="X145" i="34"/>
  <c r="X146" i="34"/>
  <c r="X156" i="34"/>
  <c r="X205" i="34"/>
  <c r="X220" i="34"/>
  <c r="X228" i="34"/>
  <c r="X230" i="34"/>
  <c r="X238" i="34"/>
  <c r="X246" i="34"/>
  <c r="X305" i="34"/>
  <c r="X307" i="34"/>
  <c r="X311" i="34"/>
  <c r="X425" i="34"/>
  <c r="X478" i="34"/>
  <c r="X500" i="34"/>
  <c r="X508" i="34"/>
  <c r="X565" i="34"/>
  <c r="X568" i="34"/>
  <c r="Y137" i="34"/>
  <c r="Y139" i="34"/>
  <c r="Y145" i="34"/>
  <c r="Y146" i="34"/>
  <c r="Y156" i="34"/>
  <c r="Y205" i="34"/>
  <c r="Y220" i="34"/>
  <c r="Y228" i="34"/>
  <c r="Y230" i="34"/>
  <c r="Y238" i="34"/>
  <c r="Y246" i="34"/>
  <c r="Y305" i="34"/>
  <c r="Y307" i="34"/>
  <c r="Y311" i="34"/>
  <c r="Y425" i="34"/>
  <c r="Y478" i="34"/>
  <c r="Y500" i="34"/>
  <c r="Y508" i="34"/>
  <c r="Y565" i="34"/>
  <c r="Y568" i="34"/>
  <c r="Z137" i="34"/>
  <c r="Z139" i="34"/>
  <c r="Z145" i="34"/>
  <c r="Z146" i="34"/>
  <c r="Z156" i="34"/>
  <c r="Z205" i="34"/>
  <c r="Z220" i="34"/>
  <c r="Z228" i="34"/>
  <c r="Z230" i="34"/>
  <c r="Z238" i="34"/>
  <c r="Z246" i="34"/>
  <c r="Z305" i="34"/>
  <c r="Z307" i="34"/>
  <c r="Z311" i="34"/>
  <c r="Z425" i="34"/>
  <c r="Z478" i="34"/>
  <c r="Z500" i="34"/>
  <c r="Z508" i="34"/>
  <c r="Z565" i="34"/>
  <c r="Z568" i="34"/>
  <c r="AA137" i="34"/>
  <c r="AA139" i="34"/>
  <c r="AA145" i="34"/>
  <c r="AA146" i="34"/>
  <c r="AA156" i="34"/>
  <c r="AA205" i="34"/>
  <c r="AA220" i="34"/>
  <c r="AA228" i="34"/>
  <c r="AA230" i="34"/>
  <c r="AA238" i="34"/>
  <c r="AA246" i="34"/>
  <c r="AA305" i="34"/>
  <c r="AA307" i="34"/>
  <c r="AA311" i="34"/>
  <c r="AA425" i="34"/>
  <c r="AA478" i="34"/>
  <c r="AA500" i="34"/>
  <c r="AA508" i="34"/>
  <c r="AA565" i="34"/>
  <c r="AA568" i="34"/>
  <c r="AB137" i="34"/>
  <c r="AB139" i="34"/>
  <c r="AB145" i="34"/>
  <c r="AB146" i="34"/>
  <c r="AB156" i="34"/>
  <c r="AB205" i="34"/>
  <c r="AB220" i="34"/>
  <c r="AB228" i="34"/>
  <c r="AB230" i="34"/>
  <c r="AB238" i="34"/>
  <c r="AB246" i="34"/>
  <c r="AB305" i="34"/>
  <c r="AB307" i="34"/>
  <c r="AB311" i="34"/>
  <c r="AB425" i="34"/>
  <c r="AB478" i="34"/>
  <c r="AB500" i="34"/>
  <c r="AB508" i="34"/>
  <c r="AB565" i="34"/>
  <c r="AB568" i="34"/>
  <c r="AC137" i="34"/>
  <c r="AC139" i="34"/>
  <c r="AC145" i="34"/>
  <c r="AC146" i="34"/>
  <c r="AC156" i="34"/>
  <c r="AC205" i="34"/>
  <c r="AC220" i="34"/>
  <c r="AC228" i="34"/>
  <c r="AC230" i="34"/>
  <c r="AC238" i="34"/>
  <c r="AC246" i="34"/>
  <c r="AC305" i="34"/>
  <c r="AC307" i="34"/>
  <c r="AC311" i="34"/>
  <c r="AC425" i="34"/>
  <c r="AC478" i="34"/>
  <c r="AC500" i="34"/>
  <c r="AC508" i="34"/>
  <c r="AC565" i="34"/>
  <c r="AC568" i="34"/>
  <c r="AD137" i="34"/>
  <c r="AD139" i="34"/>
  <c r="AD145" i="34"/>
  <c r="AD146" i="34"/>
  <c r="AD156" i="34"/>
  <c r="AD205" i="34"/>
  <c r="AD220" i="34"/>
  <c r="AD228" i="34"/>
  <c r="AD230" i="34"/>
  <c r="AD238" i="34"/>
  <c r="AD246" i="34"/>
  <c r="AD305" i="34"/>
  <c r="AD307" i="34"/>
  <c r="AD311" i="34"/>
  <c r="AD425" i="34"/>
  <c r="AD478" i="34"/>
  <c r="AD500" i="34"/>
  <c r="AD508" i="34"/>
  <c r="AD565" i="34"/>
  <c r="AD568" i="34"/>
  <c r="AE137" i="34"/>
  <c r="AE139" i="34"/>
  <c r="AE145" i="34"/>
  <c r="AE146" i="34"/>
  <c r="AE156" i="34"/>
  <c r="AE205" i="34"/>
  <c r="AE220" i="34"/>
  <c r="AE228" i="34"/>
  <c r="AE230" i="34"/>
  <c r="AE238" i="34"/>
  <c r="AE246" i="34"/>
  <c r="AE305" i="34"/>
  <c r="AE307" i="34"/>
  <c r="AE311" i="34"/>
  <c r="AE425" i="34"/>
  <c r="AE478" i="34"/>
  <c r="AE500" i="34"/>
  <c r="AE508" i="34"/>
  <c r="AE565" i="34"/>
  <c r="AE568" i="34"/>
  <c r="AF137" i="34"/>
  <c r="AF139" i="34"/>
  <c r="AF145" i="34"/>
  <c r="AF146" i="34"/>
  <c r="AF156" i="34"/>
  <c r="AF205" i="34"/>
  <c r="AF220" i="34"/>
  <c r="AF228" i="34"/>
  <c r="AF230" i="34"/>
  <c r="AF238" i="34"/>
  <c r="AF246" i="34"/>
  <c r="AF305" i="34"/>
  <c r="AF307" i="34"/>
  <c r="AF311" i="34"/>
  <c r="AF425" i="34"/>
  <c r="AF478" i="34"/>
  <c r="AF500" i="34"/>
  <c r="AF508" i="34"/>
  <c r="AF565" i="34"/>
  <c r="AF568" i="34"/>
  <c r="AG137" i="34"/>
  <c r="AG139" i="34"/>
  <c r="AG145" i="34"/>
  <c r="AG146" i="34"/>
  <c r="AG156" i="34"/>
  <c r="AG205" i="34"/>
  <c r="AG220" i="34"/>
  <c r="AG228" i="34"/>
  <c r="AG230" i="34"/>
  <c r="AG238" i="34"/>
  <c r="AG246" i="34"/>
  <c r="AG305" i="34"/>
  <c r="AG307" i="34"/>
  <c r="AG311" i="34"/>
  <c r="AG425" i="34"/>
  <c r="AG478" i="34"/>
  <c r="AG500" i="34"/>
  <c r="AG508" i="34"/>
  <c r="AG565" i="34"/>
  <c r="AG568" i="34"/>
  <c r="D104" i="34"/>
  <c r="D124" i="34"/>
  <c r="D151" i="34"/>
  <c r="D165" i="34"/>
  <c r="D175" i="34"/>
  <c r="D194" i="34"/>
  <c r="D211" i="34"/>
  <c r="D236" i="34"/>
  <c r="D245" i="34"/>
  <c r="D264" i="34"/>
  <c r="D288" i="34"/>
  <c r="D355" i="34"/>
  <c r="D369" i="34"/>
  <c r="D379" i="34"/>
  <c r="D400" i="34"/>
  <c r="D413" i="34"/>
  <c r="D445" i="34"/>
  <c r="D458" i="34"/>
  <c r="D466" i="34"/>
  <c r="D480" i="34"/>
  <c r="D496" i="34"/>
  <c r="D566" i="34"/>
  <c r="O104" i="34"/>
  <c r="O124" i="34"/>
  <c r="O151" i="34"/>
  <c r="O165" i="34"/>
  <c r="O175" i="34"/>
  <c r="O194" i="34"/>
  <c r="O211" i="34"/>
  <c r="O236" i="34"/>
  <c r="O245" i="34"/>
  <c r="O264" i="34"/>
  <c r="O288" i="34"/>
  <c r="O355" i="34"/>
  <c r="O369" i="34"/>
  <c r="O379" i="34"/>
  <c r="O400" i="34"/>
  <c r="O413" i="34"/>
  <c r="O445" i="34"/>
  <c r="O458" i="34"/>
  <c r="O466" i="34"/>
  <c r="O480" i="34"/>
  <c r="O496" i="34"/>
  <c r="O566" i="34"/>
  <c r="P104" i="34"/>
  <c r="P124" i="34"/>
  <c r="P151" i="34"/>
  <c r="P165" i="34"/>
  <c r="P175" i="34"/>
  <c r="P194" i="34"/>
  <c r="P211" i="34"/>
  <c r="P236" i="34"/>
  <c r="P245" i="34"/>
  <c r="P264" i="34"/>
  <c r="P288" i="34"/>
  <c r="P355" i="34"/>
  <c r="P369" i="34"/>
  <c r="P379" i="34"/>
  <c r="P400" i="34"/>
  <c r="P413" i="34"/>
  <c r="P445" i="34"/>
  <c r="P458" i="34"/>
  <c r="P466" i="34"/>
  <c r="P480" i="34"/>
  <c r="P496" i="34"/>
  <c r="P566" i="34"/>
  <c r="Q104" i="34"/>
  <c r="Q124" i="34"/>
  <c r="Q151" i="34"/>
  <c r="Q165" i="34"/>
  <c r="Q175" i="34"/>
  <c r="Q194" i="34"/>
  <c r="Q211" i="34"/>
  <c r="Q236" i="34"/>
  <c r="Q245" i="34"/>
  <c r="Q264" i="34"/>
  <c r="Q288" i="34"/>
  <c r="Q355" i="34"/>
  <c r="Q369" i="34"/>
  <c r="Q379" i="34"/>
  <c r="Q400" i="34"/>
  <c r="Q413" i="34"/>
  <c r="Q445" i="34"/>
  <c r="Q458" i="34"/>
  <c r="Q466" i="34"/>
  <c r="Q480" i="34"/>
  <c r="Q496" i="34"/>
  <c r="Q566" i="34"/>
  <c r="U104" i="34"/>
  <c r="U124" i="34"/>
  <c r="U151" i="34"/>
  <c r="U165" i="34"/>
  <c r="U175" i="34"/>
  <c r="U194" i="34"/>
  <c r="U211" i="34"/>
  <c r="U236" i="34"/>
  <c r="U245" i="34"/>
  <c r="U264" i="34"/>
  <c r="U288" i="34"/>
  <c r="U355" i="34"/>
  <c r="U369" i="34"/>
  <c r="U379" i="34"/>
  <c r="U400" i="34"/>
  <c r="U413" i="34"/>
  <c r="U445" i="34"/>
  <c r="U458" i="34"/>
  <c r="U466" i="34"/>
  <c r="U480" i="34"/>
  <c r="U496" i="34"/>
  <c r="U566" i="34"/>
  <c r="V104" i="34"/>
  <c r="V124" i="34"/>
  <c r="V151" i="34"/>
  <c r="V165" i="34"/>
  <c r="V175" i="34"/>
  <c r="V194" i="34"/>
  <c r="V211" i="34"/>
  <c r="V236" i="34"/>
  <c r="V245" i="34"/>
  <c r="V264" i="34"/>
  <c r="V288" i="34"/>
  <c r="V355" i="34"/>
  <c r="V369" i="34"/>
  <c r="V379" i="34"/>
  <c r="V400" i="34"/>
  <c r="V413" i="34"/>
  <c r="V445" i="34"/>
  <c r="V458" i="34"/>
  <c r="V466" i="34"/>
  <c r="V480" i="34"/>
  <c r="V496" i="34"/>
  <c r="V566" i="34"/>
  <c r="W104" i="34"/>
  <c r="W124" i="34"/>
  <c r="W151" i="34"/>
  <c r="W165" i="34"/>
  <c r="W175" i="34"/>
  <c r="W194" i="34"/>
  <c r="W211" i="34"/>
  <c r="W236" i="34"/>
  <c r="W245" i="34"/>
  <c r="W264" i="34"/>
  <c r="W288" i="34"/>
  <c r="W355" i="34"/>
  <c r="W369" i="34"/>
  <c r="W379" i="34"/>
  <c r="W400" i="34"/>
  <c r="W413" i="34"/>
  <c r="W445" i="34"/>
  <c r="W458" i="34"/>
  <c r="W466" i="34"/>
  <c r="W480" i="34"/>
  <c r="W496" i="34"/>
  <c r="W566" i="34"/>
  <c r="X104" i="34"/>
  <c r="X124" i="34"/>
  <c r="X151" i="34"/>
  <c r="X165" i="34"/>
  <c r="X175" i="34"/>
  <c r="X194" i="34"/>
  <c r="X211" i="34"/>
  <c r="X236" i="34"/>
  <c r="X245" i="34"/>
  <c r="X264" i="34"/>
  <c r="X288" i="34"/>
  <c r="X355" i="34"/>
  <c r="X369" i="34"/>
  <c r="X379" i="34"/>
  <c r="X400" i="34"/>
  <c r="X413" i="34"/>
  <c r="X445" i="34"/>
  <c r="X458" i="34"/>
  <c r="X466" i="34"/>
  <c r="X480" i="34"/>
  <c r="X496" i="34"/>
  <c r="X566" i="34"/>
  <c r="Y104" i="34"/>
  <c r="Y124" i="34"/>
  <c r="Y151" i="34"/>
  <c r="Y165" i="34"/>
  <c r="Y175" i="34"/>
  <c r="Y194" i="34"/>
  <c r="Y211" i="34"/>
  <c r="Y236" i="34"/>
  <c r="Y245" i="34"/>
  <c r="Y264" i="34"/>
  <c r="Y288" i="34"/>
  <c r="Y355" i="34"/>
  <c r="Y369" i="34"/>
  <c r="Y379" i="34"/>
  <c r="Y400" i="34"/>
  <c r="Y413" i="34"/>
  <c r="Y445" i="34"/>
  <c r="Y458" i="34"/>
  <c r="Y466" i="34"/>
  <c r="Y480" i="34"/>
  <c r="Y496" i="34"/>
  <c r="Y566" i="34"/>
  <c r="Z104" i="34"/>
  <c r="Z124" i="34"/>
  <c r="Z151" i="34"/>
  <c r="Z165" i="34"/>
  <c r="Z175" i="34"/>
  <c r="Z194" i="34"/>
  <c r="Z211" i="34"/>
  <c r="Z236" i="34"/>
  <c r="Z245" i="34"/>
  <c r="Z264" i="34"/>
  <c r="Z288" i="34"/>
  <c r="Z355" i="34"/>
  <c r="Z369" i="34"/>
  <c r="Z379" i="34"/>
  <c r="Z400" i="34"/>
  <c r="Z413" i="34"/>
  <c r="Z445" i="34"/>
  <c r="Z458" i="34"/>
  <c r="Z466" i="34"/>
  <c r="Z480" i="34"/>
  <c r="Z496" i="34"/>
  <c r="Z566" i="34"/>
  <c r="AA104" i="34"/>
  <c r="AA124" i="34"/>
  <c r="AA151" i="34"/>
  <c r="AA165" i="34"/>
  <c r="AA175" i="34"/>
  <c r="AA194" i="34"/>
  <c r="AA211" i="34"/>
  <c r="AA236" i="34"/>
  <c r="AA245" i="34"/>
  <c r="AA264" i="34"/>
  <c r="AA288" i="34"/>
  <c r="AA355" i="34"/>
  <c r="AA369" i="34"/>
  <c r="AA379" i="34"/>
  <c r="AA400" i="34"/>
  <c r="AA413" i="34"/>
  <c r="AA445" i="34"/>
  <c r="AA458" i="34"/>
  <c r="AA466" i="34"/>
  <c r="AA480" i="34"/>
  <c r="AA496" i="34"/>
  <c r="AA566" i="34"/>
  <c r="AB104" i="34"/>
  <c r="AB124" i="34"/>
  <c r="AB151" i="34"/>
  <c r="AB165" i="34"/>
  <c r="AB175" i="34"/>
  <c r="AB194" i="34"/>
  <c r="AB211" i="34"/>
  <c r="AB236" i="34"/>
  <c r="AB245" i="34"/>
  <c r="AB264" i="34"/>
  <c r="AB288" i="34"/>
  <c r="AB355" i="34"/>
  <c r="AB369" i="34"/>
  <c r="AB379" i="34"/>
  <c r="AB400" i="34"/>
  <c r="AB413" i="34"/>
  <c r="AB445" i="34"/>
  <c r="AB458" i="34"/>
  <c r="AB466" i="34"/>
  <c r="AB480" i="34"/>
  <c r="AB496" i="34"/>
  <c r="AB566" i="34"/>
  <c r="AC104" i="34"/>
  <c r="AC124" i="34"/>
  <c r="AC151" i="34"/>
  <c r="AC165" i="34"/>
  <c r="AC175" i="34"/>
  <c r="AC194" i="34"/>
  <c r="AC211" i="34"/>
  <c r="AC236" i="34"/>
  <c r="AC245" i="34"/>
  <c r="AC264" i="34"/>
  <c r="AC288" i="34"/>
  <c r="AC355" i="34"/>
  <c r="AC369" i="34"/>
  <c r="AC379" i="34"/>
  <c r="AC400" i="34"/>
  <c r="AC413" i="34"/>
  <c r="AC445" i="34"/>
  <c r="AC458" i="34"/>
  <c r="AC466" i="34"/>
  <c r="AC480" i="34"/>
  <c r="AC496" i="34"/>
  <c r="AC566" i="34"/>
  <c r="AD104" i="34"/>
  <c r="AD124" i="34"/>
  <c r="AD151" i="34"/>
  <c r="AD165" i="34"/>
  <c r="AD175" i="34"/>
  <c r="AD194" i="34"/>
  <c r="AD211" i="34"/>
  <c r="AD236" i="34"/>
  <c r="AD245" i="34"/>
  <c r="AD264" i="34"/>
  <c r="AD288" i="34"/>
  <c r="AD355" i="34"/>
  <c r="AD369" i="34"/>
  <c r="AD379" i="34"/>
  <c r="AD400" i="34"/>
  <c r="AD413" i="34"/>
  <c r="AD445" i="34"/>
  <c r="AD458" i="34"/>
  <c r="AD466" i="34"/>
  <c r="AD480" i="34"/>
  <c r="AD496" i="34"/>
  <c r="AD566" i="34"/>
  <c r="AE104" i="34"/>
  <c r="AE124" i="34"/>
  <c r="AE151" i="34"/>
  <c r="AE165" i="34"/>
  <c r="AE175" i="34"/>
  <c r="AE194" i="34"/>
  <c r="AE211" i="34"/>
  <c r="AE236" i="34"/>
  <c r="AE245" i="34"/>
  <c r="AE264" i="34"/>
  <c r="AE288" i="34"/>
  <c r="AE355" i="34"/>
  <c r="AE369" i="34"/>
  <c r="AE379" i="34"/>
  <c r="AE400" i="34"/>
  <c r="AE413" i="34"/>
  <c r="AE445" i="34"/>
  <c r="AE458" i="34"/>
  <c r="AE466" i="34"/>
  <c r="AE480" i="34"/>
  <c r="AE496" i="34"/>
  <c r="AE566" i="34"/>
  <c r="AF104" i="34"/>
  <c r="AF124" i="34"/>
  <c r="AF151" i="34"/>
  <c r="AF165" i="34"/>
  <c r="AF175" i="34"/>
  <c r="AF194" i="34"/>
  <c r="AF211" i="34"/>
  <c r="AF236" i="34"/>
  <c r="AF245" i="34"/>
  <c r="AF264" i="34"/>
  <c r="AF288" i="34"/>
  <c r="AF355" i="34"/>
  <c r="AF369" i="34"/>
  <c r="AF379" i="34"/>
  <c r="AF400" i="34"/>
  <c r="AF413" i="34"/>
  <c r="AF445" i="34"/>
  <c r="AF458" i="34"/>
  <c r="AF466" i="34"/>
  <c r="AF480" i="34"/>
  <c r="AF496" i="34"/>
  <c r="AF566" i="34"/>
  <c r="AG104" i="34"/>
  <c r="AG124" i="34"/>
  <c r="AG151" i="34"/>
  <c r="AG165" i="34"/>
  <c r="AG175" i="34"/>
  <c r="AG194" i="34"/>
  <c r="AG211" i="34"/>
  <c r="AG236" i="34"/>
  <c r="AG245" i="34"/>
  <c r="AG264" i="34"/>
  <c r="AG288" i="34"/>
  <c r="AG355" i="34"/>
  <c r="AG369" i="34"/>
  <c r="AG379" i="34"/>
  <c r="AG400" i="34"/>
  <c r="AG413" i="34"/>
  <c r="AG445" i="34"/>
  <c r="AG458" i="34"/>
  <c r="AG466" i="34"/>
  <c r="AG480" i="34"/>
  <c r="AG496" i="34"/>
  <c r="AG566" i="34"/>
  <c r="D96" i="34"/>
  <c r="D125" i="34"/>
  <c r="D142" i="34"/>
  <c r="D153" i="34"/>
  <c r="D168" i="34"/>
  <c r="D180" i="34"/>
  <c r="D189" i="34"/>
  <c r="D231" i="34"/>
  <c r="D241" i="34"/>
  <c r="D254" i="34"/>
  <c r="D318" i="34"/>
  <c r="D331" i="34"/>
  <c r="D399" i="34"/>
  <c r="D417" i="34"/>
  <c r="D442" i="34"/>
  <c r="D486" i="34"/>
  <c r="D493" i="34"/>
  <c r="D529" i="34"/>
  <c r="D532" i="34"/>
  <c r="D536" i="34"/>
  <c r="O96" i="34"/>
  <c r="O125" i="34"/>
  <c r="O142" i="34"/>
  <c r="O153" i="34"/>
  <c r="O168" i="34"/>
  <c r="O180" i="34"/>
  <c r="O189" i="34"/>
  <c r="O231" i="34"/>
  <c r="O241" i="34"/>
  <c r="O254" i="34"/>
  <c r="O318" i="34"/>
  <c r="O331" i="34"/>
  <c r="O399" i="34"/>
  <c r="O417" i="34"/>
  <c r="O442" i="34"/>
  <c r="O486" i="34"/>
  <c r="O493" i="34"/>
  <c r="O529" i="34"/>
  <c r="O532" i="34"/>
  <c r="O536" i="34"/>
  <c r="P96" i="34"/>
  <c r="P125" i="34"/>
  <c r="P142" i="34"/>
  <c r="P153" i="34"/>
  <c r="P168" i="34"/>
  <c r="P180" i="34"/>
  <c r="P189" i="34"/>
  <c r="P231" i="34"/>
  <c r="P241" i="34"/>
  <c r="P254" i="34"/>
  <c r="P318" i="34"/>
  <c r="P331" i="34"/>
  <c r="P399" i="34"/>
  <c r="P417" i="34"/>
  <c r="P442" i="34"/>
  <c r="P486" i="34"/>
  <c r="P493" i="34"/>
  <c r="P529" i="34"/>
  <c r="P532" i="34"/>
  <c r="P536" i="34"/>
  <c r="Q96" i="34"/>
  <c r="Q125" i="34"/>
  <c r="Q142" i="34"/>
  <c r="Q153" i="34"/>
  <c r="Q168" i="34"/>
  <c r="Q180" i="34"/>
  <c r="Q189" i="34"/>
  <c r="Q231" i="34"/>
  <c r="Q241" i="34"/>
  <c r="Q254" i="34"/>
  <c r="Q318" i="34"/>
  <c r="Q331" i="34"/>
  <c r="Q399" i="34"/>
  <c r="Q417" i="34"/>
  <c r="Q442" i="34"/>
  <c r="Q486" i="34"/>
  <c r="Q493" i="34"/>
  <c r="Q529" i="34"/>
  <c r="Q532" i="34"/>
  <c r="Q536" i="34"/>
  <c r="U96" i="34"/>
  <c r="U125" i="34"/>
  <c r="U142" i="34"/>
  <c r="U153" i="34"/>
  <c r="U168" i="34"/>
  <c r="U180" i="34"/>
  <c r="U189" i="34"/>
  <c r="U231" i="34"/>
  <c r="U241" i="34"/>
  <c r="U254" i="34"/>
  <c r="U318" i="34"/>
  <c r="U331" i="34"/>
  <c r="U399" i="34"/>
  <c r="U417" i="34"/>
  <c r="U442" i="34"/>
  <c r="U486" i="34"/>
  <c r="U493" i="34"/>
  <c r="U529" i="34"/>
  <c r="U532" i="34"/>
  <c r="U536" i="34"/>
  <c r="V96" i="34"/>
  <c r="V125" i="34"/>
  <c r="V142" i="34"/>
  <c r="V153" i="34"/>
  <c r="V168" i="34"/>
  <c r="V180" i="34"/>
  <c r="V189" i="34"/>
  <c r="V231" i="34"/>
  <c r="V241" i="34"/>
  <c r="V254" i="34"/>
  <c r="V318" i="34"/>
  <c r="V331" i="34"/>
  <c r="V399" i="34"/>
  <c r="V417" i="34"/>
  <c r="V442" i="34"/>
  <c r="V486" i="34"/>
  <c r="V493" i="34"/>
  <c r="V529" i="34"/>
  <c r="V532" i="34"/>
  <c r="V536" i="34"/>
  <c r="W96" i="34"/>
  <c r="W125" i="34"/>
  <c r="W142" i="34"/>
  <c r="W153" i="34"/>
  <c r="W168" i="34"/>
  <c r="W180" i="34"/>
  <c r="W189" i="34"/>
  <c r="W231" i="34"/>
  <c r="W241" i="34"/>
  <c r="W254" i="34"/>
  <c r="W318" i="34"/>
  <c r="W331" i="34"/>
  <c r="W399" i="34"/>
  <c r="W417" i="34"/>
  <c r="W442" i="34"/>
  <c r="W486" i="34"/>
  <c r="W493" i="34"/>
  <c r="W529" i="34"/>
  <c r="W532" i="34"/>
  <c r="W536" i="34"/>
  <c r="X96" i="34"/>
  <c r="X125" i="34"/>
  <c r="X142" i="34"/>
  <c r="X153" i="34"/>
  <c r="X168" i="34"/>
  <c r="X180" i="34"/>
  <c r="X189" i="34"/>
  <c r="X231" i="34"/>
  <c r="X241" i="34"/>
  <c r="X254" i="34"/>
  <c r="X318" i="34"/>
  <c r="X331" i="34"/>
  <c r="X399" i="34"/>
  <c r="X417" i="34"/>
  <c r="X442" i="34"/>
  <c r="X486" i="34"/>
  <c r="X493" i="34"/>
  <c r="X529" i="34"/>
  <c r="X532" i="34"/>
  <c r="X536" i="34"/>
  <c r="Y96" i="34"/>
  <c r="Y125" i="34"/>
  <c r="Y142" i="34"/>
  <c r="Y153" i="34"/>
  <c r="Y168" i="34"/>
  <c r="Y180" i="34"/>
  <c r="Y189" i="34"/>
  <c r="Y231" i="34"/>
  <c r="Y241" i="34"/>
  <c r="Y254" i="34"/>
  <c r="Y318" i="34"/>
  <c r="Y331" i="34"/>
  <c r="Y399" i="34"/>
  <c r="Y417" i="34"/>
  <c r="Y442" i="34"/>
  <c r="Y486" i="34"/>
  <c r="Y493" i="34"/>
  <c r="Y529" i="34"/>
  <c r="Y532" i="34"/>
  <c r="Y536" i="34"/>
  <c r="Z96" i="34"/>
  <c r="Z125" i="34"/>
  <c r="Z142" i="34"/>
  <c r="Z153" i="34"/>
  <c r="Z168" i="34"/>
  <c r="Z180" i="34"/>
  <c r="Z189" i="34"/>
  <c r="Z231" i="34"/>
  <c r="Z241" i="34"/>
  <c r="Z254" i="34"/>
  <c r="Z318" i="34"/>
  <c r="Z331" i="34"/>
  <c r="Z399" i="34"/>
  <c r="Z417" i="34"/>
  <c r="Z442" i="34"/>
  <c r="Z486" i="34"/>
  <c r="Z493" i="34"/>
  <c r="Z529" i="34"/>
  <c r="Z532" i="34"/>
  <c r="Z536" i="34"/>
  <c r="AA96" i="34"/>
  <c r="AA125" i="34"/>
  <c r="AA142" i="34"/>
  <c r="AA153" i="34"/>
  <c r="AA168" i="34"/>
  <c r="AA180" i="34"/>
  <c r="AA189" i="34"/>
  <c r="AA231" i="34"/>
  <c r="AA241" i="34"/>
  <c r="AA254" i="34"/>
  <c r="AA318" i="34"/>
  <c r="AA331" i="34"/>
  <c r="AA399" i="34"/>
  <c r="AA417" i="34"/>
  <c r="AA442" i="34"/>
  <c r="AA486" i="34"/>
  <c r="AA493" i="34"/>
  <c r="AA529" i="34"/>
  <c r="AA532" i="34"/>
  <c r="AA536" i="34"/>
  <c r="AB96" i="34"/>
  <c r="AB125" i="34"/>
  <c r="AB142" i="34"/>
  <c r="AB153" i="34"/>
  <c r="AB168" i="34"/>
  <c r="AB180" i="34"/>
  <c r="AB189" i="34"/>
  <c r="AB231" i="34"/>
  <c r="AB241" i="34"/>
  <c r="AB254" i="34"/>
  <c r="AB318" i="34"/>
  <c r="AB331" i="34"/>
  <c r="AB399" i="34"/>
  <c r="AB417" i="34"/>
  <c r="AB442" i="34"/>
  <c r="AB486" i="34"/>
  <c r="AB493" i="34"/>
  <c r="AB529" i="34"/>
  <c r="AB532" i="34"/>
  <c r="AB536" i="34"/>
  <c r="AC96" i="34"/>
  <c r="AC125" i="34"/>
  <c r="AC142" i="34"/>
  <c r="AC153" i="34"/>
  <c r="AC168" i="34"/>
  <c r="AC180" i="34"/>
  <c r="AC189" i="34"/>
  <c r="AC231" i="34"/>
  <c r="AC241" i="34"/>
  <c r="AC254" i="34"/>
  <c r="AC318" i="34"/>
  <c r="AC331" i="34"/>
  <c r="AC399" i="34"/>
  <c r="AC417" i="34"/>
  <c r="AC442" i="34"/>
  <c r="AC486" i="34"/>
  <c r="AC493" i="34"/>
  <c r="AC529" i="34"/>
  <c r="AC532" i="34"/>
  <c r="AC536" i="34"/>
  <c r="AD96" i="34"/>
  <c r="AD125" i="34"/>
  <c r="AD142" i="34"/>
  <c r="AD153" i="34"/>
  <c r="AD168" i="34"/>
  <c r="AD180" i="34"/>
  <c r="AD189" i="34"/>
  <c r="AD231" i="34"/>
  <c r="AD241" i="34"/>
  <c r="AD254" i="34"/>
  <c r="AD318" i="34"/>
  <c r="AD331" i="34"/>
  <c r="AD399" i="34"/>
  <c r="AD417" i="34"/>
  <c r="AD442" i="34"/>
  <c r="AD486" i="34"/>
  <c r="AD493" i="34"/>
  <c r="AD529" i="34"/>
  <c r="AD532" i="34"/>
  <c r="AD536" i="34"/>
  <c r="AE96" i="34"/>
  <c r="AE125" i="34"/>
  <c r="AE142" i="34"/>
  <c r="AE153" i="34"/>
  <c r="AE168" i="34"/>
  <c r="AE180" i="34"/>
  <c r="AE189" i="34"/>
  <c r="AE231" i="34"/>
  <c r="AE241" i="34"/>
  <c r="AE254" i="34"/>
  <c r="AE318" i="34"/>
  <c r="AE331" i="34"/>
  <c r="AE399" i="34"/>
  <c r="AE417" i="34"/>
  <c r="AE442" i="34"/>
  <c r="AE486" i="34"/>
  <c r="AE493" i="34"/>
  <c r="AE529" i="34"/>
  <c r="AE532" i="34"/>
  <c r="AE536" i="34"/>
  <c r="AF96" i="34"/>
  <c r="AF125" i="34"/>
  <c r="AF142" i="34"/>
  <c r="AF153" i="34"/>
  <c r="AF168" i="34"/>
  <c r="AF180" i="34"/>
  <c r="AF189" i="34"/>
  <c r="AF231" i="34"/>
  <c r="AF241" i="34"/>
  <c r="AF254" i="34"/>
  <c r="AF318" i="34"/>
  <c r="AF331" i="34"/>
  <c r="AF399" i="34"/>
  <c r="AF417" i="34"/>
  <c r="AF442" i="34"/>
  <c r="AF486" i="34"/>
  <c r="AF493" i="34"/>
  <c r="AF529" i="34"/>
  <c r="AF532" i="34"/>
  <c r="AF536" i="34"/>
  <c r="AG96" i="34"/>
  <c r="AG125" i="34"/>
  <c r="AG142" i="34"/>
  <c r="AG153" i="34"/>
  <c r="AG168" i="34"/>
  <c r="AG180" i="34"/>
  <c r="AG189" i="34"/>
  <c r="AG231" i="34"/>
  <c r="AG241" i="34"/>
  <c r="AG254" i="34"/>
  <c r="AG318" i="34"/>
  <c r="AG331" i="34"/>
  <c r="AG399" i="34"/>
  <c r="AG417" i="34"/>
  <c r="AG442" i="34"/>
  <c r="AG486" i="34"/>
  <c r="AG493" i="34"/>
  <c r="AG529" i="34"/>
  <c r="AG532" i="34"/>
  <c r="AG536" i="34"/>
  <c r="D17" i="34"/>
  <c r="D18" i="34"/>
  <c r="D23" i="34"/>
  <c r="D31" i="34"/>
  <c r="D32" i="34"/>
  <c r="D34" i="34"/>
  <c r="D37" i="34"/>
  <c r="D42" i="34"/>
  <c r="D44" i="34"/>
  <c r="D54" i="34"/>
  <c r="D55" i="34"/>
  <c r="D56" i="34"/>
  <c r="D61" i="34"/>
  <c r="D62" i="34"/>
  <c r="D66" i="34"/>
  <c r="D69" i="34"/>
  <c r="D72" i="34"/>
  <c r="D75" i="34"/>
  <c r="D76" i="34"/>
  <c r="D78" i="34"/>
  <c r="D79" i="34"/>
  <c r="D106" i="34"/>
  <c r="D117" i="34"/>
  <c r="D128" i="34"/>
  <c r="D132" i="34"/>
  <c r="D134" i="34"/>
  <c r="D144" i="34"/>
  <c r="D171" i="34"/>
  <c r="D190" i="34"/>
  <c r="D215" i="34"/>
  <c r="D235" i="34"/>
  <c r="D259" i="34"/>
  <c r="D272" i="34"/>
  <c r="D289" i="34"/>
  <c r="D304" i="34"/>
  <c r="D317" i="34"/>
  <c r="D327" i="34"/>
  <c r="D373" i="34"/>
  <c r="D384" i="34"/>
  <c r="D448" i="34"/>
  <c r="D452" i="34"/>
  <c r="D461" i="34"/>
  <c r="D468" i="34"/>
  <c r="D475" i="34"/>
  <c r="D519" i="34"/>
  <c r="D543" i="34"/>
  <c r="I17" i="34"/>
  <c r="I18" i="34"/>
  <c r="M17" i="34"/>
  <c r="M18" i="34"/>
  <c r="N17" i="34"/>
  <c r="N18" i="34"/>
  <c r="O17" i="34"/>
  <c r="O18" i="34"/>
  <c r="O23" i="34"/>
  <c r="O31" i="34"/>
  <c r="O32" i="34"/>
  <c r="O34" i="34"/>
  <c r="O37" i="34"/>
  <c r="O42" i="34"/>
  <c r="O44" i="34"/>
  <c r="O54" i="34"/>
  <c r="O55" i="34"/>
  <c r="O56" i="34"/>
  <c r="O61" i="34"/>
  <c r="O62" i="34"/>
  <c r="O66" i="34"/>
  <c r="O69" i="34"/>
  <c r="O72" i="34"/>
  <c r="O75" i="34"/>
  <c r="O76" i="34"/>
  <c r="O78" i="34"/>
  <c r="O79" i="34"/>
  <c r="O106" i="34"/>
  <c r="O117" i="34"/>
  <c r="O128" i="34"/>
  <c r="O132" i="34"/>
  <c r="O134" i="34"/>
  <c r="O144" i="34"/>
  <c r="O171" i="34"/>
  <c r="O190" i="34"/>
  <c r="O215" i="34"/>
  <c r="O235" i="34"/>
  <c r="O259" i="34"/>
  <c r="O272" i="34"/>
  <c r="O289" i="34"/>
  <c r="O304" i="34"/>
  <c r="O317" i="34"/>
  <c r="O327" i="34"/>
  <c r="O373" i="34"/>
  <c r="O384" i="34"/>
  <c r="O448" i="34"/>
  <c r="O452" i="34"/>
  <c r="O461" i="34"/>
  <c r="O468" i="34"/>
  <c r="O475" i="34"/>
  <c r="O519" i="34"/>
  <c r="O543" i="34"/>
  <c r="P17" i="34"/>
  <c r="P18" i="34"/>
  <c r="P23" i="34"/>
  <c r="P31" i="34"/>
  <c r="P32" i="34"/>
  <c r="P34" i="34"/>
  <c r="P37" i="34"/>
  <c r="P42" i="34"/>
  <c r="P44" i="34"/>
  <c r="P54" i="34"/>
  <c r="P55" i="34"/>
  <c r="P56" i="34"/>
  <c r="P61" i="34"/>
  <c r="P62" i="34"/>
  <c r="P66" i="34"/>
  <c r="P69" i="34"/>
  <c r="P72" i="34"/>
  <c r="P75" i="34"/>
  <c r="P76" i="34"/>
  <c r="P78" i="34"/>
  <c r="P79" i="34"/>
  <c r="P106" i="34"/>
  <c r="P117" i="34"/>
  <c r="P128" i="34"/>
  <c r="P132" i="34"/>
  <c r="P134" i="34"/>
  <c r="P144" i="34"/>
  <c r="P171" i="34"/>
  <c r="P190" i="34"/>
  <c r="P215" i="34"/>
  <c r="P235" i="34"/>
  <c r="P259" i="34"/>
  <c r="P272" i="34"/>
  <c r="P289" i="34"/>
  <c r="P304" i="34"/>
  <c r="P317" i="34"/>
  <c r="P327" i="34"/>
  <c r="P373" i="34"/>
  <c r="P384" i="34"/>
  <c r="P448" i="34"/>
  <c r="P452" i="34"/>
  <c r="P461" i="34"/>
  <c r="P468" i="34"/>
  <c r="P475" i="34"/>
  <c r="P519" i="34"/>
  <c r="P543" i="34"/>
  <c r="Q17" i="34"/>
  <c r="Q18" i="34"/>
  <c r="Q23" i="34"/>
  <c r="Q31" i="34"/>
  <c r="Q32" i="34"/>
  <c r="Q34" i="34"/>
  <c r="Q37" i="34"/>
  <c r="Q42" i="34"/>
  <c r="Q44" i="34"/>
  <c r="Q54" i="34"/>
  <c r="Q55" i="34"/>
  <c r="Q56" i="34"/>
  <c r="Q61" i="34"/>
  <c r="Q62" i="34"/>
  <c r="Q66" i="34"/>
  <c r="Q69" i="34"/>
  <c r="Q72" i="34"/>
  <c r="Q75" i="34"/>
  <c r="Q76" i="34"/>
  <c r="Q78" i="34"/>
  <c r="Q79" i="34"/>
  <c r="Q106" i="34"/>
  <c r="Q117" i="34"/>
  <c r="Q128" i="34"/>
  <c r="Q132" i="34"/>
  <c r="Q134" i="34"/>
  <c r="Q144" i="34"/>
  <c r="Q171" i="34"/>
  <c r="Q190" i="34"/>
  <c r="Q215" i="34"/>
  <c r="Q235" i="34"/>
  <c r="Q259" i="34"/>
  <c r="Q272" i="34"/>
  <c r="Q289" i="34"/>
  <c r="Q304" i="34"/>
  <c r="Q317" i="34"/>
  <c r="Q327" i="34"/>
  <c r="Q373" i="34"/>
  <c r="Q384" i="34"/>
  <c r="Q448" i="34"/>
  <c r="Q452" i="34"/>
  <c r="Q461" i="34"/>
  <c r="Q468" i="34"/>
  <c r="Q475" i="34"/>
  <c r="Q519" i="34"/>
  <c r="Q543" i="34"/>
  <c r="S18" i="34"/>
  <c r="R18" i="34"/>
  <c r="R17" i="34"/>
  <c r="S17" i="34"/>
  <c r="T18" i="34"/>
  <c r="T17" i="34"/>
  <c r="U17" i="34"/>
  <c r="U18" i="34"/>
  <c r="U23" i="34"/>
  <c r="U31" i="34"/>
  <c r="U32" i="34"/>
  <c r="U34" i="34"/>
  <c r="U37" i="34"/>
  <c r="U42" i="34"/>
  <c r="U44" i="34"/>
  <c r="U54" i="34"/>
  <c r="U55" i="34"/>
  <c r="U56" i="34"/>
  <c r="U61" i="34"/>
  <c r="U62" i="34"/>
  <c r="U66" i="34"/>
  <c r="U69" i="34"/>
  <c r="U72" i="34"/>
  <c r="U75" i="34"/>
  <c r="U76" i="34"/>
  <c r="U78" i="34"/>
  <c r="U79" i="34"/>
  <c r="U106" i="34"/>
  <c r="U117" i="34"/>
  <c r="U128" i="34"/>
  <c r="U132" i="34"/>
  <c r="U134" i="34"/>
  <c r="U144" i="34"/>
  <c r="U171" i="34"/>
  <c r="U190" i="34"/>
  <c r="U215" i="34"/>
  <c r="U235" i="34"/>
  <c r="U259" i="34"/>
  <c r="U272" i="34"/>
  <c r="U289" i="34"/>
  <c r="U304" i="34"/>
  <c r="U317" i="34"/>
  <c r="U327" i="34"/>
  <c r="U373" i="34"/>
  <c r="U384" i="34"/>
  <c r="U448" i="34"/>
  <c r="U452" i="34"/>
  <c r="U461" i="34"/>
  <c r="U468" i="34"/>
  <c r="U475" i="34"/>
  <c r="U519" i="34"/>
  <c r="U543" i="34"/>
  <c r="V17" i="34"/>
  <c r="V18" i="34"/>
  <c r="V23" i="34"/>
  <c r="V31" i="34"/>
  <c r="V32" i="34"/>
  <c r="V34" i="34"/>
  <c r="V37" i="34"/>
  <c r="V42" i="34"/>
  <c r="V44" i="34"/>
  <c r="V54" i="34"/>
  <c r="V55" i="34"/>
  <c r="V56" i="34"/>
  <c r="V61" i="34"/>
  <c r="V62" i="34"/>
  <c r="V66" i="34"/>
  <c r="V69" i="34"/>
  <c r="V72" i="34"/>
  <c r="V75" i="34"/>
  <c r="V76" i="34"/>
  <c r="V78" i="34"/>
  <c r="V79" i="34"/>
  <c r="V106" i="34"/>
  <c r="V117" i="34"/>
  <c r="V128" i="34"/>
  <c r="V132" i="34"/>
  <c r="V134" i="34"/>
  <c r="V144" i="34"/>
  <c r="V171" i="34"/>
  <c r="V190" i="34"/>
  <c r="V215" i="34"/>
  <c r="V235" i="34"/>
  <c r="V259" i="34"/>
  <c r="V272" i="34"/>
  <c r="V289" i="34"/>
  <c r="V304" i="34"/>
  <c r="V317" i="34"/>
  <c r="V327" i="34"/>
  <c r="V373" i="34"/>
  <c r="V384" i="34"/>
  <c r="V448" i="34"/>
  <c r="V452" i="34"/>
  <c r="V461" i="34"/>
  <c r="V468" i="34"/>
  <c r="V475" i="34"/>
  <c r="V519" i="34"/>
  <c r="V543" i="34"/>
  <c r="W17" i="34"/>
  <c r="W18" i="34"/>
  <c r="W23" i="34"/>
  <c r="W31" i="34"/>
  <c r="W32" i="34"/>
  <c r="W34" i="34"/>
  <c r="W37" i="34"/>
  <c r="W42" i="34"/>
  <c r="W44" i="34"/>
  <c r="W54" i="34"/>
  <c r="W55" i="34"/>
  <c r="W56" i="34"/>
  <c r="W61" i="34"/>
  <c r="W62" i="34"/>
  <c r="W66" i="34"/>
  <c r="W69" i="34"/>
  <c r="W72" i="34"/>
  <c r="W75" i="34"/>
  <c r="W76" i="34"/>
  <c r="W78" i="34"/>
  <c r="W79" i="34"/>
  <c r="W106" i="34"/>
  <c r="W117" i="34"/>
  <c r="W128" i="34"/>
  <c r="W132" i="34"/>
  <c r="W134" i="34"/>
  <c r="W144" i="34"/>
  <c r="W171" i="34"/>
  <c r="W190" i="34"/>
  <c r="W215" i="34"/>
  <c r="W235" i="34"/>
  <c r="W259" i="34"/>
  <c r="W272" i="34"/>
  <c r="W289" i="34"/>
  <c r="W304" i="34"/>
  <c r="W317" i="34"/>
  <c r="W327" i="34"/>
  <c r="W373" i="34"/>
  <c r="W384" i="34"/>
  <c r="W448" i="34"/>
  <c r="W452" i="34"/>
  <c r="W461" i="34"/>
  <c r="W468" i="34"/>
  <c r="W475" i="34"/>
  <c r="W519" i="34"/>
  <c r="W543" i="34"/>
  <c r="X17" i="34"/>
  <c r="X18" i="34"/>
  <c r="X23" i="34"/>
  <c r="X31" i="34"/>
  <c r="X32" i="34"/>
  <c r="X34" i="34"/>
  <c r="X37" i="34"/>
  <c r="X42" i="34"/>
  <c r="X44" i="34"/>
  <c r="X54" i="34"/>
  <c r="X55" i="34"/>
  <c r="X56" i="34"/>
  <c r="X61" i="34"/>
  <c r="X62" i="34"/>
  <c r="X66" i="34"/>
  <c r="X69" i="34"/>
  <c r="X72" i="34"/>
  <c r="X75" i="34"/>
  <c r="X76" i="34"/>
  <c r="X78" i="34"/>
  <c r="X79" i="34"/>
  <c r="X106" i="34"/>
  <c r="X117" i="34"/>
  <c r="X128" i="34"/>
  <c r="X132" i="34"/>
  <c r="X134" i="34"/>
  <c r="X144" i="34"/>
  <c r="X171" i="34"/>
  <c r="X190" i="34"/>
  <c r="X215" i="34"/>
  <c r="X235" i="34"/>
  <c r="X259" i="34"/>
  <c r="X272" i="34"/>
  <c r="X289" i="34"/>
  <c r="X304" i="34"/>
  <c r="X317" i="34"/>
  <c r="X327" i="34"/>
  <c r="X373" i="34"/>
  <c r="X384" i="34"/>
  <c r="X448" i="34"/>
  <c r="X452" i="34"/>
  <c r="X461" i="34"/>
  <c r="X468" i="34"/>
  <c r="X475" i="34"/>
  <c r="X519" i="34"/>
  <c r="X543" i="34"/>
  <c r="Y17" i="34"/>
  <c r="Y18" i="34"/>
  <c r="Y23" i="34"/>
  <c r="Y31" i="34"/>
  <c r="Y32" i="34"/>
  <c r="Y34" i="34"/>
  <c r="Y37" i="34"/>
  <c r="Y42" i="34"/>
  <c r="Y44" i="34"/>
  <c r="Y54" i="34"/>
  <c r="Y55" i="34"/>
  <c r="Y56" i="34"/>
  <c r="Y61" i="34"/>
  <c r="Y62" i="34"/>
  <c r="Y66" i="34"/>
  <c r="Y69" i="34"/>
  <c r="Y72" i="34"/>
  <c r="Y75" i="34"/>
  <c r="Y76" i="34"/>
  <c r="Y78" i="34"/>
  <c r="Y79" i="34"/>
  <c r="Y106" i="34"/>
  <c r="Y117" i="34"/>
  <c r="Y128" i="34"/>
  <c r="Y132" i="34"/>
  <c r="Y134" i="34"/>
  <c r="Y144" i="34"/>
  <c r="Y171" i="34"/>
  <c r="Y190" i="34"/>
  <c r="Y215" i="34"/>
  <c r="Y235" i="34"/>
  <c r="Y259" i="34"/>
  <c r="Y272" i="34"/>
  <c r="Y289" i="34"/>
  <c r="Y304" i="34"/>
  <c r="Y317" i="34"/>
  <c r="Y327" i="34"/>
  <c r="Y373" i="34"/>
  <c r="Y384" i="34"/>
  <c r="Y448" i="34"/>
  <c r="Y452" i="34"/>
  <c r="Y461" i="34"/>
  <c r="Y468" i="34"/>
  <c r="Y475" i="34"/>
  <c r="Y519" i="34"/>
  <c r="Y543" i="34"/>
  <c r="Z17" i="34"/>
  <c r="Z18" i="34"/>
  <c r="Z23" i="34"/>
  <c r="Z31" i="34"/>
  <c r="Z32" i="34"/>
  <c r="Z34" i="34"/>
  <c r="Z37" i="34"/>
  <c r="Z42" i="34"/>
  <c r="Z44" i="34"/>
  <c r="Z54" i="34"/>
  <c r="Z55" i="34"/>
  <c r="Z56" i="34"/>
  <c r="Z61" i="34"/>
  <c r="Z62" i="34"/>
  <c r="Z66" i="34"/>
  <c r="Z69" i="34"/>
  <c r="Z72" i="34"/>
  <c r="Z75" i="34"/>
  <c r="Z76" i="34"/>
  <c r="Z78" i="34"/>
  <c r="Z79" i="34"/>
  <c r="Z106" i="34"/>
  <c r="Z117" i="34"/>
  <c r="Z128" i="34"/>
  <c r="Z132" i="34"/>
  <c r="Z134" i="34"/>
  <c r="Z144" i="34"/>
  <c r="Z171" i="34"/>
  <c r="Z190" i="34"/>
  <c r="Z215" i="34"/>
  <c r="Z235" i="34"/>
  <c r="Z259" i="34"/>
  <c r="Z272" i="34"/>
  <c r="Z289" i="34"/>
  <c r="Z304" i="34"/>
  <c r="Z317" i="34"/>
  <c r="Z327" i="34"/>
  <c r="Z373" i="34"/>
  <c r="Z384" i="34"/>
  <c r="Z448" i="34"/>
  <c r="Z452" i="34"/>
  <c r="Z461" i="34"/>
  <c r="Z468" i="34"/>
  <c r="Z475" i="34"/>
  <c r="Z519" i="34"/>
  <c r="Z543" i="34"/>
  <c r="AA17" i="34"/>
  <c r="AA18" i="34"/>
  <c r="AA23" i="34"/>
  <c r="AA31" i="34"/>
  <c r="AA32" i="34"/>
  <c r="AA34" i="34"/>
  <c r="AA37" i="34"/>
  <c r="AA42" i="34"/>
  <c r="AA44" i="34"/>
  <c r="AA54" i="34"/>
  <c r="AA55" i="34"/>
  <c r="AA56" i="34"/>
  <c r="AA61" i="34"/>
  <c r="AA62" i="34"/>
  <c r="AA66" i="34"/>
  <c r="AA69" i="34"/>
  <c r="AA72" i="34"/>
  <c r="AA75" i="34"/>
  <c r="AA76" i="34"/>
  <c r="AA78" i="34"/>
  <c r="AA79" i="34"/>
  <c r="AA106" i="34"/>
  <c r="AA117" i="34"/>
  <c r="AA128" i="34"/>
  <c r="AA132" i="34"/>
  <c r="AA134" i="34"/>
  <c r="AA144" i="34"/>
  <c r="AA171" i="34"/>
  <c r="AA190" i="34"/>
  <c r="AA215" i="34"/>
  <c r="AA235" i="34"/>
  <c r="AA259" i="34"/>
  <c r="AA272" i="34"/>
  <c r="AA289" i="34"/>
  <c r="AA304" i="34"/>
  <c r="AA317" i="34"/>
  <c r="AA327" i="34"/>
  <c r="AA373" i="34"/>
  <c r="AA384" i="34"/>
  <c r="AA448" i="34"/>
  <c r="AA452" i="34"/>
  <c r="AA461" i="34"/>
  <c r="AA468" i="34"/>
  <c r="AA475" i="34"/>
  <c r="AA519" i="34"/>
  <c r="AA543" i="34"/>
  <c r="AB17" i="34"/>
  <c r="AB18" i="34"/>
  <c r="AB23" i="34"/>
  <c r="AB31" i="34"/>
  <c r="AB32" i="34"/>
  <c r="AB34" i="34"/>
  <c r="AB37" i="34"/>
  <c r="AB42" i="34"/>
  <c r="AB44" i="34"/>
  <c r="AB54" i="34"/>
  <c r="AB55" i="34"/>
  <c r="AB56" i="34"/>
  <c r="AB61" i="34"/>
  <c r="AB62" i="34"/>
  <c r="AB66" i="34"/>
  <c r="AB69" i="34"/>
  <c r="AB72" i="34"/>
  <c r="AB75" i="34"/>
  <c r="AB76" i="34"/>
  <c r="AB78" i="34"/>
  <c r="AB79" i="34"/>
  <c r="AB106" i="34"/>
  <c r="AB117" i="34"/>
  <c r="AB128" i="34"/>
  <c r="AB132" i="34"/>
  <c r="AB134" i="34"/>
  <c r="AB144" i="34"/>
  <c r="AB171" i="34"/>
  <c r="AB190" i="34"/>
  <c r="AB215" i="34"/>
  <c r="AB235" i="34"/>
  <c r="AB259" i="34"/>
  <c r="AB272" i="34"/>
  <c r="AB289" i="34"/>
  <c r="AB304" i="34"/>
  <c r="AB317" i="34"/>
  <c r="AB327" i="34"/>
  <c r="AB373" i="34"/>
  <c r="AB384" i="34"/>
  <c r="AB448" i="34"/>
  <c r="AB452" i="34"/>
  <c r="AB461" i="34"/>
  <c r="AB468" i="34"/>
  <c r="AB475" i="34"/>
  <c r="AB519" i="34"/>
  <c r="AB543" i="34"/>
  <c r="AC17" i="34"/>
  <c r="AC18" i="34"/>
  <c r="AC23" i="34"/>
  <c r="AC31" i="34"/>
  <c r="AC32" i="34"/>
  <c r="AC34" i="34"/>
  <c r="AC37" i="34"/>
  <c r="AC42" i="34"/>
  <c r="AC44" i="34"/>
  <c r="AC54" i="34"/>
  <c r="AC55" i="34"/>
  <c r="AC56" i="34"/>
  <c r="AC61" i="34"/>
  <c r="AC62" i="34"/>
  <c r="AC66" i="34"/>
  <c r="AC69" i="34"/>
  <c r="AC72" i="34"/>
  <c r="AC75" i="34"/>
  <c r="AC76" i="34"/>
  <c r="AC78" i="34"/>
  <c r="AC79" i="34"/>
  <c r="AC106" i="34"/>
  <c r="AC117" i="34"/>
  <c r="AC128" i="34"/>
  <c r="AC132" i="34"/>
  <c r="AC134" i="34"/>
  <c r="AC144" i="34"/>
  <c r="AC171" i="34"/>
  <c r="AC190" i="34"/>
  <c r="AC215" i="34"/>
  <c r="AC235" i="34"/>
  <c r="AC259" i="34"/>
  <c r="AC272" i="34"/>
  <c r="AC289" i="34"/>
  <c r="AC304" i="34"/>
  <c r="AC317" i="34"/>
  <c r="AC327" i="34"/>
  <c r="AC373" i="34"/>
  <c r="AC384" i="34"/>
  <c r="AC448" i="34"/>
  <c r="AC452" i="34"/>
  <c r="AC461" i="34"/>
  <c r="AC468" i="34"/>
  <c r="AC475" i="34"/>
  <c r="AC519" i="34"/>
  <c r="AC543" i="34"/>
  <c r="AD17" i="34"/>
  <c r="AD18" i="34"/>
  <c r="AD23" i="34"/>
  <c r="AD31" i="34"/>
  <c r="AD32" i="34"/>
  <c r="AD34" i="34"/>
  <c r="AD37" i="34"/>
  <c r="AD42" i="34"/>
  <c r="AD44" i="34"/>
  <c r="AD54" i="34"/>
  <c r="AD55" i="34"/>
  <c r="AD56" i="34"/>
  <c r="AD61" i="34"/>
  <c r="AD62" i="34"/>
  <c r="AD66" i="34"/>
  <c r="AD69" i="34"/>
  <c r="AD72" i="34"/>
  <c r="AD75" i="34"/>
  <c r="AD76" i="34"/>
  <c r="AD78" i="34"/>
  <c r="AD79" i="34"/>
  <c r="AD106" i="34"/>
  <c r="AD117" i="34"/>
  <c r="AD128" i="34"/>
  <c r="AD132" i="34"/>
  <c r="AD134" i="34"/>
  <c r="AD144" i="34"/>
  <c r="AD171" i="34"/>
  <c r="AD190" i="34"/>
  <c r="AD215" i="34"/>
  <c r="AD235" i="34"/>
  <c r="AD259" i="34"/>
  <c r="AD272" i="34"/>
  <c r="AD289" i="34"/>
  <c r="AD304" i="34"/>
  <c r="AD317" i="34"/>
  <c r="AD327" i="34"/>
  <c r="AD373" i="34"/>
  <c r="AD384" i="34"/>
  <c r="AD448" i="34"/>
  <c r="AD452" i="34"/>
  <c r="AD461" i="34"/>
  <c r="AD468" i="34"/>
  <c r="AD475" i="34"/>
  <c r="AD519" i="34"/>
  <c r="AD543" i="34"/>
  <c r="AE17" i="34"/>
  <c r="AE18" i="34"/>
  <c r="AE23" i="34"/>
  <c r="AE31" i="34"/>
  <c r="AE32" i="34"/>
  <c r="AE34" i="34"/>
  <c r="AE37" i="34"/>
  <c r="AE42" i="34"/>
  <c r="AE44" i="34"/>
  <c r="AE54" i="34"/>
  <c r="AE55" i="34"/>
  <c r="AE56" i="34"/>
  <c r="AE61" i="34"/>
  <c r="AE62" i="34"/>
  <c r="AE66" i="34"/>
  <c r="AE69" i="34"/>
  <c r="AE72" i="34"/>
  <c r="AE75" i="34"/>
  <c r="AE76" i="34"/>
  <c r="AE78" i="34"/>
  <c r="AE79" i="34"/>
  <c r="AE106" i="34"/>
  <c r="AE117" i="34"/>
  <c r="AE128" i="34"/>
  <c r="AE132" i="34"/>
  <c r="AE134" i="34"/>
  <c r="AE144" i="34"/>
  <c r="AE171" i="34"/>
  <c r="AE190" i="34"/>
  <c r="AE215" i="34"/>
  <c r="AE235" i="34"/>
  <c r="AE259" i="34"/>
  <c r="AE272" i="34"/>
  <c r="AE289" i="34"/>
  <c r="AE304" i="34"/>
  <c r="AE317" i="34"/>
  <c r="AE327" i="34"/>
  <c r="AE373" i="34"/>
  <c r="AE384" i="34"/>
  <c r="AE448" i="34"/>
  <c r="AE452" i="34"/>
  <c r="AE461" i="34"/>
  <c r="AE468" i="34"/>
  <c r="AE475" i="34"/>
  <c r="AE519" i="34"/>
  <c r="AE543" i="34"/>
  <c r="AF17" i="34"/>
  <c r="AF18" i="34"/>
  <c r="AF23" i="34"/>
  <c r="AF31" i="34"/>
  <c r="AF32" i="34"/>
  <c r="AF34" i="34"/>
  <c r="AF37" i="34"/>
  <c r="AF42" i="34"/>
  <c r="AF44" i="34"/>
  <c r="AF54" i="34"/>
  <c r="AF55" i="34"/>
  <c r="AF56" i="34"/>
  <c r="AF61" i="34"/>
  <c r="AF62" i="34"/>
  <c r="AF66" i="34"/>
  <c r="AF69" i="34"/>
  <c r="AF72" i="34"/>
  <c r="AF75" i="34"/>
  <c r="AF76" i="34"/>
  <c r="AF78" i="34"/>
  <c r="AF79" i="34"/>
  <c r="AF106" i="34"/>
  <c r="AF117" i="34"/>
  <c r="AF128" i="34"/>
  <c r="AF132" i="34"/>
  <c r="AF134" i="34"/>
  <c r="AF144" i="34"/>
  <c r="AF171" i="34"/>
  <c r="AF190" i="34"/>
  <c r="AF215" i="34"/>
  <c r="AF235" i="34"/>
  <c r="AF259" i="34"/>
  <c r="AF272" i="34"/>
  <c r="AF289" i="34"/>
  <c r="AF304" i="34"/>
  <c r="AF317" i="34"/>
  <c r="AF327" i="34"/>
  <c r="AF373" i="34"/>
  <c r="AF384" i="34"/>
  <c r="AF448" i="34"/>
  <c r="AF452" i="34"/>
  <c r="AF461" i="34"/>
  <c r="AF468" i="34"/>
  <c r="AF475" i="34"/>
  <c r="AF519" i="34"/>
  <c r="AF543" i="34"/>
  <c r="AG17" i="34"/>
  <c r="AG18" i="34"/>
  <c r="AG23" i="34"/>
  <c r="AG31" i="34"/>
  <c r="AG32" i="34"/>
  <c r="AG34" i="34"/>
  <c r="AG37" i="34"/>
  <c r="AG42" i="34"/>
  <c r="AG44" i="34"/>
  <c r="AG54" i="34"/>
  <c r="AG55" i="34"/>
  <c r="AG56" i="34"/>
  <c r="AG61" i="34"/>
  <c r="AG62" i="34"/>
  <c r="AG66" i="34"/>
  <c r="AG69" i="34"/>
  <c r="AG72" i="34"/>
  <c r="AG75" i="34"/>
  <c r="AG76" i="34"/>
  <c r="AG78" i="34"/>
  <c r="AG79" i="34"/>
  <c r="AG106" i="34"/>
  <c r="AG117" i="34"/>
  <c r="AG128" i="34"/>
  <c r="AG132" i="34"/>
  <c r="AG134" i="34"/>
  <c r="AG144" i="34"/>
  <c r="AG171" i="34"/>
  <c r="AG190" i="34"/>
  <c r="AG215" i="34"/>
  <c r="AG235" i="34"/>
  <c r="AG259" i="34"/>
  <c r="AG272" i="34"/>
  <c r="AG289" i="34"/>
  <c r="AG304" i="34"/>
  <c r="AG317" i="34"/>
  <c r="AG327" i="34"/>
  <c r="AG373" i="34"/>
  <c r="AG384" i="34"/>
  <c r="AG448" i="34"/>
  <c r="AG452" i="34"/>
  <c r="AG461" i="34"/>
  <c r="AG468" i="34"/>
  <c r="AG475" i="34"/>
  <c r="AG519" i="34"/>
  <c r="AG543" i="34"/>
  <c r="D100" i="34"/>
  <c r="D115" i="34"/>
  <c r="D167" i="34"/>
  <c r="D206" i="34"/>
  <c r="D261" i="34"/>
  <c r="D295" i="34"/>
  <c r="D360" i="34"/>
  <c r="D415" i="34"/>
  <c r="D438" i="34"/>
  <c r="D469" i="34"/>
  <c r="D472" i="34"/>
  <c r="D482" i="34"/>
  <c r="D498" i="34"/>
  <c r="D510" i="34"/>
  <c r="D525" i="34"/>
  <c r="D534" i="34"/>
  <c r="D570" i="34"/>
  <c r="O100" i="34"/>
  <c r="O115" i="34"/>
  <c r="O167" i="34"/>
  <c r="O206" i="34"/>
  <c r="O261" i="34"/>
  <c r="O295" i="34"/>
  <c r="O360" i="34"/>
  <c r="O415" i="34"/>
  <c r="O438" i="34"/>
  <c r="O469" i="34"/>
  <c r="O472" i="34"/>
  <c r="O482" i="34"/>
  <c r="O498" i="34"/>
  <c r="O510" i="34"/>
  <c r="O525" i="34"/>
  <c r="O534" i="34"/>
  <c r="O570" i="34"/>
  <c r="P100" i="34"/>
  <c r="P115" i="34"/>
  <c r="P167" i="34"/>
  <c r="P206" i="34"/>
  <c r="P261" i="34"/>
  <c r="P295" i="34"/>
  <c r="P360" i="34"/>
  <c r="P415" i="34"/>
  <c r="P438" i="34"/>
  <c r="P469" i="34"/>
  <c r="P472" i="34"/>
  <c r="P482" i="34"/>
  <c r="P498" i="34"/>
  <c r="P510" i="34"/>
  <c r="P525" i="34"/>
  <c r="P534" i="34"/>
  <c r="P570" i="34"/>
  <c r="Q100" i="34"/>
  <c r="Q115" i="34"/>
  <c r="Q167" i="34"/>
  <c r="Q206" i="34"/>
  <c r="Q261" i="34"/>
  <c r="Q295" i="34"/>
  <c r="Q360" i="34"/>
  <c r="Q415" i="34"/>
  <c r="Q438" i="34"/>
  <c r="Q469" i="34"/>
  <c r="Q472" i="34"/>
  <c r="Q482" i="34"/>
  <c r="Q498" i="34"/>
  <c r="Q510" i="34"/>
  <c r="Q525" i="34"/>
  <c r="Q534" i="34"/>
  <c r="Q570" i="34"/>
  <c r="U100" i="34"/>
  <c r="U115" i="34"/>
  <c r="U167" i="34"/>
  <c r="U206" i="34"/>
  <c r="U261" i="34"/>
  <c r="U295" i="34"/>
  <c r="U360" i="34"/>
  <c r="U415" i="34"/>
  <c r="U438" i="34"/>
  <c r="U469" i="34"/>
  <c r="U472" i="34"/>
  <c r="U482" i="34"/>
  <c r="U498" i="34"/>
  <c r="U510" i="34"/>
  <c r="U525" i="34"/>
  <c r="U534" i="34"/>
  <c r="U570" i="34"/>
  <c r="V100" i="34"/>
  <c r="V115" i="34"/>
  <c r="V167" i="34"/>
  <c r="V206" i="34"/>
  <c r="V261" i="34"/>
  <c r="V295" i="34"/>
  <c r="V360" i="34"/>
  <c r="V415" i="34"/>
  <c r="V438" i="34"/>
  <c r="V469" i="34"/>
  <c r="V472" i="34"/>
  <c r="V482" i="34"/>
  <c r="V498" i="34"/>
  <c r="V510" i="34"/>
  <c r="V525" i="34"/>
  <c r="V534" i="34"/>
  <c r="V570" i="34"/>
  <c r="W100" i="34"/>
  <c r="W115" i="34"/>
  <c r="W167" i="34"/>
  <c r="W206" i="34"/>
  <c r="W261" i="34"/>
  <c r="W295" i="34"/>
  <c r="W360" i="34"/>
  <c r="W415" i="34"/>
  <c r="W438" i="34"/>
  <c r="W469" i="34"/>
  <c r="W472" i="34"/>
  <c r="W482" i="34"/>
  <c r="W498" i="34"/>
  <c r="W510" i="34"/>
  <c r="W525" i="34"/>
  <c r="W534" i="34"/>
  <c r="W570" i="34"/>
  <c r="X100" i="34"/>
  <c r="X115" i="34"/>
  <c r="X167" i="34"/>
  <c r="X206" i="34"/>
  <c r="X261" i="34"/>
  <c r="X295" i="34"/>
  <c r="X360" i="34"/>
  <c r="X415" i="34"/>
  <c r="X438" i="34"/>
  <c r="X469" i="34"/>
  <c r="X472" i="34"/>
  <c r="X482" i="34"/>
  <c r="X498" i="34"/>
  <c r="X510" i="34"/>
  <c r="X525" i="34"/>
  <c r="X534" i="34"/>
  <c r="X570" i="34"/>
  <c r="Y100" i="34"/>
  <c r="Y115" i="34"/>
  <c r="Y167" i="34"/>
  <c r="Y206" i="34"/>
  <c r="Y261" i="34"/>
  <c r="Y295" i="34"/>
  <c r="Y360" i="34"/>
  <c r="Y415" i="34"/>
  <c r="Y438" i="34"/>
  <c r="Y469" i="34"/>
  <c r="Y472" i="34"/>
  <c r="Y482" i="34"/>
  <c r="Y498" i="34"/>
  <c r="Y510" i="34"/>
  <c r="Y525" i="34"/>
  <c r="Y534" i="34"/>
  <c r="Y570" i="34"/>
  <c r="Z100" i="34"/>
  <c r="Z115" i="34"/>
  <c r="Z167" i="34"/>
  <c r="Z206" i="34"/>
  <c r="Z261" i="34"/>
  <c r="Z295" i="34"/>
  <c r="Z360" i="34"/>
  <c r="Z415" i="34"/>
  <c r="Z438" i="34"/>
  <c r="Z469" i="34"/>
  <c r="Z472" i="34"/>
  <c r="Z482" i="34"/>
  <c r="Z498" i="34"/>
  <c r="Z510" i="34"/>
  <c r="Z525" i="34"/>
  <c r="Z534" i="34"/>
  <c r="Z570" i="34"/>
  <c r="AA100" i="34"/>
  <c r="AA115" i="34"/>
  <c r="AA167" i="34"/>
  <c r="AA206" i="34"/>
  <c r="AA261" i="34"/>
  <c r="AA295" i="34"/>
  <c r="AA360" i="34"/>
  <c r="AA415" i="34"/>
  <c r="AA438" i="34"/>
  <c r="AA469" i="34"/>
  <c r="AA472" i="34"/>
  <c r="AA482" i="34"/>
  <c r="AA498" i="34"/>
  <c r="AA510" i="34"/>
  <c r="AA525" i="34"/>
  <c r="AA534" i="34"/>
  <c r="AA570" i="34"/>
  <c r="AB100" i="34"/>
  <c r="AB115" i="34"/>
  <c r="AB167" i="34"/>
  <c r="AB206" i="34"/>
  <c r="AB261" i="34"/>
  <c r="AB295" i="34"/>
  <c r="AB360" i="34"/>
  <c r="AB415" i="34"/>
  <c r="AB438" i="34"/>
  <c r="AB469" i="34"/>
  <c r="AB472" i="34"/>
  <c r="AB482" i="34"/>
  <c r="AB498" i="34"/>
  <c r="AB510" i="34"/>
  <c r="AB525" i="34"/>
  <c r="AB534" i="34"/>
  <c r="AB570" i="34"/>
  <c r="AC100" i="34"/>
  <c r="AC115" i="34"/>
  <c r="AC167" i="34"/>
  <c r="AC206" i="34"/>
  <c r="AC261" i="34"/>
  <c r="AC295" i="34"/>
  <c r="AC360" i="34"/>
  <c r="AC415" i="34"/>
  <c r="AC438" i="34"/>
  <c r="AC469" i="34"/>
  <c r="AC472" i="34"/>
  <c r="AC482" i="34"/>
  <c r="AC498" i="34"/>
  <c r="AC510" i="34"/>
  <c r="AC525" i="34"/>
  <c r="AC534" i="34"/>
  <c r="AC570" i="34"/>
  <c r="AD100" i="34"/>
  <c r="AD115" i="34"/>
  <c r="AD167" i="34"/>
  <c r="AD206" i="34"/>
  <c r="AD261" i="34"/>
  <c r="AD295" i="34"/>
  <c r="AD360" i="34"/>
  <c r="AD415" i="34"/>
  <c r="AD438" i="34"/>
  <c r="AD469" i="34"/>
  <c r="AD472" i="34"/>
  <c r="AD482" i="34"/>
  <c r="AD498" i="34"/>
  <c r="AD510" i="34"/>
  <c r="AD525" i="34"/>
  <c r="AD534" i="34"/>
  <c r="AD570" i="34"/>
  <c r="AE100" i="34"/>
  <c r="AE115" i="34"/>
  <c r="AE167" i="34"/>
  <c r="AE206" i="34"/>
  <c r="AE261" i="34"/>
  <c r="AE295" i="34"/>
  <c r="AE360" i="34"/>
  <c r="AE415" i="34"/>
  <c r="AE438" i="34"/>
  <c r="AE469" i="34"/>
  <c r="AE472" i="34"/>
  <c r="AE482" i="34"/>
  <c r="AE498" i="34"/>
  <c r="AE510" i="34"/>
  <c r="AE525" i="34"/>
  <c r="AE534" i="34"/>
  <c r="AE570" i="34"/>
  <c r="AF100" i="34"/>
  <c r="AF115" i="34"/>
  <c r="AF167" i="34"/>
  <c r="AF206" i="34"/>
  <c r="AF261" i="34"/>
  <c r="AF295" i="34"/>
  <c r="AF360" i="34"/>
  <c r="AF415" i="34"/>
  <c r="AF438" i="34"/>
  <c r="AF469" i="34"/>
  <c r="AF472" i="34"/>
  <c r="AF482" i="34"/>
  <c r="AF498" i="34"/>
  <c r="AF510" i="34"/>
  <c r="AF525" i="34"/>
  <c r="AF534" i="34"/>
  <c r="AF570" i="34"/>
  <c r="AG100" i="34"/>
  <c r="AG115" i="34"/>
  <c r="AG167" i="34"/>
  <c r="AG206" i="34"/>
  <c r="AG261" i="34"/>
  <c r="AG295" i="34"/>
  <c r="AG360" i="34"/>
  <c r="AG415" i="34"/>
  <c r="AG438" i="34"/>
  <c r="AG469" i="34"/>
  <c r="AG472" i="34"/>
  <c r="AG482" i="34"/>
  <c r="AG498" i="34"/>
  <c r="AG510" i="34"/>
  <c r="AG525" i="34"/>
  <c r="AG534" i="34"/>
  <c r="AG570" i="34"/>
  <c r="D93" i="34"/>
  <c r="D99" i="34"/>
  <c r="D107" i="34"/>
  <c r="D136" i="34"/>
  <c r="D155" i="34"/>
  <c r="D170" i="34"/>
  <c r="D182" i="34"/>
  <c r="D208" i="34"/>
  <c r="D240" i="34"/>
  <c r="D330" i="34"/>
  <c r="D353" i="34"/>
  <c r="D377" i="34"/>
  <c r="D419" i="34"/>
  <c r="D428" i="34"/>
  <c r="D439" i="34"/>
  <c r="D449" i="34"/>
  <c r="D479" i="34"/>
  <c r="D509" i="34"/>
  <c r="D527" i="34"/>
  <c r="D548" i="34"/>
  <c r="D563" i="34"/>
  <c r="D571" i="34"/>
  <c r="O93" i="34"/>
  <c r="O99" i="34"/>
  <c r="O107" i="34"/>
  <c r="O136" i="34"/>
  <c r="O155" i="34"/>
  <c r="O170" i="34"/>
  <c r="O182" i="34"/>
  <c r="O208" i="34"/>
  <c r="O240" i="34"/>
  <c r="O330" i="34"/>
  <c r="O353" i="34"/>
  <c r="O377" i="34"/>
  <c r="O419" i="34"/>
  <c r="O428" i="34"/>
  <c r="O439" i="34"/>
  <c r="O449" i="34"/>
  <c r="O479" i="34"/>
  <c r="O509" i="34"/>
  <c r="O527" i="34"/>
  <c r="O548" i="34"/>
  <c r="O563" i="34"/>
  <c r="O571" i="34"/>
  <c r="P93" i="34"/>
  <c r="P99" i="34"/>
  <c r="P107" i="34"/>
  <c r="P136" i="34"/>
  <c r="P155" i="34"/>
  <c r="P170" i="34"/>
  <c r="P182" i="34"/>
  <c r="P208" i="34"/>
  <c r="P240" i="34"/>
  <c r="P330" i="34"/>
  <c r="P353" i="34"/>
  <c r="P377" i="34"/>
  <c r="P419" i="34"/>
  <c r="P428" i="34"/>
  <c r="P439" i="34"/>
  <c r="P449" i="34"/>
  <c r="P479" i="34"/>
  <c r="P509" i="34"/>
  <c r="P527" i="34"/>
  <c r="P548" i="34"/>
  <c r="P563" i="34"/>
  <c r="P571" i="34"/>
  <c r="Q93" i="34"/>
  <c r="Q99" i="34"/>
  <c r="Q107" i="34"/>
  <c r="Q136" i="34"/>
  <c r="Q155" i="34"/>
  <c r="Q170" i="34"/>
  <c r="Q182" i="34"/>
  <c r="Q208" i="34"/>
  <c r="Q240" i="34"/>
  <c r="Q330" i="34"/>
  <c r="Q353" i="34"/>
  <c r="Q377" i="34"/>
  <c r="Q419" i="34"/>
  <c r="Q428" i="34"/>
  <c r="Q439" i="34"/>
  <c r="Q449" i="34"/>
  <c r="Q479" i="34"/>
  <c r="Q509" i="34"/>
  <c r="Q527" i="34"/>
  <c r="Q548" i="34"/>
  <c r="Q563" i="34"/>
  <c r="Q571" i="34"/>
  <c r="U93" i="34"/>
  <c r="U99" i="34"/>
  <c r="U107" i="34"/>
  <c r="U136" i="34"/>
  <c r="U155" i="34"/>
  <c r="U170" i="34"/>
  <c r="U182" i="34"/>
  <c r="U208" i="34"/>
  <c r="U240" i="34"/>
  <c r="U330" i="34"/>
  <c r="U353" i="34"/>
  <c r="U377" i="34"/>
  <c r="U419" i="34"/>
  <c r="U428" i="34"/>
  <c r="U439" i="34"/>
  <c r="U449" i="34"/>
  <c r="U479" i="34"/>
  <c r="U509" i="34"/>
  <c r="U527" i="34"/>
  <c r="U548" i="34"/>
  <c r="U563" i="34"/>
  <c r="U571" i="34"/>
  <c r="V93" i="34"/>
  <c r="V99" i="34"/>
  <c r="V107" i="34"/>
  <c r="V136" i="34"/>
  <c r="V155" i="34"/>
  <c r="V170" i="34"/>
  <c r="V182" i="34"/>
  <c r="V208" i="34"/>
  <c r="V240" i="34"/>
  <c r="V330" i="34"/>
  <c r="V353" i="34"/>
  <c r="V377" i="34"/>
  <c r="V419" i="34"/>
  <c r="V428" i="34"/>
  <c r="V439" i="34"/>
  <c r="V449" i="34"/>
  <c r="V479" i="34"/>
  <c r="V509" i="34"/>
  <c r="V527" i="34"/>
  <c r="V548" i="34"/>
  <c r="V563" i="34"/>
  <c r="V571" i="34"/>
  <c r="W93" i="34"/>
  <c r="W99" i="34"/>
  <c r="W107" i="34"/>
  <c r="W136" i="34"/>
  <c r="W155" i="34"/>
  <c r="W170" i="34"/>
  <c r="W182" i="34"/>
  <c r="W208" i="34"/>
  <c r="W240" i="34"/>
  <c r="W330" i="34"/>
  <c r="W353" i="34"/>
  <c r="W377" i="34"/>
  <c r="W419" i="34"/>
  <c r="W428" i="34"/>
  <c r="W439" i="34"/>
  <c r="W449" i="34"/>
  <c r="W479" i="34"/>
  <c r="W509" i="34"/>
  <c r="W527" i="34"/>
  <c r="W548" i="34"/>
  <c r="W563" i="34"/>
  <c r="W571" i="34"/>
  <c r="X93" i="34"/>
  <c r="X99" i="34"/>
  <c r="X107" i="34"/>
  <c r="X136" i="34"/>
  <c r="X155" i="34"/>
  <c r="X170" i="34"/>
  <c r="X182" i="34"/>
  <c r="X208" i="34"/>
  <c r="X240" i="34"/>
  <c r="X330" i="34"/>
  <c r="X353" i="34"/>
  <c r="X377" i="34"/>
  <c r="X419" i="34"/>
  <c r="X428" i="34"/>
  <c r="X439" i="34"/>
  <c r="X449" i="34"/>
  <c r="X479" i="34"/>
  <c r="X509" i="34"/>
  <c r="X527" i="34"/>
  <c r="X548" i="34"/>
  <c r="X563" i="34"/>
  <c r="X571" i="34"/>
  <c r="Y93" i="34"/>
  <c r="Y99" i="34"/>
  <c r="Y107" i="34"/>
  <c r="Y136" i="34"/>
  <c r="Y155" i="34"/>
  <c r="Y170" i="34"/>
  <c r="Y182" i="34"/>
  <c r="Y208" i="34"/>
  <c r="Y240" i="34"/>
  <c r="Y330" i="34"/>
  <c r="Y353" i="34"/>
  <c r="Y377" i="34"/>
  <c r="Y419" i="34"/>
  <c r="Y428" i="34"/>
  <c r="Y439" i="34"/>
  <c r="Y449" i="34"/>
  <c r="Y479" i="34"/>
  <c r="Y509" i="34"/>
  <c r="Y527" i="34"/>
  <c r="Y548" i="34"/>
  <c r="Y563" i="34"/>
  <c r="Y571" i="34"/>
  <c r="Z93" i="34"/>
  <c r="Z99" i="34"/>
  <c r="Z107" i="34"/>
  <c r="Z136" i="34"/>
  <c r="Z155" i="34"/>
  <c r="Z170" i="34"/>
  <c r="Z182" i="34"/>
  <c r="Z208" i="34"/>
  <c r="Z240" i="34"/>
  <c r="Z330" i="34"/>
  <c r="Z353" i="34"/>
  <c r="Z377" i="34"/>
  <c r="Z419" i="34"/>
  <c r="Z428" i="34"/>
  <c r="Z439" i="34"/>
  <c r="Z449" i="34"/>
  <c r="Z479" i="34"/>
  <c r="Z509" i="34"/>
  <c r="Z527" i="34"/>
  <c r="Z548" i="34"/>
  <c r="Z563" i="34"/>
  <c r="Z571" i="34"/>
  <c r="AA93" i="34"/>
  <c r="AA99" i="34"/>
  <c r="AA107" i="34"/>
  <c r="AA136" i="34"/>
  <c r="AA155" i="34"/>
  <c r="AA170" i="34"/>
  <c r="AA182" i="34"/>
  <c r="AA208" i="34"/>
  <c r="AA240" i="34"/>
  <c r="AA330" i="34"/>
  <c r="AA353" i="34"/>
  <c r="AA377" i="34"/>
  <c r="AA419" i="34"/>
  <c r="AA428" i="34"/>
  <c r="AA439" i="34"/>
  <c r="AA449" i="34"/>
  <c r="AA479" i="34"/>
  <c r="AA509" i="34"/>
  <c r="AA527" i="34"/>
  <c r="AA548" i="34"/>
  <c r="AA563" i="34"/>
  <c r="AA571" i="34"/>
  <c r="AB93" i="34"/>
  <c r="AB99" i="34"/>
  <c r="AB107" i="34"/>
  <c r="AB136" i="34"/>
  <c r="AB155" i="34"/>
  <c r="AB170" i="34"/>
  <c r="AB182" i="34"/>
  <c r="AB208" i="34"/>
  <c r="AB240" i="34"/>
  <c r="AB330" i="34"/>
  <c r="AB353" i="34"/>
  <c r="AB377" i="34"/>
  <c r="AB419" i="34"/>
  <c r="AB428" i="34"/>
  <c r="AB439" i="34"/>
  <c r="AB449" i="34"/>
  <c r="AB479" i="34"/>
  <c r="AB509" i="34"/>
  <c r="AB527" i="34"/>
  <c r="AB548" i="34"/>
  <c r="AB563" i="34"/>
  <c r="AB571" i="34"/>
  <c r="AC93" i="34"/>
  <c r="AC99" i="34"/>
  <c r="AC107" i="34"/>
  <c r="AC136" i="34"/>
  <c r="AC155" i="34"/>
  <c r="AC170" i="34"/>
  <c r="AC182" i="34"/>
  <c r="AC208" i="34"/>
  <c r="AC240" i="34"/>
  <c r="AC330" i="34"/>
  <c r="AC353" i="34"/>
  <c r="AC377" i="34"/>
  <c r="AC419" i="34"/>
  <c r="AC428" i="34"/>
  <c r="AC439" i="34"/>
  <c r="AC449" i="34"/>
  <c r="AC479" i="34"/>
  <c r="AC509" i="34"/>
  <c r="AC527" i="34"/>
  <c r="AC548" i="34"/>
  <c r="AC563" i="34"/>
  <c r="AC571" i="34"/>
  <c r="AD93" i="34"/>
  <c r="AD99" i="34"/>
  <c r="AD107" i="34"/>
  <c r="AD136" i="34"/>
  <c r="AD155" i="34"/>
  <c r="AD170" i="34"/>
  <c r="AD182" i="34"/>
  <c r="AD208" i="34"/>
  <c r="AD240" i="34"/>
  <c r="AD330" i="34"/>
  <c r="AD353" i="34"/>
  <c r="AD377" i="34"/>
  <c r="AD419" i="34"/>
  <c r="AD428" i="34"/>
  <c r="AD439" i="34"/>
  <c r="AD449" i="34"/>
  <c r="AD479" i="34"/>
  <c r="AD509" i="34"/>
  <c r="AD527" i="34"/>
  <c r="AD548" i="34"/>
  <c r="AD563" i="34"/>
  <c r="AD571" i="34"/>
  <c r="AE93" i="34"/>
  <c r="AE99" i="34"/>
  <c r="AE107" i="34"/>
  <c r="AE136" i="34"/>
  <c r="AE155" i="34"/>
  <c r="AE170" i="34"/>
  <c r="AE182" i="34"/>
  <c r="AE208" i="34"/>
  <c r="AE240" i="34"/>
  <c r="AE330" i="34"/>
  <c r="AE353" i="34"/>
  <c r="AE377" i="34"/>
  <c r="AE419" i="34"/>
  <c r="AE428" i="34"/>
  <c r="AE439" i="34"/>
  <c r="AE449" i="34"/>
  <c r="AE479" i="34"/>
  <c r="AE509" i="34"/>
  <c r="AE527" i="34"/>
  <c r="AE548" i="34"/>
  <c r="AE563" i="34"/>
  <c r="AE571" i="34"/>
  <c r="AF93" i="34"/>
  <c r="AF99" i="34"/>
  <c r="AF107" i="34"/>
  <c r="AF136" i="34"/>
  <c r="AF155" i="34"/>
  <c r="AF170" i="34"/>
  <c r="AF182" i="34"/>
  <c r="AF208" i="34"/>
  <c r="AF240" i="34"/>
  <c r="AF330" i="34"/>
  <c r="AF353" i="34"/>
  <c r="AF377" i="34"/>
  <c r="AF419" i="34"/>
  <c r="AF428" i="34"/>
  <c r="AF439" i="34"/>
  <c r="AF449" i="34"/>
  <c r="AF479" i="34"/>
  <c r="AF509" i="34"/>
  <c r="AF527" i="34"/>
  <c r="AF548" i="34"/>
  <c r="AF563" i="34"/>
  <c r="AF571" i="34"/>
  <c r="AG93" i="34"/>
  <c r="AG99" i="34"/>
  <c r="AG107" i="34"/>
  <c r="AG136" i="34"/>
  <c r="AG155" i="34"/>
  <c r="AG170" i="34"/>
  <c r="AG182" i="34"/>
  <c r="AG208" i="34"/>
  <c r="AG240" i="34"/>
  <c r="AG330" i="34"/>
  <c r="AG353" i="34"/>
  <c r="AG377" i="34"/>
  <c r="AG419" i="34"/>
  <c r="AG428" i="34"/>
  <c r="AG439" i="34"/>
  <c r="AG449" i="34"/>
  <c r="AG479" i="34"/>
  <c r="AG509" i="34"/>
  <c r="AG527" i="34"/>
  <c r="AG548" i="34"/>
  <c r="AG563" i="34"/>
  <c r="AG571" i="34"/>
  <c r="D86" i="34"/>
  <c r="D119" i="34"/>
  <c r="D126" i="34"/>
  <c r="D150" i="34"/>
  <c r="D163" i="34"/>
  <c r="D198" i="34"/>
  <c r="D253" i="34"/>
  <c r="D269" i="34"/>
  <c r="D284" i="34"/>
  <c r="D294" i="34"/>
  <c r="D321" i="34"/>
  <c r="D365" i="34"/>
  <c r="D383" i="34"/>
  <c r="D424" i="34"/>
  <c r="D462" i="34"/>
  <c r="D476" i="34"/>
  <c r="D506" i="34"/>
  <c r="D528" i="34"/>
  <c r="D556" i="34"/>
  <c r="O86" i="34"/>
  <c r="O119" i="34"/>
  <c r="O126" i="34"/>
  <c r="O150" i="34"/>
  <c r="O163" i="34"/>
  <c r="O198" i="34"/>
  <c r="O253" i="34"/>
  <c r="O269" i="34"/>
  <c r="O284" i="34"/>
  <c r="O294" i="34"/>
  <c r="O321" i="34"/>
  <c r="O365" i="34"/>
  <c r="O383" i="34"/>
  <c r="O424" i="34"/>
  <c r="O462" i="34"/>
  <c r="O476" i="34"/>
  <c r="O506" i="34"/>
  <c r="O528" i="34"/>
  <c r="O556" i="34"/>
  <c r="P86" i="34"/>
  <c r="P119" i="34"/>
  <c r="P126" i="34"/>
  <c r="P150" i="34"/>
  <c r="P163" i="34"/>
  <c r="P198" i="34"/>
  <c r="P253" i="34"/>
  <c r="P269" i="34"/>
  <c r="P284" i="34"/>
  <c r="P294" i="34"/>
  <c r="P321" i="34"/>
  <c r="P365" i="34"/>
  <c r="P383" i="34"/>
  <c r="P424" i="34"/>
  <c r="P462" i="34"/>
  <c r="P476" i="34"/>
  <c r="P506" i="34"/>
  <c r="P528" i="34"/>
  <c r="P556" i="34"/>
  <c r="Q86" i="34"/>
  <c r="Q119" i="34"/>
  <c r="Q126" i="34"/>
  <c r="Q150" i="34"/>
  <c r="Q163" i="34"/>
  <c r="Q198" i="34"/>
  <c r="Q253" i="34"/>
  <c r="Q269" i="34"/>
  <c r="Q284" i="34"/>
  <c r="Q294" i="34"/>
  <c r="Q321" i="34"/>
  <c r="Q365" i="34"/>
  <c r="Q383" i="34"/>
  <c r="Q424" i="34"/>
  <c r="Q462" i="34"/>
  <c r="Q476" i="34"/>
  <c r="Q506" i="34"/>
  <c r="Q528" i="34"/>
  <c r="Q556" i="34"/>
  <c r="U86" i="34"/>
  <c r="U119" i="34"/>
  <c r="U126" i="34"/>
  <c r="U150" i="34"/>
  <c r="U163" i="34"/>
  <c r="U198" i="34"/>
  <c r="U253" i="34"/>
  <c r="U269" i="34"/>
  <c r="U284" i="34"/>
  <c r="U294" i="34"/>
  <c r="U321" i="34"/>
  <c r="U365" i="34"/>
  <c r="U383" i="34"/>
  <c r="U424" i="34"/>
  <c r="U462" i="34"/>
  <c r="U476" i="34"/>
  <c r="U506" i="34"/>
  <c r="U528" i="34"/>
  <c r="U556" i="34"/>
  <c r="V86" i="34"/>
  <c r="V119" i="34"/>
  <c r="V126" i="34"/>
  <c r="V150" i="34"/>
  <c r="V163" i="34"/>
  <c r="V198" i="34"/>
  <c r="V253" i="34"/>
  <c r="V269" i="34"/>
  <c r="V284" i="34"/>
  <c r="V294" i="34"/>
  <c r="V321" i="34"/>
  <c r="V365" i="34"/>
  <c r="V383" i="34"/>
  <c r="V424" i="34"/>
  <c r="V462" i="34"/>
  <c r="V476" i="34"/>
  <c r="V506" i="34"/>
  <c r="V528" i="34"/>
  <c r="V556" i="34"/>
  <c r="W86" i="34"/>
  <c r="W119" i="34"/>
  <c r="W126" i="34"/>
  <c r="W150" i="34"/>
  <c r="W163" i="34"/>
  <c r="W198" i="34"/>
  <c r="W253" i="34"/>
  <c r="W269" i="34"/>
  <c r="W284" i="34"/>
  <c r="W294" i="34"/>
  <c r="W321" i="34"/>
  <c r="W365" i="34"/>
  <c r="W383" i="34"/>
  <c r="W424" i="34"/>
  <c r="W462" i="34"/>
  <c r="W476" i="34"/>
  <c r="W506" i="34"/>
  <c r="W528" i="34"/>
  <c r="W556" i="34"/>
  <c r="X86" i="34"/>
  <c r="X119" i="34"/>
  <c r="X126" i="34"/>
  <c r="X150" i="34"/>
  <c r="X163" i="34"/>
  <c r="X198" i="34"/>
  <c r="X253" i="34"/>
  <c r="X269" i="34"/>
  <c r="X284" i="34"/>
  <c r="X294" i="34"/>
  <c r="X321" i="34"/>
  <c r="X365" i="34"/>
  <c r="X383" i="34"/>
  <c r="X424" i="34"/>
  <c r="X462" i="34"/>
  <c r="X476" i="34"/>
  <c r="X506" i="34"/>
  <c r="X528" i="34"/>
  <c r="X556" i="34"/>
  <c r="Y86" i="34"/>
  <c r="Y119" i="34"/>
  <c r="Y126" i="34"/>
  <c r="Y150" i="34"/>
  <c r="Y163" i="34"/>
  <c r="Y198" i="34"/>
  <c r="Y253" i="34"/>
  <c r="Y269" i="34"/>
  <c r="Y284" i="34"/>
  <c r="Y294" i="34"/>
  <c r="Y321" i="34"/>
  <c r="Y365" i="34"/>
  <c r="Y383" i="34"/>
  <c r="Y424" i="34"/>
  <c r="Y462" i="34"/>
  <c r="Y476" i="34"/>
  <c r="Y506" i="34"/>
  <c r="Y528" i="34"/>
  <c r="Y556" i="34"/>
  <c r="Z86" i="34"/>
  <c r="Z119" i="34"/>
  <c r="Z126" i="34"/>
  <c r="Z150" i="34"/>
  <c r="Z163" i="34"/>
  <c r="Z198" i="34"/>
  <c r="Z253" i="34"/>
  <c r="Z269" i="34"/>
  <c r="Z284" i="34"/>
  <c r="Z294" i="34"/>
  <c r="Z321" i="34"/>
  <c r="Z365" i="34"/>
  <c r="Z383" i="34"/>
  <c r="Z424" i="34"/>
  <c r="Z462" i="34"/>
  <c r="Z476" i="34"/>
  <c r="Z506" i="34"/>
  <c r="Z528" i="34"/>
  <c r="Z556" i="34"/>
  <c r="AA86" i="34"/>
  <c r="AA119" i="34"/>
  <c r="AA126" i="34"/>
  <c r="AA150" i="34"/>
  <c r="AA163" i="34"/>
  <c r="AA198" i="34"/>
  <c r="AA253" i="34"/>
  <c r="AA269" i="34"/>
  <c r="AA284" i="34"/>
  <c r="AA294" i="34"/>
  <c r="AA321" i="34"/>
  <c r="AA365" i="34"/>
  <c r="AA383" i="34"/>
  <c r="AA424" i="34"/>
  <c r="AA462" i="34"/>
  <c r="AA476" i="34"/>
  <c r="AA506" i="34"/>
  <c r="AA528" i="34"/>
  <c r="AA556" i="34"/>
  <c r="AB86" i="34"/>
  <c r="AB119" i="34"/>
  <c r="AB126" i="34"/>
  <c r="AB150" i="34"/>
  <c r="AB163" i="34"/>
  <c r="AB198" i="34"/>
  <c r="AB253" i="34"/>
  <c r="AB269" i="34"/>
  <c r="AB284" i="34"/>
  <c r="AB294" i="34"/>
  <c r="AB321" i="34"/>
  <c r="AB365" i="34"/>
  <c r="AB383" i="34"/>
  <c r="AB424" i="34"/>
  <c r="AB462" i="34"/>
  <c r="AB476" i="34"/>
  <c r="AB506" i="34"/>
  <c r="AB528" i="34"/>
  <c r="AB556" i="34"/>
  <c r="AC86" i="34"/>
  <c r="AC119" i="34"/>
  <c r="AC126" i="34"/>
  <c r="AC150" i="34"/>
  <c r="AC163" i="34"/>
  <c r="AC198" i="34"/>
  <c r="AC253" i="34"/>
  <c r="AC269" i="34"/>
  <c r="AC284" i="34"/>
  <c r="AC294" i="34"/>
  <c r="AC321" i="34"/>
  <c r="AC365" i="34"/>
  <c r="AC383" i="34"/>
  <c r="AC424" i="34"/>
  <c r="AC462" i="34"/>
  <c r="AC476" i="34"/>
  <c r="AC506" i="34"/>
  <c r="AC528" i="34"/>
  <c r="AC556" i="34"/>
  <c r="AD86" i="34"/>
  <c r="AD119" i="34"/>
  <c r="AD126" i="34"/>
  <c r="AD150" i="34"/>
  <c r="AD163" i="34"/>
  <c r="AD198" i="34"/>
  <c r="AD253" i="34"/>
  <c r="AD269" i="34"/>
  <c r="AD284" i="34"/>
  <c r="AD294" i="34"/>
  <c r="AD321" i="34"/>
  <c r="AD365" i="34"/>
  <c r="AD383" i="34"/>
  <c r="AD424" i="34"/>
  <c r="AD462" i="34"/>
  <c r="AD476" i="34"/>
  <c r="AD506" i="34"/>
  <c r="AD528" i="34"/>
  <c r="AD556" i="34"/>
  <c r="AE86" i="34"/>
  <c r="AE119" i="34"/>
  <c r="AE126" i="34"/>
  <c r="AE150" i="34"/>
  <c r="AE163" i="34"/>
  <c r="AE198" i="34"/>
  <c r="AE253" i="34"/>
  <c r="AE269" i="34"/>
  <c r="AE284" i="34"/>
  <c r="AE294" i="34"/>
  <c r="AE321" i="34"/>
  <c r="AE365" i="34"/>
  <c r="AE383" i="34"/>
  <c r="AE424" i="34"/>
  <c r="AE462" i="34"/>
  <c r="AE476" i="34"/>
  <c r="AE506" i="34"/>
  <c r="AE528" i="34"/>
  <c r="AE556" i="34"/>
  <c r="AF86" i="34"/>
  <c r="AF119" i="34"/>
  <c r="AF126" i="34"/>
  <c r="AF150" i="34"/>
  <c r="AF163" i="34"/>
  <c r="AF198" i="34"/>
  <c r="AF253" i="34"/>
  <c r="AF269" i="34"/>
  <c r="AF284" i="34"/>
  <c r="AF294" i="34"/>
  <c r="AF321" i="34"/>
  <c r="AF365" i="34"/>
  <c r="AF383" i="34"/>
  <c r="AF424" i="34"/>
  <c r="AF462" i="34"/>
  <c r="AF476" i="34"/>
  <c r="AF506" i="34"/>
  <c r="AF528" i="34"/>
  <c r="AF556" i="34"/>
  <c r="AG86" i="34"/>
  <c r="AG119" i="34"/>
  <c r="AG126" i="34"/>
  <c r="AG150" i="34"/>
  <c r="AG163" i="34"/>
  <c r="AG198" i="34"/>
  <c r="AG253" i="34"/>
  <c r="AG269" i="34"/>
  <c r="AG284" i="34"/>
  <c r="AG294" i="34"/>
  <c r="AG321" i="34"/>
  <c r="AG365" i="34"/>
  <c r="AG383" i="34"/>
  <c r="AG424" i="34"/>
  <c r="AG462" i="34"/>
  <c r="AG476" i="34"/>
  <c r="AG506" i="34"/>
  <c r="AG528" i="34"/>
  <c r="AG556" i="34"/>
  <c r="D116" i="34"/>
  <c r="D138" i="34"/>
  <c r="D173" i="34"/>
  <c r="D193" i="34"/>
  <c r="D248" i="34"/>
  <c r="D267" i="34"/>
  <c r="D287" i="34"/>
  <c r="D310" i="34"/>
  <c r="D414" i="34"/>
  <c r="D435" i="34"/>
  <c r="D453" i="34"/>
  <c r="D465" i="34"/>
  <c r="D473" i="34"/>
  <c r="D499" i="34"/>
  <c r="D531" i="34"/>
  <c r="D550" i="34"/>
  <c r="D555" i="34"/>
  <c r="D572" i="34"/>
  <c r="O116" i="34"/>
  <c r="O138" i="34"/>
  <c r="O173" i="34"/>
  <c r="O193" i="34"/>
  <c r="O248" i="34"/>
  <c r="O267" i="34"/>
  <c r="O287" i="34"/>
  <c r="O310" i="34"/>
  <c r="O414" i="34"/>
  <c r="O435" i="34"/>
  <c r="O453" i="34"/>
  <c r="O465" i="34"/>
  <c r="O473" i="34"/>
  <c r="O499" i="34"/>
  <c r="O531" i="34"/>
  <c r="O550" i="34"/>
  <c r="O555" i="34"/>
  <c r="O572" i="34"/>
  <c r="P116" i="34"/>
  <c r="P138" i="34"/>
  <c r="P173" i="34"/>
  <c r="P193" i="34"/>
  <c r="P248" i="34"/>
  <c r="P267" i="34"/>
  <c r="P287" i="34"/>
  <c r="P310" i="34"/>
  <c r="P414" i="34"/>
  <c r="P435" i="34"/>
  <c r="P453" i="34"/>
  <c r="P465" i="34"/>
  <c r="P473" i="34"/>
  <c r="P499" i="34"/>
  <c r="P531" i="34"/>
  <c r="P550" i="34"/>
  <c r="P555" i="34"/>
  <c r="P572" i="34"/>
  <c r="Q116" i="34"/>
  <c r="Q138" i="34"/>
  <c r="Q173" i="34"/>
  <c r="Q193" i="34"/>
  <c r="Q248" i="34"/>
  <c r="Q267" i="34"/>
  <c r="Q287" i="34"/>
  <c r="Q310" i="34"/>
  <c r="Q414" i="34"/>
  <c r="Q435" i="34"/>
  <c r="Q453" i="34"/>
  <c r="Q465" i="34"/>
  <c r="Q473" i="34"/>
  <c r="Q499" i="34"/>
  <c r="Q531" i="34"/>
  <c r="Q550" i="34"/>
  <c r="Q555" i="34"/>
  <c r="Q572" i="34"/>
  <c r="U116" i="34"/>
  <c r="U138" i="34"/>
  <c r="U173" i="34"/>
  <c r="U193" i="34"/>
  <c r="U248" i="34"/>
  <c r="U267" i="34"/>
  <c r="U287" i="34"/>
  <c r="U310" i="34"/>
  <c r="U414" i="34"/>
  <c r="U435" i="34"/>
  <c r="U453" i="34"/>
  <c r="U465" i="34"/>
  <c r="U473" i="34"/>
  <c r="U499" i="34"/>
  <c r="U531" i="34"/>
  <c r="U550" i="34"/>
  <c r="U555" i="34"/>
  <c r="U572" i="34"/>
  <c r="V116" i="34"/>
  <c r="V138" i="34"/>
  <c r="V173" i="34"/>
  <c r="V193" i="34"/>
  <c r="V248" i="34"/>
  <c r="V267" i="34"/>
  <c r="V287" i="34"/>
  <c r="V310" i="34"/>
  <c r="V414" i="34"/>
  <c r="V435" i="34"/>
  <c r="V453" i="34"/>
  <c r="V465" i="34"/>
  <c r="V473" i="34"/>
  <c r="V499" i="34"/>
  <c r="V531" i="34"/>
  <c r="V550" i="34"/>
  <c r="V555" i="34"/>
  <c r="V572" i="34"/>
  <c r="W116" i="34"/>
  <c r="W138" i="34"/>
  <c r="W173" i="34"/>
  <c r="W193" i="34"/>
  <c r="W248" i="34"/>
  <c r="W267" i="34"/>
  <c r="W287" i="34"/>
  <c r="W310" i="34"/>
  <c r="W414" i="34"/>
  <c r="W435" i="34"/>
  <c r="W453" i="34"/>
  <c r="W465" i="34"/>
  <c r="W473" i="34"/>
  <c r="W499" i="34"/>
  <c r="W531" i="34"/>
  <c r="W550" i="34"/>
  <c r="W555" i="34"/>
  <c r="W572" i="34"/>
  <c r="X116" i="34"/>
  <c r="X138" i="34"/>
  <c r="X173" i="34"/>
  <c r="X193" i="34"/>
  <c r="X248" i="34"/>
  <c r="X267" i="34"/>
  <c r="X287" i="34"/>
  <c r="X310" i="34"/>
  <c r="X414" i="34"/>
  <c r="X435" i="34"/>
  <c r="X453" i="34"/>
  <c r="X465" i="34"/>
  <c r="X473" i="34"/>
  <c r="X499" i="34"/>
  <c r="X531" i="34"/>
  <c r="X550" i="34"/>
  <c r="X555" i="34"/>
  <c r="X572" i="34"/>
  <c r="Y116" i="34"/>
  <c r="Y138" i="34"/>
  <c r="Y173" i="34"/>
  <c r="Y193" i="34"/>
  <c r="Y248" i="34"/>
  <c r="Y267" i="34"/>
  <c r="Y287" i="34"/>
  <c r="Y310" i="34"/>
  <c r="Y414" i="34"/>
  <c r="Y435" i="34"/>
  <c r="Y453" i="34"/>
  <c r="Y465" i="34"/>
  <c r="Y473" i="34"/>
  <c r="Y499" i="34"/>
  <c r="Y531" i="34"/>
  <c r="Y550" i="34"/>
  <c r="Y555" i="34"/>
  <c r="Y572" i="34"/>
  <c r="Z116" i="34"/>
  <c r="Z138" i="34"/>
  <c r="Z173" i="34"/>
  <c r="Z193" i="34"/>
  <c r="Z248" i="34"/>
  <c r="Z267" i="34"/>
  <c r="Z287" i="34"/>
  <c r="Z310" i="34"/>
  <c r="Z414" i="34"/>
  <c r="Z435" i="34"/>
  <c r="Z453" i="34"/>
  <c r="Z465" i="34"/>
  <c r="Z473" i="34"/>
  <c r="Z499" i="34"/>
  <c r="Z531" i="34"/>
  <c r="Z550" i="34"/>
  <c r="Z555" i="34"/>
  <c r="Z572" i="34"/>
  <c r="AA116" i="34"/>
  <c r="AA138" i="34"/>
  <c r="AA173" i="34"/>
  <c r="AA193" i="34"/>
  <c r="AA248" i="34"/>
  <c r="AA267" i="34"/>
  <c r="AA287" i="34"/>
  <c r="AA310" i="34"/>
  <c r="AA414" i="34"/>
  <c r="AA435" i="34"/>
  <c r="AA453" i="34"/>
  <c r="AA465" i="34"/>
  <c r="AA473" i="34"/>
  <c r="AA499" i="34"/>
  <c r="AA531" i="34"/>
  <c r="AA550" i="34"/>
  <c r="AA555" i="34"/>
  <c r="AA572" i="34"/>
  <c r="AB116" i="34"/>
  <c r="AB138" i="34"/>
  <c r="AB173" i="34"/>
  <c r="AB193" i="34"/>
  <c r="AB248" i="34"/>
  <c r="AB267" i="34"/>
  <c r="AB287" i="34"/>
  <c r="AB310" i="34"/>
  <c r="AB414" i="34"/>
  <c r="AB435" i="34"/>
  <c r="AB453" i="34"/>
  <c r="AB465" i="34"/>
  <c r="AB473" i="34"/>
  <c r="AB499" i="34"/>
  <c r="AB531" i="34"/>
  <c r="AB550" i="34"/>
  <c r="AB555" i="34"/>
  <c r="AB572" i="34"/>
  <c r="AC116" i="34"/>
  <c r="AC138" i="34"/>
  <c r="AC173" i="34"/>
  <c r="AC193" i="34"/>
  <c r="AC248" i="34"/>
  <c r="AC267" i="34"/>
  <c r="AC287" i="34"/>
  <c r="AC310" i="34"/>
  <c r="AC414" i="34"/>
  <c r="AC435" i="34"/>
  <c r="AC453" i="34"/>
  <c r="AC465" i="34"/>
  <c r="AC473" i="34"/>
  <c r="AC499" i="34"/>
  <c r="AC531" i="34"/>
  <c r="AC550" i="34"/>
  <c r="AC555" i="34"/>
  <c r="AC572" i="34"/>
  <c r="AD116" i="34"/>
  <c r="AD138" i="34"/>
  <c r="AD173" i="34"/>
  <c r="AD193" i="34"/>
  <c r="AD248" i="34"/>
  <c r="AD267" i="34"/>
  <c r="AD287" i="34"/>
  <c r="AD310" i="34"/>
  <c r="AD414" i="34"/>
  <c r="AD435" i="34"/>
  <c r="AD453" i="34"/>
  <c r="AD465" i="34"/>
  <c r="AD473" i="34"/>
  <c r="AD499" i="34"/>
  <c r="AD531" i="34"/>
  <c r="AD550" i="34"/>
  <c r="AD555" i="34"/>
  <c r="AD572" i="34"/>
  <c r="AE116" i="34"/>
  <c r="AE138" i="34"/>
  <c r="AE173" i="34"/>
  <c r="AE193" i="34"/>
  <c r="AE248" i="34"/>
  <c r="AE267" i="34"/>
  <c r="AE287" i="34"/>
  <c r="AE310" i="34"/>
  <c r="AE414" i="34"/>
  <c r="AE435" i="34"/>
  <c r="AE453" i="34"/>
  <c r="AE465" i="34"/>
  <c r="AE473" i="34"/>
  <c r="AE499" i="34"/>
  <c r="AE531" i="34"/>
  <c r="AE550" i="34"/>
  <c r="AE555" i="34"/>
  <c r="AE572" i="34"/>
  <c r="AF116" i="34"/>
  <c r="AF138" i="34"/>
  <c r="AF173" i="34"/>
  <c r="AF193" i="34"/>
  <c r="AF248" i="34"/>
  <c r="AF267" i="34"/>
  <c r="AF287" i="34"/>
  <c r="AF310" i="34"/>
  <c r="AF414" i="34"/>
  <c r="AF435" i="34"/>
  <c r="AF453" i="34"/>
  <c r="AF465" i="34"/>
  <c r="AF473" i="34"/>
  <c r="AF499" i="34"/>
  <c r="AF531" i="34"/>
  <c r="AF550" i="34"/>
  <c r="AF555" i="34"/>
  <c r="AF572" i="34"/>
  <c r="AG116" i="34"/>
  <c r="AG138" i="34"/>
  <c r="AG173" i="34"/>
  <c r="AG193" i="34"/>
  <c r="AG248" i="34"/>
  <c r="AG267" i="34"/>
  <c r="AG287" i="34"/>
  <c r="AG310" i="34"/>
  <c r="AG414" i="34"/>
  <c r="AG435" i="34"/>
  <c r="AG453" i="34"/>
  <c r="AG465" i="34"/>
  <c r="AG473" i="34"/>
  <c r="AG499" i="34"/>
  <c r="AG531" i="34"/>
  <c r="AG550" i="34"/>
  <c r="AG555" i="34"/>
  <c r="AG572" i="34"/>
  <c r="D130" i="34"/>
  <c r="D131" i="34"/>
  <c r="D133" i="34"/>
  <c r="D157" i="34"/>
  <c r="D177" i="34"/>
  <c r="D183" i="34"/>
  <c r="D201" i="34"/>
  <c r="D239" i="34"/>
  <c r="D250" i="34"/>
  <c r="D257" i="34"/>
  <c r="D263" i="34"/>
  <c r="D323" i="34"/>
  <c r="D328" i="34"/>
  <c r="D340" i="34"/>
  <c r="D343" i="34"/>
  <c r="D345" i="34"/>
  <c r="D354" i="34"/>
  <c r="D395" i="34"/>
  <c r="D416" i="34"/>
  <c r="D426" i="34"/>
  <c r="D437" i="34"/>
  <c r="D456" i="34"/>
  <c r="D459" i="34"/>
  <c r="D460" i="34"/>
  <c r="D463" i="34"/>
  <c r="D474" i="34"/>
  <c r="D484" i="34"/>
  <c r="D485" i="34"/>
  <c r="D489" i="34"/>
  <c r="D491" i="34"/>
  <c r="D494" i="34"/>
  <c r="D507" i="34"/>
  <c r="D526" i="34"/>
  <c r="D549" i="34"/>
  <c r="D564" i="34"/>
  <c r="O130" i="34"/>
  <c r="O131" i="34"/>
  <c r="O133" i="34"/>
  <c r="O157" i="34"/>
  <c r="O177" i="34"/>
  <c r="O183" i="34"/>
  <c r="O201" i="34"/>
  <c r="O239" i="34"/>
  <c r="O250" i="34"/>
  <c r="O257" i="34"/>
  <c r="O263" i="34"/>
  <c r="O323" i="34"/>
  <c r="O328" i="34"/>
  <c r="O340" i="34"/>
  <c r="O343" i="34"/>
  <c r="O345" i="34"/>
  <c r="O354" i="34"/>
  <c r="O395" i="34"/>
  <c r="O416" i="34"/>
  <c r="O426" i="34"/>
  <c r="O437" i="34"/>
  <c r="O456" i="34"/>
  <c r="O459" i="34"/>
  <c r="O460" i="34"/>
  <c r="O463" i="34"/>
  <c r="O474" i="34"/>
  <c r="O484" i="34"/>
  <c r="O485" i="34"/>
  <c r="O489" i="34"/>
  <c r="O491" i="34"/>
  <c r="O494" i="34"/>
  <c r="O507" i="34"/>
  <c r="O526" i="34"/>
  <c r="O549" i="34"/>
  <c r="O564" i="34"/>
  <c r="P130" i="34"/>
  <c r="P131" i="34"/>
  <c r="P133" i="34"/>
  <c r="P157" i="34"/>
  <c r="P177" i="34"/>
  <c r="P183" i="34"/>
  <c r="P201" i="34"/>
  <c r="P239" i="34"/>
  <c r="P250" i="34"/>
  <c r="P257" i="34"/>
  <c r="P263" i="34"/>
  <c r="P323" i="34"/>
  <c r="P328" i="34"/>
  <c r="P340" i="34"/>
  <c r="P343" i="34"/>
  <c r="P345" i="34"/>
  <c r="P354" i="34"/>
  <c r="P395" i="34"/>
  <c r="P416" i="34"/>
  <c r="P426" i="34"/>
  <c r="P437" i="34"/>
  <c r="P456" i="34"/>
  <c r="P459" i="34"/>
  <c r="P460" i="34"/>
  <c r="P463" i="34"/>
  <c r="P474" i="34"/>
  <c r="P484" i="34"/>
  <c r="P485" i="34"/>
  <c r="P489" i="34"/>
  <c r="P491" i="34"/>
  <c r="P494" i="34"/>
  <c r="P507" i="34"/>
  <c r="P526" i="34"/>
  <c r="P549" i="34"/>
  <c r="P564" i="34"/>
  <c r="Q130" i="34"/>
  <c r="Q131" i="34"/>
  <c r="Q133" i="34"/>
  <c r="Q157" i="34"/>
  <c r="Q177" i="34"/>
  <c r="Q183" i="34"/>
  <c r="Q201" i="34"/>
  <c r="Q239" i="34"/>
  <c r="Q250" i="34"/>
  <c r="Q257" i="34"/>
  <c r="Q263" i="34"/>
  <c r="Q323" i="34"/>
  <c r="Q328" i="34"/>
  <c r="Q340" i="34"/>
  <c r="Q343" i="34"/>
  <c r="Q345" i="34"/>
  <c r="Q354" i="34"/>
  <c r="Q395" i="34"/>
  <c r="Q416" i="34"/>
  <c r="Q426" i="34"/>
  <c r="Q437" i="34"/>
  <c r="Q456" i="34"/>
  <c r="Q459" i="34"/>
  <c r="Q460" i="34"/>
  <c r="Q463" i="34"/>
  <c r="Q474" i="34"/>
  <c r="Q484" i="34"/>
  <c r="Q485" i="34"/>
  <c r="Q489" i="34"/>
  <c r="Q491" i="34"/>
  <c r="Q494" i="34"/>
  <c r="Q507" i="34"/>
  <c r="Q526" i="34"/>
  <c r="Q549" i="34"/>
  <c r="Q564" i="34"/>
  <c r="U130" i="34"/>
  <c r="U131" i="34"/>
  <c r="U133" i="34"/>
  <c r="U157" i="34"/>
  <c r="U177" i="34"/>
  <c r="U183" i="34"/>
  <c r="U201" i="34"/>
  <c r="U239" i="34"/>
  <c r="U250" i="34"/>
  <c r="U257" i="34"/>
  <c r="U263" i="34"/>
  <c r="U323" i="34"/>
  <c r="U328" i="34"/>
  <c r="U340" i="34"/>
  <c r="U343" i="34"/>
  <c r="U345" i="34"/>
  <c r="U354" i="34"/>
  <c r="U395" i="34"/>
  <c r="U416" i="34"/>
  <c r="U426" i="34"/>
  <c r="U437" i="34"/>
  <c r="U456" i="34"/>
  <c r="U459" i="34"/>
  <c r="U460" i="34"/>
  <c r="U463" i="34"/>
  <c r="U474" i="34"/>
  <c r="U484" i="34"/>
  <c r="U485" i="34"/>
  <c r="U489" i="34"/>
  <c r="U491" i="34"/>
  <c r="U494" i="34"/>
  <c r="U507" i="34"/>
  <c r="U526" i="34"/>
  <c r="U549" i="34"/>
  <c r="U564" i="34"/>
  <c r="V130" i="34"/>
  <c r="V131" i="34"/>
  <c r="V133" i="34"/>
  <c r="V157" i="34"/>
  <c r="V177" i="34"/>
  <c r="V183" i="34"/>
  <c r="V201" i="34"/>
  <c r="V239" i="34"/>
  <c r="V250" i="34"/>
  <c r="V257" i="34"/>
  <c r="V263" i="34"/>
  <c r="V323" i="34"/>
  <c r="V328" i="34"/>
  <c r="V340" i="34"/>
  <c r="V343" i="34"/>
  <c r="V345" i="34"/>
  <c r="V354" i="34"/>
  <c r="V395" i="34"/>
  <c r="V416" i="34"/>
  <c r="V426" i="34"/>
  <c r="V437" i="34"/>
  <c r="V456" i="34"/>
  <c r="V459" i="34"/>
  <c r="V460" i="34"/>
  <c r="V463" i="34"/>
  <c r="V474" i="34"/>
  <c r="V484" i="34"/>
  <c r="V485" i="34"/>
  <c r="V489" i="34"/>
  <c r="V491" i="34"/>
  <c r="V494" i="34"/>
  <c r="V507" i="34"/>
  <c r="V526" i="34"/>
  <c r="V549" i="34"/>
  <c r="V564" i="34"/>
  <c r="W130" i="34"/>
  <c r="W131" i="34"/>
  <c r="W133" i="34"/>
  <c r="W157" i="34"/>
  <c r="W177" i="34"/>
  <c r="W183" i="34"/>
  <c r="W201" i="34"/>
  <c r="W239" i="34"/>
  <c r="W250" i="34"/>
  <c r="W257" i="34"/>
  <c r="W263" i="34"/>
  <c r="W323" i="34"/>
  <c r="W328" i="34"/>
  <c r="W340" i="34"/>
  <c r="W343" i="34"/>
  <c r="W345" i="34"/>
  <c r="W354" i="34"/>
  <c r="W395" i="34"/>
  <c r="W416" i="34"/>
  <c r="W426" i="34"/>
  <c r="W437" i="34"/>
  <c r="W456" i="34"/>
  <c r="W459" i="34"/>
  <c r="W460" i="34"/>
  <c r="W463" i="34"/>
  <c r="W474" i="34"/>
  <c r="W484" i="34"/>
  <c r="W485" i="34"/>
  <c r="W489" i="34"/>
  <c r="W491" i="34"/>
  <c r="W494" i="34"/>
  <c r="W507" i="34"/>
  <c r="W526" i="34"/>
  <c r="W549" i="34"/>
  <c r="W564" i="34"/>
  <c r="X130" i="34"/>
  <c r="X131" i="34"/>
  <c r="X133" i="34"/>
  <c r="X157" i="34"/>
  <c r="X177" i="34"/>
  <c r="X183" i="34"/>
  <c r="X201" i="34"/>
  <c r="X239" i="34"/>
  <c r="X250" i="34"/>
  <c r="X257" i="34"/>
  <c r="X263" i="34"/>
  <c r="X323" i="34"/>
  <c r="X328" i="34"/>
  <c r="X340" i="34"/>
  <c r="X343" i="34"/>
  <c r="X345" i="34"/>
  <c r="X354" i="34"/>
  <c r="X395" i="34"/>
  <c r="X416" i="34"/>
  <c r="X426" i="34"/>
  <c r="X437" i="34"/>
  <c r="X456" i="34"/>
  <c r="X459" i="34"/>
  <c r="X460" i="34"/>
  <c r="X463" i="34"/>
  <c r="X474" i="34"/>
  <c r="X484" i="34"/>
  <c r="X485" i="34"/>
  <c r="X489" i="34"/>
  <c r="X491" i="34"/>
  <c r="X494" i="34"/>
  <c r="X507" i="34"/>
  <c r="X526" i="34"/>
  <c r="X549" i="34"/>
  <c r="X564" i="34"/>
  <c r="Y130" i="34"/>
  <c r="Y131" i="34"/>
  <c r="Y133" i="34"/>
  <c r="Y157" i="34"/>
  <c r="Y177" i="34"/>
  <c r="Y183" i="34"/>
  <c r="Y201" i="34"/>
  <c r="Y239" i="34"/>
  <c r="Y250" i="34"/>
  <c r="Y257" i="34"/>
  <c r="Y263" i="34"/>
  <c r="Y323" i="34"/>
  <c r="Y328" i="34"/>
  <c r="Y340" i="34"/>
  <c r="Y343" i="34"/>
  <c r="Y345" i="34"/>
  <c r="Y354" i="34"/>
  <c r="Y395" i="34"/>
  <c r="Y416" i="34"/>
  <c r="Y426" i="34"/>
  <c r="Y437" i="34"/>
  <c r="Y456" i="34"/>
  <c r="Y459" i="34"/>
  <c r="Y460" i="34"/>
  <c r="Y463" i="34"/>
  <c r="Y474" i="34"/>
  <c r="Y484" i="34"/>
  <c r="Y485" i="34"/>
  <c r="Y489" i="34"/>
  <c r="Y491" i="34"/>
  <c r="Y494" i="34"/>
  <c r="Y507" i="34"/>
  <c r="Y526" i="34"/>
  <c r="Y549" i="34"/>
  <c r="Y564" i="34"/>
  <c r="Z130" i="34"/>
  <c r="Z131" i="34"/>
  <c r="Z133" i="34"/>
  <c r="Z157" i="34"/>
  <c r="Z177" i="34"/>
  <c r="Z183" i="34"/>
  <c r="Z201" i="34"/>
  <c r="Z239" i="34"/>
  <c r="Z250" i="34"/>
  <c r="Z257" i="34"/>
  <c r="Z263" i="34"/>
  <c r="Z323" i="34"/>
  <c r="Z328" i="34"/>
  <c r="Z340" i="34"/>
  <c r="Z343" i="34"/>
  <c r="Z345" i="34"/>
  <c r="Z354" i="34"/>
  <c r="Z395" i="34"/>
  <c r="Z416" i="34"/>
  <c r="Z426" i="34"/>
  <c r="Z437" i="34"/>
  <c r="Z456" i="34"/>
  <c r="Z459" i="34"/>
  <c r="Z460" i="34"/>
  <c r="Z463" i="34"/>
  <c r="Z474" i="34"/>
  <c r="Z484" i="34"/>
  <c r="Z485" i="34"/>
  <c r="Z489" i="34"/>
  <c r="Z491" i="34"/>
  <c r="Z494" i="34"/>
  <c r="Z507" i="34"/>
  <c r="Z526" i="34"/>
  <c r="Z549" i="34"/>
  <c r="Z564" i="34"/>
  <c r="AA130" i="34"/>
  <c r="AA131" i="34"/>
  <c r="AA133" i="34"/>
  <c r="AA157" i="34"/>
  <c r="AA177" i="34"/>
  <c r="AA183" i="34"/>
  <c r="AA201" i="34"/>
  <c r="AA239" i="34"/>
  <c r="AA250" i="34"/>
  <c r="AA257" i="34"/>
  <c r="AA263" i="34"/>
  <c r="AA323" i="34"/>
  <c r="AA328" i="34"/>
  <c r="AA340" i="34"/>
  <c r="AA343" i="34"/>
  <c r="AA345" i="34"/>
  <c r="AA354" i="34"/>
  <c r="AA395" i="34"/>
  <c r="AA416" i="34"/>
  <c r="AA426" i="34"/>
  <c r="AA437" i="34"/>
  <c r="AA456" i="34"/>
  <c r="AA459" i="34"/>
  <c r="AA460" i="34"/>
  <c r="AA463" i="34"/>
  <c r="AA474" i="34"/>
  <c r="AA484" i="34"/>
  <c r="AA485" i="34"/>
  <c r="AA489" i="34"/>
  <c r="AA491" i="34"/>
  <c r="AA494" i="34"/>
  <c r="AA507" i="34"/>
  <c r="AA526" i="34"/>
  <c r="AA549" i="34"/>
  <c r="AA564" i="34"/>
  <c r="AB130" i="34"/>
  <c r="AB131" i="34"/>
  <c r="AB133" i="34"/>
  <c r="AB157" i="34"/>
  <c r="AB177" i="34"/>
  <c r="AB183" i="34"/>
  <c r="AB201" i="34"/>
  <c r="AB239" i="34"/>
  <c r="AB250" i="34"/>
  <c r="AB257" i="34"/>
  <c r="AB263" i="34"/>
  <c r="AB323" i="34"/>
  <c r="AB328" i="34"/>
  <c r="AB340" i="34"/>
  <c r="AB343" i="34"/>
  <c r="AB345" i="34"/>
  <c r="AB354" i="34"/>
  <c r="AB395" i="34"/>
  <c r="AB416" i="34"/>
  <c r="AB426" i="34"/>
  <c r="AB437" i="34"/>
  <c r="AB456" i="34"/>
  <c r="AB459" i="34"/>
  <c r="AB460" i="34"/>
  <c r="AB463" i="34"/>
  <c r="AB474" i="34"/>
  <c r="AB484" i="34"/>
  <c r="AB485" i="34"/>
  <c r="AB489" i="34"/>
  <c r="AB491" i="34"/>
  <c r="AB494" i="34"/>
  <c r="AB507" i="34"/>
  <c r="AB526" i="34"/>
  <c r="AB549" i="34"/>
  <c r="AB564" i="34"/>
  <c r="AC130" i="34"/>
  <c r="AC131" i="34"/>
  <c r="AC133" i="34"/>
  <c r="AC157" i="34"/>
  <c r="AC177" i="34"/>
  <c r="AC183" i="34"/>
  <c r="AC201" i="34"/>
  <c r="AC239" i="34"/>
  <c r="AC250" i="34"/>
  <c r="AC257" i="34"/>
  <c r="AC263" i="34"/>
  <c r="AC323" i="34"/>
  <c r="AC328" i="34"/>
  <c r="AC340" i="34"/>
  <c r="AC343" i="34"/>
  <c r="AC345" i="34"/>
  <c r="AC354" i="34"/>
  <c r="AC395" i="34"/>
  <c r="AC416" i="34"/>
  <c r="AC426" i="34"/>
  <c r="AC437" i="34"/>
  <c r="AC456" i="34"/>
  <c r="AC459" i="34"/>
  <c r="AC460" i="34"/>
  <c r="AC463" i="34"/>
  <c r="AC474" i="34"/>
  <c r="AC484" i="34"/>
  <c r="AC485" i="34"/>
  <c r="AC489" i="34"/>
  <c r="AC491" i="34"/>
  <c r="AC494" i="34"/>
  <c r="AC507" i="34"/>
  <c r="AC526" i="34"/>
  <c r="AC549" i="34"/>
  <c r="AC564" i="34"/>
  <c r="AD130" i="34"/>
  <c r="AD131" i="34"/>
  <c r="AD133" i="34"/>
  <c r="AD157" i="34"/>
  <c r="AD177" i="34"/>
  <c r="AD183" i="34"/>
  <c r="AD201" i="34"/>
  <c r="AD239" i="34"/>
  <c r="AD250" i="34"/>
  <c r="AD257" i="34"/>
  <c r="AD263" i="34"/>
  <c r="AD323" i="34"/>
  <c r="AD328" i="34"/>
  <c r="AD340" i="34"/>
  <c r="AD343" i="34"/>
  <c r="AD345" i="34"/>
  <c r="AD354" i="34"/>
  <c r="AD395" i="34"/>
  <c r="AD416" i="34"/>
  <c r="AD426" i="34"/>
  <c r="AD437" i="34"/>
  <c r="AD456" i="34"/>
  <c r="AD459" i="34"/>
  <c r="AD460" i="34"/>
  <c r="AD463" i="34"/>
  <c r="AD474" i="34"/>
  <c r="AD484" i="34"/>
  <c r="AD485" i="34"/>
  <c r="AD489" i="34"/>
  <c r="AD491" i="34"/>
  <c r="AD494" i="34"/>
  <c r="AD507" i="34"/>
  <c r="AD526" i="34"/>
  <c r="AD549" i="34"/>
  <c r="AD564" i="34"/>
  <c r="AE130" i="34"/>
  <c r="AE131" i="34"/>
  <c r="AE133" i="34"/>
  <c r="AE157" i="34"/>
  <c r="AE177" i="34"/>
  <c r="AE183" i="34"/>
  <c r="AE201" i="34"/>
  <c r="AE239" i="34"/>
  <c r="AE250" i="34"/>
  <c r="AE257" i="34"/>
  <c r="AE263" i="34"/>
  <c r="AE323" i="34"/>
  <c r="AE328" i="34"/>
  <c r="AE340" i="34"/>
  <c r="AE343" i="34"/>
  <c r="AE345" i="34"/>
  <c r="AE354" i="34"/>
  <c r="AE395" i="34"/>
  <c r="AE416" i="34"/>
  <c r="AE426" i="34"/>
  <c r="AE437" i="34"/>
  <c r="AE456" i="34"/>
  <c r="AE459" i="34"/>
  <c r="AE460" i="34"/>
  <c r="AE463" i="34"/>
  <c r="AE474" i="34"/>
  <c r="AE484" i="34"/>
  <c r="AE485" i="34"/>
  <c r="AE489" i="34"/>
  <c r="AE491" i="34"/>
  <c r="AE494" i="34"/>
  <c r="AE507" i="34"/>
  <c r="AE526" i="34"/>
  <c r="AE549" i="34"/>
  <c r="AE564" i="34"/>
  <c r="AF130" i="34"/>
  <c r="AF131" i="34"/>
  <c r="AF133" i="34"/>
  <c r="AF157" i="34"/>
  <c r="AF177" i="34"/>
  <c r="AF183" i="34"/>
  <c r="AF201" i="34"/>
  <c r="AF239" i="34"/>
  <c r="AF250" i="34"/>
  <c r="AF257" i="34"/>
  <c r="AF263" i="34"/>
  <c r="AF323" i="34"/>
  <c r="AF328" i="34"/>
  <c r="AF340" i="34"/>
  <c r="AF343" i="34"/>
  <c r="AF345" i="34"/>
  <c r="AF354" i="34"/>
  <c r="AF395" i="34"/>
  <c r="AF416" i="34"/>
  <c r="AF426" i="34"/>
  <c r="AF437" i="34"/>
  <c r="AF456" i="34"/>
  <c r="AF459" i="34"/>
  <c r="AF460" i="34"/>
  <c r="AF463" i="34"/>
  <c r="AF474" i="34"/>
  <c r="AF484" i="34"/>
  <c r="AF485" i="34"/>
  <c r="AF489" i="34"/>
  <c r="AF491" i="34"/>
  <c r="AF494" i="34"/>
  <c r="AF507" i="34"/>
  <c r="AF526" i="34"/>
  <c r="AF549" i="34"/>
  <c r="AF564" i="34"/>
  <c r="AG130" i="34"/>
  <c r="AG131" i="34"/>
  <c r="AG133" i="34"/>
  <c r="AG157" i="34"/>
  <c r="AG177" i="34"/>
  <c r="AG183" i="34"/>
  <c r="AG201" i="34"/>
  <c r="AG239" i="34"/>
  <c r="AG250" i="34"/>
  <c r="AG257" i="34"/>
  <c r="AG263" i="34"/>
  <c r="AG323" i="34"/>
  <c r="AG328" i="34"/>
  <c r="AG340" i="34"/>
  <c r="AG343" i="34"/>
  <c r="AG345" i="34"/>
  <c r="AG354" i="34"/>
  <c r="AG395" i="34"/>
  <c r="AG416" i="34"/>
  <c r="AG426" i="34"/>
  <c r="AG437" i="34"/>
  <c r="AG456" i="34"/>
  <c r="AG459" i="34"/>
  <c r="AG460" i="34"/>
  <c r="AG463" i="34"/>
  <c r="AG474" i="34"/>
  <c r="AG484" i="34"/>
  <c r="AG485" i="34"/>
  <c r="AG489" i="34"/>
  <c r="AG491" i="34"/>
  <c r="AG494" i="34"/>
  <c r="AG507" i="34"/>
  <c r="AG526" i="34"/>
  <c r="AG549" i="34"/>
  <c r="AG564" i="34"/>
  <c r="D87" i="34"/>
  <c r="D92" i="34"/>
  <c r="D114" i="34"/>
  <c r="D179" i="34"/>
  <c r="D221" i="34"/>
  <c r="D255" i="34"/>
  <c r="D293" i="34"/>
  <c r="D320" i="34"/>
  <c r="D358" i="34"/>
  <c r="D406" i="34"/>
  <c r="D513" i="34"/>
  <c r="D540" i="34"/>
  <c r="D560" i="34"/>
  <c r="O87" i="34"/>
  <c r="O92" i="34"/>
  <c r="O114" i="34"/>
  <c r="O179" i="34"/>
  <c r="O221" i="34"/>
  <c r="O255" i="34"/>
  <c r="O293" i="34"/>
  <c r="O320" i="34"/>
  <c r="O358" i="34"/>
  <c r="O406" i="34"/>
  <c r="O513" i="34"/>
  <c r="O540" i="34"/>
  <c r="O560" i="34"/>
  <c r="P87" i="34"/>
  <c r="P92" i="34"/>
  <c r="P114" i="34"/>
  <c r="P179" i="34"/>
  <c r="P221" i="34"/>
  <c r="P255" i="34"/>
  <c r="P293" i="34"/>
  <c r="P320" i="34"/>
  <c r="P358" i="34"/>
  <c r="P406" i="34"/>
  <c r="P513" i="34"/>
  <c r="P540" i="34"/>
  <c r="P560" i="34"/>
  <c r="Q87" i="34"/>
  <c r="Q92" i="34"/>
  <c r="Q114" i="34"/>
  <c r="Q179" i="34"/>
  <c r="Q221" i="34"/>
  <c r="Q255" i="34"/>
  <c r="Q293" i="34"/>
  <c r="Q320" i="34"/>
  <c r="Q358" i="34"/>
  <c r="Q406" i="34"/>
  <c r="Q513" i="34"/>
  <c r="Q540" i="34"/>
  <c r="Q560" i="34"/>
  <c r="U87" i="34"/>
  <c r="U92" i="34"/>
  <c r="U114" i="34"/>
  <c r="U179" i="34"/>
  <c r="U221" i="34"/>
  <c r="U255" i="34"/>
  <c r="U293" i="34"/>
  <c r="U320" i="34"/>
  <c r="U358" i="34"/>
  <c r="U406" i="34"/>
  <c r="U513" i="34"/>
  <c r="U540" i="34"/>
  <c r="U560" i="34"/>
  <c r="V87" i="34"/>
  <c r="V92" i="34"/>
  <c r="V114" i="34"/>
  <c r="V179" i="34"/>
  <c r="V221" i="34"/>
  <c r="V255" i="34"/>
  <c r="V293" i="34"/>
  <c r="V320" i="34"/>
  <c r="V358" i="34"/>
  <c r="V406" i="34"/>
  <c r="V513" i="34"/>
  <c r="V540" i="34"/>
  <c r="V560" i="34"/>
  <c r="W87" i="34"/>
  <c r="W92" i="34"/>
  <c r="W114" i="34"/>
  <c r="W179" i="34"/>
  <c r="W221" i="34"/>
  <c r="W255" i="34"/>
  <c r="W293" i="34"/>
  <c r="W320" i="34"/>
  <c r="W358" i="34"/>
  <c r="W406" i="34"/>
  <c r="W513" i="34"/>
  <c r="W540" i="34"/>
  <c r="W560" i="34"/>
  <c r="X87" i="34"/>
  <c r="X92" i="34"/>
  <c r="X114" i="34"/>
  <c r="X179" i="34"/>
  <c r="X221" i="34"/>
  <c r="X255" i="34"/>
  <c r="X293" i="34"/>
  <c r="X320" i="34"/>
  <c r="X358" i="34"/>
  <c r="X406" i="34"/>
  <c r="X513" i="34"/>
  <c r="X540" i="34"/>
  <c r="X560" i="34"/>
  <c r="Y87" i="34"/>
  <c r="Y92" i="34"/>
  <c r="Y114" i="34"/>
  <c r="Y179" i="34"/>
  <c r="Y221" i="34"/>
  <c r="Y255" i="34"/>
  <c r="Y293" i="34"/>
  <c r="Y320" i="34"/>
  <c r="Y358" i="34"/>
  <c r="Y406" i="34"/>
  <c r="Y513" i="34"/>
  <c r="Y540" i="34"/>
  <c r="Y560" i="34"/>
  <c r="Z87" i="34"/>
  <c r="Z92" i="34"/>
  <c r="Z114" i="34"/>
  <c r="Z179" i="34"/>
  <c r="Z221" i="34"/>
  <c r="Z255" i="34"/>
  <c r="Z293" i="34"/>
  <c r="Z320" i="34"/>
  <c r="Z358" i="34"/>
  <c r="Z406" i="34"/>
  <c r="Z513" i="34"/>
  <c r="Z540" i="34"/>
  <c r="Z560" i="34"/>
  <c r="AA87" i="34"/>
  <c r="AA92" i="34"/>
  <c r="AA114" i="34"/>
  <c r="AA179" i="34"/>
  <c r="AA221" i="34"/>
  <c r="AA255" i="34"/>
  <c r="AA293" i="34"/>
  <c r="AA320" i="34"/>
  <c r="AA358" i="34"/>
  <c r="AA406" i="34"/>
  <c r="AA513" i="34"/>
  <c r="AA540" i="34"/>
  <c r="AA560" i="34"/>
  <c r="AB87" i="34"/>
  <c r="AB92" i="34"/>
  <c r="AB114" i="34"/>
  <c r="AB179" i="34"/>
  <c r="AB221" i="34"/>
  <c r="AB255" i="34"/>
  <c r="AB293" i="34"/>
  <c r="AB320" i="34"/>
  <c r="AB358" i="34"/>
  <c r="AB406" i="34"/>
  <c r="AB513" i="34"/>
  <c r="AB540" i="34"/>
  <c r="AB560" i="34"/>
  <c r="AC87" i="34"/>
  <c r="AC92" i="34"/>
  <c r="AC114" i="34"/>
  <c r="AC179" i="34"/>
  <c r="AC221" i="34"/>
  <c r="AC255" i="34"/>
  <c r="AC293" i="34"/>
  <c r="AC320" i="34"/>
  <c r="AC358" i="34"/>
  <c r="AC406" i="34"/>
  <c r="AC513" i="34"/>
  <c r="AC540" i="34"/>
  <c r="AC560" i="34"/>
  <c r="AD87" i="34"/>
  <c r="AD92" i="34"/>
  <c r="AD114" i="34"/>
  <c r="AD179" i="34"/>
  <c r="AD221" i="34"/>
  <c r="AD255" i="34"/>
  <c r="AD293" i="34"/>
  <c r="AD320" i="34"/>
  <c r="AD358" i="34"/>
  <c r="AD406" i="34"/>
  <c r="AD513" i="34"/>
  <c r="AD540" i="34"/>
  <c r="AD560" i="34"/>
  <c r="AE87" i="34"/>
  <c r="AE92" i="34"/>
  <c r="AE114" i="34"/>
  <c r="AE179" i="34"/>
  <c r="AE221" i="34"/>
  <c r="AE255" i="34"/>
  <c r="AE293" i="34"/>
  <c r="AE320" i="34"/>
  <c r="AE358" i="34"/>
  <c r="AE406" i="34"/>
  <c r="AE513" i="34"/>
  <c r="AE540" i="34"/>
  <c r="AE560" i="34"/>
  <c r="AF87" i="34"/>
  <c r="AF92" i="34"/>
  <c r="AF114" i="34"/>
  <c r="AF179" i="34"/>
  <c r="AF221" i="34"/>
  <c r="AF255" i="34"/>
  <c r="AF293" i="34"/>
  <c r="AF320" i="34"/>
  <c r="AF358" i="34"/>
  <c r="AF406" i="34"/>
  <c r="AF513" i="34"/>
  <c r="AF540" i="34"/>
  <c r="AF560" i="34"/>
  <c r="AG87" i="34"/>
  <c r="AG92" i="34"/>
  <c r="AG114" i="34"/>
  <c r="AG179" i="34"/>
  <c r="AG221" i="34"/>
  <c r="AG255" i="34"/>
  <c r="AG293" i="34"/>
  <c r="AG320" i="34"/>
  <c r="AG358" i="34"/>
  <c r="AG406" i="34"/>
  <c r="AG513" i="34"/>
  <c r="AG540" i="34"/>
  <c r="AG560" i="34"/>
  <c r="D91" i="34"/>
  <c r="D94" i="34"/>
  <c r="D105" i="34"/>
  <c r="D120" i="34"/>
  <c r="D148" i="34"/>
  <c r="D164" i="34"/>
  <c r="D178" i="34"/>
  <c r="D188" i="34"/>
  <c r="D191" i="34"/>
  <c r="D192" i="34"/>
  <c r="D199" i="34"/>
  <c r="D203" i="34"/>
  <c r="D227" i="34"/>
  <c r="D237" i="34"/>
  <c r="D251" i="34"/>
  <c r="D256" i="34"/>
  <c r="D260" i="34"/>
  <c r="D270" i="34"/>
  <c r="D276" i="34"/>
  <c r="D283" i="34"/>
  <c r="D286" i="34"/>
  <c r="D297" i="34"/>
  <c r="D299" i="34"/>
  <c r="D313" i="34"/>
  <c r="D316" i="34"/>
  <c r="D324" i="34"/>
  <c r="D334" i="34"/>
  <c r="D344" i="34"/>
  <c r="D364" i="34"/>
  <c r="D372" i="34"/>
  <c r="D378" i="34"/>
  <c r="D388" i="34"/>
  <c r="D420" i="34"/>
  <c r="D432" i="34"/>
  <c r="D487" i="34"/>
  <c r="D511" i="34"/>
  <c r="D518" i="34"/>
  <c r="D524" i="34"/>
  <c r="D535" i="34"/>
  <c r="D539" i="34"/>
  <c r="D544" i="34"/>
  <c r="D545" i="34"/>
  <c r="D547" i="34"/>
  <c r="D551" i="34"/>
  <c r="D552" i="34"/>
  <c r="D553" i="34"/>
  <c r="D554" i="34"/>
  <c r="O91" i="34"/>
  <c r="O94" i="34"/>
  <c r="O105" i="34"/>
  <c r="O120" i="34"/>
  <c r="O148" i="34"/>
  <c r="O164" i="34"/>
  <c r="O178" i="34"/>
  <c r="O188" i="34"/>
  <c r="O191" i="34"/>
  <c r="O192" i="34"/>
  <c r="O199" i="34"/>
  <c r="O203" i="34"/>
  <c r="O227" i="34"/>
  <c r="O237" i="34"/>
  <c r="O251" i="34"/>
  <c r="O256" i="34"/>
  <c r="O260" i="34"/>
  <c r="O270" i="34"/>
  <c r="O276" i="34"/>
  <c r="O283" i="34"/>
  <c r="O286" i="34"/>
  <c r="O297" i="34"/>
  <c r="O299" i="34"/>
  <c r="O313" i="34"/>
  <c r="O316" i="34"/>
  <c r="O324" i="34"/>
  <c r="O334" i="34"/>
  <c r="O344" i="34"/>
  <c r="O364" i="34"/>
  <c r="O372" i="34"/>
  <c r="O378" i="34"/>
  <c r="O388" i="34"/>
  <c r="O420" i="34"/>
  <c r="O432" i="34"/>
  <c r="O487" i="34"/>
  <c r="O511" i="34"/>
  <c r="O518" i="34"/>
  <c r="O524" i="34"/>
  <c r="O535" i="34"/>
  <c r="O539" i="34"/>
  <c r="O544" i="34"/>
  <c r="O545" i="34"/>
  <c r="O547" i="34"/>
  <c r="O551" i="34"/>
  <c r="O552" i="34"/>
  <c r="O553" i="34"/>
  <c r="O554" i="34"/>
  <c r="P91" i="34"/>
  <c r="P94" i="34"/>
  <c r="P105" i="34"/>
  <c r="P120" i="34"/>
  <c r="P148" i="34"/>
  <c r="P164" i="34"/>
  <c r="P178" i="34"/>
  <c r="P188" i="34"/>
  <c r="P191" i="34"/>
  <c r="P192" i="34"/>
  <c r="P199" i="34"/>
  <c r="P203" i="34"/>
  <c r="P227" i="34"/>
  <c r="P237" i="34"/>
  <c r="P251" i="34"/>
  <c r="P256" i="34"/>
  <c r="P260" i="34"/>
  <c r="P270" i="34"/>
  <c r="P276" i="34"/>
  <c r="P283" i="34"/>
  <c r="P286" i="34"/>
  <c r="P297" i="34"/>
  <c r="P299" i="34"/>
  <c r="P313" i="34"/>
  <c r="P316" i="34"/>
  <c r="P324" i="34"/>
  <c r="P334" i="34"/>
  <c r="P344" i="34"/>
  <c r="P364" i="34"/>
  <c r="P372" i="34"/>
  <c r="P378" i="34"/>
  <c r="P388" i="34"/>
  <c r="P420" i="34"/>
  <c r="P432" i="34"/>
  <c r="P487" i="34"/>
  <c r="P511" i="34"/>
  <c r="P518" i="34"/>
  <c r="P524" i="34"/>
  <c r="P535" i="34"/>
  <c r="P539" i="34"/>
  <c r="P544" i="34"/>
  <c r="P545" i="34"/>
  <c r="P547" i="34"/>
  <c r="P551" i="34"/>
  <c r="P552" i="34"/>
  <c r="P553" i="34"/>
  <c r="P554" i="34"/>
  <c r="Q91" i="34"/>
  <c r="Q94" i="34"/>
  <c r="Q105" i="34"/>
  <c r="Q120" i="34"/>
  <c r="Q148" i="34"/>
  <c r="Q164" i="34"/>
  <c r="Q178" i="34"/>
  <c r="Q188" i="34"/>
  <c r="Q191" i="34"/>
  <c r="Q192" i="34"/>
  <c r="Q199" i="34"/>
  <c r="Q203" i="34"/>
  <c r="Q227" i="34"/>
  <c r="Q237" i="34"/>
  <c r="Q251" i="34"/>
  <c r="Q256" i="34"/>
  <c r="Q260" i="34"/>
  <c r="Q270" i="34"/>
  <c r="Q276" i="34"/>
  <c r="Q283" i="34"/>
  <c r="Q286" i="34"/>
  <c r="Q297" i="34"/>
  <c r="Q299" i="34"/>
  <c r="Q313" i="34"/>
  <c r="Q316" i="34"/>
  <c r="Q324" i="34"/>
  <c r="Q334" i="34"/>
  <c r="Q344" i="34"/>
  <c r="Q364" i="34"/>
  <c r="Q372" i="34"/>
  <c r="Q378" i="34"/>
  <c r="Q388" i="34"/>
  <c r="Q420" i="34"/>
  <c r="Q432" i="34"/>
  <c r="Q487" i="34"/>
  <c r="Q511" i="34"/>
  <c r="Q518" i="34"/>
  <c r="Q524" i="34"/>
  <c r="Q535" i="34"/>
  <c r="Q539" i="34"/>
  <c r="Q544" i="34"/>
  <c r="Q545" i="34"/>
  <c r="Q547" i="34"/>
  <c r="Q551" i="34"/>
  <c r="Q552" i="34"/>
  <c r="Q553" i="34"/>
  <c r="Q554" i="34"/>
  <c r="U91" i="34"/>
  <c r="U94" i="34"/>
  <c r="U105" i="34"/>
  <c r="U120" i="34"/>
  <c r="U148" i="34"/>
  <c r="U164" i="34"/>
  <c r="U178" i="34"/>
  <c r="U188" i="34"/>
  <c r="U191" i="34"/>
  <c r="U192" i="34"/>
  <c r="U199" i="34"/>
  <c r="U203" i="34"/>
  <c r="U227" i="34"/>
  <c r="U237" i="34"/>
  <c r="U251" i="34"/>
  <c r="U256" i="34"/>
  <c r="U260" i="34"/>
  <c r="U270" i="34"/>
  <c r="U276" i="34"/>
  <c r="U283" i="34"/>
  <c r="U286" i="34"/>
  <c r="U297" i="34"/>
  <c r="U299" i="34"/>
  <c r="U313" i="34"/>
  <c r="U316" i="34"/>
  <c r="U324" i="34"/>
  <c r="U334" i="34"/>
  <c r="U344" i="34"/>
  <c r="U364" i="34"/>
  <c r="U372" i="34"/>
  <c r="U378" i="34"/>
  <c r="U388" i="34"/>
  <c r="U420" i="34"/>
  <c r="U432" i="34"/>
  <c r="U487" i="34"/>
  <c r="U511" i="34"/>
  <c r="U518" i="34"/>
  <c r="U524" i="34"/>
  <c r="U535" i="34"/>
  <c r="U539" i="34"/>
  <c r="U544" i="34"/>
  <c r="U545" i="34"/>
  <c r="U547" i="34"/>
  <c r="U551" i="34"/>
  <c r="U552" i="34"/>
  <c r="U553" i="34"/>
  <c r="U554" i="34"/>
  <c r="V91" i="34"/>
  <c r="V94" i="34"/>
  <c r="V105" i="34"/>
  <c r="V120" i="34"/>
  <c r="V148" i="34"/>
  <c r="V164" i="34"/>
  <c r="V178" i="34"/>
  <c r="V188" i="34"/>
  <c r="V191" i="34"/>
  <c r="V192" i="34"/>
  <c r="V199" i="34"/>
  <c r="V203" i="34"/>
  <c r="V227" i="34"/>
  <c r="V237" i="34"/>
  <c r="V251" i="34"/>
  <c r="V256" i="34"/>
  <c r="V260" i="34"/>
  <c r="V270" i="34"/>
  <c r="V276" i="34"/>
  <c r="V283" i="34"/>
  <c r="V286" i="34"/>
  <c r="V297" i="34"/>
  <c r="V299" i="34"/>
  <c r="V313" i="34"/>
  <c r="V316" i="34"/>
  <c r="V324" i="34"/>
  <c r="V334" i="34"/>
  <c r="V344" i="34"/>
  <c r="V364" i="34"/>
  <c r="V372" i="34"/>
  <c r="V378" i="34"/>
  <c r="V388" i="34"/>
  <c r="V420" i="34"/>
  <c r="V432" i="34"/>
  <c r="V487" i="34"/>
  <c r="V511" i="34"/>
  <c r="V518" i="34"/>
  <c r="V524" i="34"/>
  <c r="V535" i="34"/>
  <c r="V539" i="34"/>
  <c r="V544" i="34"/>
  <c r="V545" i="34"/>
  <c r="V547" i="34"/>
  <c r="V551" i="34"/>
  <c r="V552" i="34"/>
  <c r="V553" i="34"/>
  <c r="V554" i="34"/>
  <c r="W91" i="34"/>
  <c r="W94" i="34"/>
  <c r="W105" i="34"/>
  <c r="W120" i="34"/>
  <c r="W148" i="34"/>
  <c r="W164" i="34"/>
  <c r="W178" i="34"/>
  <c r="W188" i="34"/>
  <c r="W191" i="34"/>
  <c r="W192" i="34"/>
  <c r="W199" i="34"/>
  <c r="W203" i="34"/>
  <c r="W227" i="34"/>
  <c r="W237" i="34"/>
  <c r="W251" i="34"/>
  <c r="W256" i="34"/>
  <c r="W260" i="34"/>
  <c r="W270" i="34"/>
  <c r="W276" i="34"/>
  <c r="W283" i="34"/>
  <c r="W286" i="34"/>
  <c r="W297" i="34"/>
  <c r="W299" i="34"/>
  <c r="W313" i="34"/>
  <c r="W316" i="34"/>
  <c r="W324" i="34"/>
  <c r="W334" i="34"/>
  <c r="W344" i="34"/>
  <c r="W364" i="34"/>
  <c r="W372" i="34"/>
  <c r="W378" i="34"/>
  <c r="W388" i="34"/>
  <c r="W420" i="34"/>
  <c r="W432" i="34"/>
  <c r="W487" i="34"/>
  <c r="W511" i="34"/>
  <c r="W518" i="34"/>
  <c r="W524" i="34"/>
  <c r="W535" i="34"/>
  <c r="W539" i="34"/>
  <c r="W544" i="34"/>
  <c r="W545" i="34"/>
  <c r="W547" i="34"/>
  <c r="W551" i="34"/>
  <c r="W552" i="34"/>
  <c r="W553" i="34"/>
  <c r="W554" i="34"/>
  <c r="X91" i="34"/>
  <c r="X94" i="34"/>
  <c r="X105" i="34"/>
  <c r="X120" i="34"/>
  <c r="X148" i="34"/>
  <c r="X164" i="34"/>
  <c r="X178" i="34"/>
  <c r="X188" i="34"/>
  <c r="X191" i="34"/>
  <c r="X192" i="34"/>
  <c r="X199" i="34"/>
  <c r="X203" i="34"/>
  <c r="X227" i="34"/>
  <c r="X237" i="34"/>
  <c r="X251" i="34"/>
  <c r="X256" i="34"/>
  <c r="X260" i="34"/>
  <c r="X270" i="34"/>
  <c r="X276" i="34"/>
  <c r="X283" i="34"/>
  <c r="X286" i="34"/>
  <c r="X297" i="34"/>
  <c r="X299" i="34"/>
  <c r="X313" i="34"/>
  <c r="X316" i="34"/>
  <c r="X324" i="34"/>
  <c r="X334" i="34"/>
  <c r="X344" i="34"/>
  <c r="X364" i="34"/>
  <c r="X372" i="34"/>
  <c r="X378" i="34"/>
  <c r="X388" i="34"/>
  <c r="X420" i="34"/>
  <c r="X432" i="34"/>
  <c r="X487" i="34"/>
  <c r="X511" i="34"/>
  <c r="X518" i="34"/>
  <c r="X524" i="34"/>
  <c r="X535" i="34"/>
  <c r="X539" i="34"/>
  <c r="X544" i="34"/>
  <c r="X545" i="34"/>
  <c r="X547" i="34"/>
  <c r="X551" i="34"/>
  <c r="X552" i="34"/>
  <c r="X553" i="34"/>
  <c r="X554" i="34"/>
  <c r="Y91" i="34"/>
  <c r="Y94" i="34"/>
  <c r="Y105" i="34"/>
  <c r="Y120" i="34"/>
  <c r="Y148" i="34"/>
  <c r="Y164" i="34"/>
  <c r="Y178" i="34"/>
  <c r="Y188" i="34"/>
  <c r="Y191" i="34"/>
  <c r="Y192" i="34"/>
  <c r="Y199" i="34"/>
  <c r="Y203" i="34"/>
  <c r="Y227" i="34"/>
  <c r="Y237" i="34"/>
  <c r="Y251" i="34"/>
  <c r="Y256" i="34"/>
  <c r="Y260" i="34"/>
  <c r="Y270" i="34"/>
  <c r="Y276" i="34"/>
  <c r="Y283" i="34"/>
  <c r="Y286" i="34"/>
  <c r="Y297" i="34"/>
  <c r="Y299" i="34"/>
  <c r="Y313" i="34"/>
  <c r="Y316" i="34"/>
  <c r="Y324" i="34"/>
  <c r="Y334" i="34"/>
  <c r="Y344" i="34"/>
  <c r="Y364" i="34"/>
  <c r="Y372" i="34"/>
  <c r="Y378" i="34"/>
  <c r="Y388" i="34"/>
  <c r="Y420" i="34"/>
  <c r="Y432" i="34"/>
  <c r="Y487" i="34"/>
  <c r="Y511" i="34"/>
  <c r="Y518" i="34"/>
  <c r="Y524" i="34"/>
  <c r="Y535" i="34"/>
  <c r="Y539" i="34"/>
  <c r="Y544" i="34"/>
  <c r="Y545" i="34"/>
  <c r="Y547" i="34"/>
  <c r="Y551" i="34"/>
  <c r="Y552" i="34"/>
  <c r="Y553" i="34"/>
  <c r="Y554" i="34"/>
  <c r="Z91" i="34"/>
  <c r="Z94" i="34"/>
  <c r="Z105" i="34"/>
  <c r="Z120" i="34"/>
  <c r="Z148" i="34"/>
  <c r="Z164" i="34"/>
  <c r="Z178" i="34"/>
  <c r="Z188" i="34"/>
  <c r="Z191" i="34"/>
  <c r="Z192" i="34"/>
  <c r="Z199" i="34"/>
  <c r="Z203" i="34"/>
  <c r="Z227" i="34"/>
  <c r="Z237" i="34"/>
  <c r="Z251" i="34"/>
  <c r="Z256" i="34"/>
  <c r="Z260" i="34"/>
  <c r="Z270" i="34"/>
  <c r="Z276" i="34"/>
  <c r="Z283" i="34"/>
  <c r="Z286" i="34"/>
  <c r="Z297" i="34"/>
  <c r="Z299" i="34"/>
  <c r="Z313" i="34"/>
  <c r="Z316" i="34"/>
  <c r="Z324" i="34"/>
  <c r="Z334" i="34"/>
  <c r="Z344" i="34"/>
  <c r="Z364" i="34"/>
  <c r="Z372" i="34"/>
  <c r="Z378" i="34"/>
  <c r="Z388" i="34"/>
  <c r="Z420" i="34"/>
  <c r="Z432" i="34"/>
  <c r="Z487" i="34"/>
  <c r="Z511" i="34"/>
  <c r="Z518" i="34"/>
  <c r="Z524" i="34"/>
  <c r="Z535" i="34"/>
  <c r="Z539" i="34"/>
  <c r="Z544" i="34"/>
  <c r="Z545" i="34"/>
  <c r="Z547" i="34"/>
  <c r="Z551" i="34"/>
  <c r="Z552" i="34"/>
  <c r="Z553" i="34"/>
  <c r="Z554" i="34"/>
  <c r="AA91" i="34"/>
  <c r="AA94" i="34"/>
  <c r="AA105" i="34"/>
  <c r="AA120" i="34"/>
  <c r="AA148" i="34"/>
  <c r="AA164" i="34"/>
  <c r="AA178" i="34"/>
  <c r="AA188" i="34"/>
  <c r="AA191" i="34"/>
  <c r="AA192" i="34"/>
  <c r="AA199" i="34"/>
  <c r="AA203" i="34"/>
  <c r="AA227" i="34"/>
  <c r="AA237" i="34"/>
  <c r="AA251" i="34"/>
  <c r="AA256" i="34"/>
  <c r="AA260" i="34"/>
  <c r="AA270" i="34"/>
  <c r="AA276" i="34"/>
  <c r="AA283" i="34"/>
  <c r="AA286" i="34"/>
  <c r="AA297" i="34"/>
  <c r="AA299" i="34"/>
  <c r="AA313" i="34"/>
  <c r="AA316" i="34"/>
  <c r="AA324" i="34"/>
  <c r="AA334" i="34"/>
  <c r="AA344" i="34"/>
  <c r="AA364" i="34"/>
  <c r="AA372" i="34"/>
  <c r="AA378" i="34"/>
  <c r="AA388" i="34"/>
  <c r="AA420" i="34"/>
  <c r="AA432" i="34"/>
  <c r="AA487" i="34"/>
  <c r="AA511" i="34"/>
  <c r="AA518" i="34"/>
  <c r="AA524" i="34"/>
  <c r="AA535" i="34"/>
  <c r="AA539" i="34"/>
  <c r="AA544" i="34"/>
  <c r="AA545" i="34"/>
  <c r="AA547" i="34"/>
  <c r="AA551" i="34"/>
  <c r="AA552" i="34"/>
  <c r="AA553" i="34"/>
  <c r="AA554" i="34"/>
  <c r="AB91" i="34"/>
  <c r="AB94" i="34"/>
  <c r="AB105" i="34"/>
  <c r="AB120" i="34"/>
  <c r="AB148" i="34"/>
  <c r="AB164" i="34"/>
  <c r="AB178" i="34"/>
  <c r="AB188" i="34"/>
  <c r="AB191" i="34"/>
  <c r="AB192" i="34"/>
  <c r="AB199" i="34"/>
  <c r="AB203" i="34"/>
  <c r="AB227" i="34"/>
  <c r="AB237" i="34"/>
  <c r="AB251" i="34"/>
  <c r="AB256" i="34"/>
  <c r="AB260" i="34"/>
  <c r="AB270" i="34"/>
  <c r="AB276" i="34"/>
  <c r="AB283" i="34"/>
  <c r="AB286" i="34"/>
  <c r="AB297" i="34"/>
  <c r="AB299" i="34"/>
  <c r="AB313" i="34"/>
  <c r="AB316" i="34"/>
  <c r="AB324" i="34"/>
  <c r="AB334" i="34"/>
  <c r="AB344" i="34"/>
  <c r="AB364" i="34"/>
  <c r="AB372" i="34"/>
  <c r="AB378" i="34"/>
  <c r="AB388" i="34"/>
  <c r="AB420" i="34"/>
  <c r="AB432" i="34"/>
  <c r="AB487" i="34"/>
  <c r="AB511" i="34"/>
  <c r="AB518" i="34"/>
  <c r="AB524" i="34"/>
  <c r="AB535" i="34"/>
  <c r="AB539" i="34"/>
  <c r="AB544" i="34"/>
  <c r="AB545" i="34"/>
  <c r="AB547" i="34"/>
  <c r="AB551" i="34"/>
  <c r="AB552" i="34"/>
  <c r="AB553" i="34"/>
  <c r="AB554" i="34"/>
  <c r="AC91" i="34"/>
  <c r="AC94" i="34"/>
  <c r="AC105" i="34"/>
  <c r="AC120" i="34"/>
  <c r="AC148" i="34"/>
  <c r="AC164" i="34"/>
  <c r="AC178" i="34"/>
  <c r="AC188" i="34"/>
  <c r="AC191" i="34"/>
  <c r="AC192" i="34"/>
  <c r="AC199" i="34"/>
  <c r="AC203" i="34"/>
  <c r="AC227" i="34"/>
  <c r="AC237" i="34"/>
  <c r="AC251" i="34"/>
  <c r="AC256" i="34"/>
  <c r="AC260" i="34"/>
  <c r="AC270" i="34"/>
  <c r="AC276" i="34"/>
  <c r="AC283" i="34"/>
  <c r="AC286" i="34"/>
  <c r="AC297" i="34"/>
  <c r="AC299" i="34"/>
  <c r="AC313" i="34"/>
  <c r="AC316" i="34"/>
  <c r="AC324" i="34"/>
  <c r="AC334" i="34"/>
  <c r="AC344" i="34"/>
  <c r="AC364" i="34"/>
  <c r="AC372" i="34"/>
  <c r="AC378" i="34"/>
  <c r="AC388" i="34"/>
  <c r="AC420" i="34"/>
  <c r="AC432" i="34"/>
  <c r="AC487" i="34"/>
  <c r="AC511" i="34"/>
  <c r="AC518" i="34"/>
  <c r="AC524" i="34"/>
  <c r="AC535" i="34"/>
  <c r="AC539" i="34"/>
  <c r="AC544" i="34"/>
  <c r="AC545" i="34"/>
  <c r="AC547" i="34"/>
  <c r="AC551" i="34"/>
  <c r="AC552" i="34"/>
  <c r="AC553" i="34"/>
  <c r="AC554" i="34"/>
  <c r="AD91" i="34"/>
  <c r="AD94" i="34"/>
  <c r="AD105" i="34"/>
  <c r="AD120" i="34"/>
  <c r="AD148" i="34"/>
  <c r="AD164" i="34"/>
  <c r="AD178" i="34"/>
  <c r="AD188" i="34"/>
  <c r="AD191" i="34"/>
  <c r="AD192" i="34"/>
  <c r="AD199" i="34"/>
  <c r="AD203" i="34"/>
  <c r="AD227" i="34"/>
  <c r="AD237" i="34"/>
  <c r="AD251" i="34"/>
  <c r="AD256" i="34"/>
  <c r="AD260" i="34"/>
  <c r="AD270" i="34"/>
  <c r="AD276" i="34"/>
  <c r="AD283" i="34"/>
  <c r="AD286" i="34"/>
  <c r="AD297" i="34"/>
  <c r="AD299" i="34"/>
  <c r="AD313" i="34"/>
  <c r="AD316" i="34"/>
  <c r="AD324" i="34"/>
  <c r="AD334" i="34"/>
  <c r="AD344" i="34"/>
  <c r="AD364" i="34"/>
  <c r="AD372" i="34"/>
  <c r="AD378" i="34"/>
  <c r="AD388" i="34"/>
  <c r="AD420" i="34"/>
  <c r="AD432" i="34"/>
  <c r="AD487" i="34"/>
  <c r="AD511" i="34"/>
  <c r="AD518" i="34"/>
  <c r="AD524" i="34"/>
  <c r="AD535" i="34"/>
  <c r="AD539" i="34"/>
  <c r="AD544" i="34"/>
  <c r="AD545" i="34"/>
  <c r="AD547" i="34"/>
  <c r="AD551" i="34"/>
  <c r="AD552" i="34"/>
  <c r="AD553" i="34"/>
  <c r="AD554" i="34"/>
  <c r="AE91" i="34"/>
  <c r="AE94" i="34"/>
  <c r="AE105" i="34"/>
  <c r="AE120" i="34"/>
  <c r="AE148" i="34"/>
  <c r="AE164" i="34"/>
  <c r="AE178" i="34"/>
  <c r="AE188" i="34"/>
  <c r="AE191" i="34"/>
  <c r="AE192" i="34"/>
  <c r="AE199" i="34"/>
  <c r="AE203" i="34"/>
  <c r="AE227" i="34"/>
  <c r="AE237" i="34"/>
  <c r="AE251" i="34"/>
  <c r="AE256" i="34"/>
  <c r="AE260" i="34"/>
  <c r="AE270" i="34"/>
  <c r="AE276" i="34"/>
  <c r="AE283" i="34"/>
  <c r="AE286" i="34"/>
  <c r="AE297" i="34"/>
  <c r="AE299" i="34"/>
  <c r="AE313" i="34"/>
  <c r="AE316" i="34"/>
  <c r="AE324" i="34"/>
  <c r="AE334" i="34"/>
  <c r="AE344" i="34"/>
  <c r="AE364" i="34"/>
  <c r="AE372" i="34"/>
  <c r="AE378" i="34"/>
  <c r="AE388" i="34"/>
  <c r="AE420" i="34"/>
  <c r="AE432" i="34"/>
  <c r="AE487" i="34"/>
  <c r="AE511" i="34"/>
  <c r="AE518" i="34"/>
  <c r="AE524" i="34"/>
  <c r="AE535" i="34"/>
  <c r="AE539" i="34"/>
  <c r="AE544" i="34"/>
  <c r="AE545" i="34"/>
  <c r="AE547" i="34"/>
  <c r="AE551" i="34"/>
  <c r="AE552" i="34"/>
  <c r="AE553" i="34"/>
  <c r="AE554" i="34"/>
  <c r="AF91" i="34"/>
  <c r="AF94" i="34"/>
  <c r="AF105" i="34"/>
  <c r="AF120" i="34"/>
  <c r="AF148" i="34"/>
  <c r="AF164" i="34"/>
  <c r="AF178" i="34"/>
  <c r="AF188" i="34"/>
  <c r="AF191" i="34"/>
  <c r="AF192" i="34"/>
  <c r="AF199" i="34"/>
  <c r="AF203" i="34"/>
  <c r="AF227" i="34"/>
  <c r="AF237" i="34"/>
  <c r="AF251" i="34"/>
  <c r="AF256" i="34"/>
  <c r="AF260" i="34"/>
  <c r="AF270" i="34"/>
  <c r="AF276" i="34"/>
  <c r="AF283" i="34"/>
  <c r="AF286" i="34"/>
  <c r="AF297" i="34"/>
  <c r="AF299" i="34"/>
  <c r="AF313" i="34"/>
  <c r="AF316" i="34"/>
  <c r="AF324" i="34"/>
  <c r="AF334" i="34"/>
  <c r="AF344" i="34"/>
  <c r="AF364" i="34"/>
  <c r="AF372" i="34"/>
  <c r="AF378" i="34"/>
  <c r="AF388" i="34"/>
  <c r="AF420" i="34"/>
  <c r="AF432" i="34"/>
  <c r="AF487" i="34"/>
  <c r="AF511" i="34"/>
  <c r="AF518" i="34"/>
  <c r="AF524" i="34"/>
  <c r="AF535" i="34"/>
  <c r="AF539" i="34"/>
  <c r="AF544" i="34"/>
  <c r="AF545" i="34"/>
  <c r="AF547" i="34"/>
  <c r="AF551" i="34"/>
  <c r="AF552" i="34"/>
  <c r="AF553" i="34"/>
  <c r="AF554" i="34"/>
  <c r="AG91" i="34"/>
  <c r="AG94" i="34"/>
  <c r="AG105" i="34"/>
  <c r="AG120" i="34"/>
  <c r="AG148" i="34"/>
  <c r="AG164" i="34"/>
  <c r="AG178" i="34"/>
  <c r="AG188" i="34"/>
  <c r="AG191" i="34"/>
  <c r="AG192" i="34"/>
  <c r="AG199" i="34"/>
  <c r="AG203" i="34"/>
  <c r="AG227" i="34"/>
  <c r="AG237" i="34"/>
  <c r="AG251" i="34"/>
  <c r="AG256" i="34"/>
  <c r="AG260" i="34"/>
  <c r="AG270" i="34"/>
  <c r="AG276" i="34"/>
  <c r="AG283" i="34"/>
  <c r="AG286" i="34"/>
  <c r="AG297" i="34"/>
  <c r="AG299" i="34"/>
  <c r="AG313" i="34"/>
  <c r="AG316" i="34"/>
  <c r="AG324" i="34"/>
  <c r="AG334" i="34"/>
  <c r="AG344" i="34"/>
  <c r="AG364" i="34"/>
  <c r="AG372" i="34"/>
  <c r="AG378" i="34"/>
  <c r="AG388" i="34"/>
  <c r="AG420" i="34"/>
  <c r="AG432" i="34"/>
  <c r="AG487" i="34"/>
  <c r="AG511" i="34"/>
  <c r="AG518" i="34"/>
  <c r="AG524" i="34"/>
  <c r="AG535" i="34"/>
  <c r="AG539" i="34"/>
  <c r="AG544" i="34"/>
  <c r="AG545" i="34"/>
  <c r="AG547" i="34"/>
  <c r="AG551" i="34"/>
  <c r="AG552" i="34"/>
  <c r="AG553" i="34"/>
  <c r="AG554" i="34"/>
  <c r="D113" i="34"/>
  <c r="D158" i="34"/>
  <c r="D166" i="34"/>
  <c r="D181" i="34"/>
  <c r="D195" i="34"/>
  <c r="D212" i="34"/>
  <c r="D242" i="34"/>
  <c r="D271" i="34"/>
  <c r="D278" i="34"/>
  <c r="D285" i="34"/>
  <c r="D306" i="34"/>
  <c r="D319" i="34"/>
  <c r="D349" i="34"/>
  <c r="D357" i="34"/>
  <c r="D382" i="34"/>
  <c r="D403" i="34"/>
  <c r="D454" i="34"/>
  <c r="D470" i="34"/>
  <c r="D488" i="34"/>
  <c r="D517" i="34"/>
  <c r="D522" i="34"/>
  <c r="O113" i="34"/>
  <c r="O158" i="34"/>
  <c r="O166" i="34"/>
  <c r="O181" i="34"/>
  <c r="O195" i="34"/>
  <c r="O212" i="34"/>
  <c r="O242" i="34"/>
  <c r="O271" i="34"/>
  <c r="O278" i="34"/>
  <c r="O285" i="34"/>
  <c r="O306" i="34"/>
  <c r="O319" i="34"/>
  <c r="O349" i="34"/>
  <c r="O357" i="34"/>
  <c r="O382" i="34"/>
  <c r="O403" i="34"/>
  <c r="O454" i="34"/>
  <c r="O470" i="34"/>
  <c r="O488" i="34"/>
  <c r="O517" i="34"/>
  <c r="O522" i="34"/>
  <c r="P113" i="34"/>
  <c r="P158" i="34"/>
  <c r="P166" i="34"/>
  <c r="P181" i="34"/>
  <c r="P195" i="34"/>
  <c r="P212" i="34"/>
  <c r="P242" i="34"/>
  <c r="P271" i="34"/>
  <c r="P278" i="34"/>
  <c r="P285" i="34"/>
  <c r="P306" i="34"/>
  <c r="P319" i="34"/>
  <c r="P349" i="34"/>
  <c r="P357" i="34"/>
  <c r="P382" i="34"/>
  <c r="P403" i="34"/>
  <c r="P454" i="34"/>
  <c r="P470" i="34"/>
  <c r="P488" i="34"/>
  <c r="P517" i="34"/>
  <c r="P522" i="34"/>
  <c r="Q113" i="34"/>
  <c r="Q158" i="34"/>
  <c r="Q166" i="34"/>
  <c r="Q181" i="34"/>
  <c r="Q195" i="34"/>
  <c r="Q212" i="34"/>
  <c r="Q242" i="34"/>
  <c r="Q271" i="34"/>
  <c r="Q278" i="34"/>
  <c r="Q285" i="34"/>
  <c r="Q306" i="34"/>
  <c r="Q319" i="34"/>
  <c r="Q349" i="34"/>
  <c r="Q357" i="34"/>
  <c r="Q382" i="34"/>
  <c r="Q403" i="34"/>
  <c r="Q454" i="34"/>
  <c r="Q470" i="34"/>
  <c r="Q488" i="34"/>
  <c r="Q517" i="34"/>
  <c r="Q522" i="34"/>
  <c r="U113" i="34"/>
  <c r="U158" i="34"/>
  <c r="U166" i="34"/>
  <c r="U181" i="34"/>
  <c r="U195" i="34"/>
  <c r="U212" i="34"/>
  <c r="U242" i="34"/>
  <c r="U271" i="34"/>
  <c r="U278" i="34"/>
  <c r="U285" i="34"/>
  <c r="U306" i="34"/>
  <c r="U319" i="34"/>
  <c r="U349" i="34"/>
  <c r="U357" i="34"/>
  <c r="U382" i="34"/>
  <c r="U403" i="34"/>
  <c r="U454" i="34"/>
  <c r="U470" i="34"/>
  <c r="U488" i="34"/>
  <c r="U517" i="34"/>
  <c r="U522" i="34"/>
  <c r="V113" i="34"/>
  <c r="V158" i="34"/>
  <c r="V166" i="34"/>
  <c r="V181" i="34"/>
  <c r="V195" i="34"/>
  <c r="V212" i="34"/>
  <c r="V242" i="34"/>
  <c r="V271" i="34"/>
  <c r="V278" i="34"/>
  <c r="V285" i="34"/>
  <c r="V306" i="34"/>
  <c r="V319" i="34"/>
  <c r="V349" i="34"/>
  <c r="V357" i="34"/>
  <c r="V382" i="34"/>
  <c r="V403" i="34"/>
  <c r="V454" i="34"/>
  <c r="V470" i="34"/>
  <c r="V488" i="34"/>
  <c r="V517" i="34"/>
  <c r="V522" i="34"/>
  <c r="W113" i="34"/>
  <c r="W158" i="34"/>
  <c r="W166" i="34"/>
  <c r="W181" i="34"/>
  <c r="W195" i="34"/>
  <c r="W212" i="34"/>
  <c r="W242" i="34"/>
  <c r="W271" i="34"/>
  <c r="W278" i="34"/>
  <c r="W285" i="34"/>
  <c r="W306" i="34"/>
  <c r="W319" i="34"/>
  <c r="W349" i="34"/>
  <c r="W357" i="34"/>
  <c r="W382" i="34"/>
  <c r="W403" i="34"/>
  <c r="W454" i="34"/>
  <c r="W470" i="34"/>
  <c r="W488" i="34"/>
  <c r="W517" i="34"/>
  <c r="W522" i="34"/>
  <c r="X113" i="34"/>
  <c r="X158" i="34"/>
  <c r="X166" i="34"/>
  <c r="X181" i="34"/>
  <c r="X195" i="34"/>
  <c r="X212" i="34"/>
  <c r="X242" i="34"/>
  <c r="X271" i="34"/>
  <c r="X278" i="34"/>
  <c r="X285" i="34"/>
  <c r="X306" i="34"/>
  <c r="X319" i="34"/>
  <c r="X349" i="34"/>
  <c r="X357" i="34"/>
  <c r="X382" i="34"/>
  <c r="X403" i="34"/>
  <c r="X454" i="34"/>
  <c r="X470" i="34"/>
  <c r="X488" i="34"/>
  <c r="X517" i="34"/>
  <c r="X522" i="34"/>
  <c r="Y113" i="34"/>
  <c r="Y158" i="34"/>
  <c r="Y166" i="34"/>
  <c r="Y181" i="34"/>
  <c r="Y195" i="34"/>
  <c r="Y212" i="34"/>
  <c r="Y242" i="34"/>
  <c r="Y271" i="34"/>
  <c r="Y278" i="34"/>
  <c r="Y285" i="34"/>
  <c r="Y306" i="34"/>
  <c r="Y319" i="34"/>
  <c r="Y349" i="34"/>
  <c r="Y357" i="34"/>
  <c r="Y382" i="34"/>
  <c r="Y403" i="34"/>
  <c r="Y454" i="34"/>
  <c r="Y470" i="34"/>
  <c r="Y488" i="34"/>
  <c r="Y517" i="34"/>
  <c r="Y522" i="34"/>
  <c r="Z113" i="34"/>
  <c r="Z158" i="34"/>
  <c r="Z166" i="34"/>
  <c r="Z181" i="34"/>
  <c r="Z195" i="34"/>
  <c r="Z212" i="34"/>
  <c r="Z242" i="34"/>
  <c r="Z271" i="34"/>
  <c r="Z278" i="34"/>
  <c r="Z285" i="34"/>
  <c r="Z306" i="34"/>
  <c r="Z319" i="34"/>
  <c r="Z349" i="34"/>
  <c r="Z357" i="34"/>
  <c r="Z382" i="34"/>
  <c r="Z403" i="34"/>
  <c r="Z454" i="34"/>
  <c r="Z470" i="34"/>
  <c r="Z488" i="34"/>
  <c r="Z517" i="34"/>
  <c r="Z522" i="34"/>
  <c r="AA113" i="34"/>
  <c r="AA158" i="34"/>
  <c r="AA166" i="34"/>
  <c r="AA181" i="34"/>
  <c r="AA195" i="34"/>
  <c r="AA212" i="34"/>
  <c r="AA242" i="34"/>
  <c r="AA271" i="34"/>
  <c r="AA278" i="34"/>
  <c r="AA285" i="34"/>
  <c r="AA306" i="34"/>
  <c r="AA319" i="34"/>
  <c r="AA349" i="34"/>
  <c r="AA357" i="34"/>
  <c r="AA382" i="34"/>
  <c r="AA403" i="34"/>
  <c r="AA454" i="34"/>
  <c r="AA470" i="34"/>
  <c r="AA488" i="34"/>
  <c r="AA517" i="34"/>
  <c r="AA522" i="34"/>
  <c r="AB113" i="34"/>
  <c r="AB158" i="34"/>
  <c r="AB166" i="34"/>
  <c r="AB181" i="34"/>
  <c r="AB195" i="34"/>
  <c r="AB212" i="34"/>
  <c r="AB242" i="34"/>
  <c r="AB271" i="34"/>
  <c r="AB278" i="34"/>
  <c r="AB285" i="34"/>
  <c r="AB306" i="34"/>
  <c r="AB319" i="34"/>
  <c r="AB349" i="34"/>
  <c r="AB357" i="34"/>
  <c r="AB382" i="34"/>
  <c r="AB403" i="34"/>
  <c r="AB454" i="34"/>
  <c r="AB470" i="34"/>
  <c r="AB488" i="34"/>
  <c r="AB517" i="34"/>
  <c r="AB522" i="34"/>
  <c r="AC113" i="34"/>
  <c r="AC158" i="34"/>
  <c r="AC166" i="34"/>
  <c r="AC181" i="34"/>
  <c r="AC195" i="34"/>
  <c r="AC212" i="34"/>
  <c r="AC242" i="34"/>
  <c r="AC271" i="34"/>
  <c r="AC278" i="34"/>
  <c r="AC285" i="34"/>
  <c r="AC306" i="34"/>
  <c r="AC319" i="34"/>
  <c r="AC349" i="34"/>
  <c r="AC357" i="34"/>
  <c r="AC382" i="34"/>
  <c r="AC403" i="34"/>
  <c r="AC454" i="34"/>
  <c r="AC470" i="34"/>
  <c r="AC488" i="34"/>
  <c r="AC517" i="34"/>
  <c r="AC522" i="34"/>
  <c r="AD113" i="34"/>
  <c r="AD158" i="34"/>
  <c r="AD166" i="34"/>
  <c r="AD181" i="34"/>
  <c r="AD195" i="34"/>
  <c r="AD212" i="34"/>
  <c r="AD242" i="34"/>
  <c r="AD271" i="34"/>
  <c r="AD278" i="34"/>
  <c r="AD285" i="34"/>
  <c r="AD306" i="34"/>
  <c r="AD319" i="34"/>
  <c r="AD349" i="34"/>
  <c r="AD357" i="34"/>
  <c r="AD382" i="34"/>
  <c r="AD403" i="34"/>
  <c r="AD454" i="34"/>
  <c r="AD470" i="34"/>
  <c r="AD488" i="34"/>
  <c r="AD517" i="34"/>
  <c r="AD522" i="34"/>
  <c r="AE113" i="34"/>
  <c r="AE158" i="34"/>
  <c r="AE166" i="34"/>
  <c r="AE181" i="34"/>
  <c r="AE195" i="34"/>
  <c r="AE212" i="34"/>
  <c r="AE242" i="34"/>
  <c r="AE271" i="34"/>
  <c r="AE278" i="34"/>
  <c r="AE285" i="34"/>
  <c r="AE306" i="34"/>
  <c r="AE319" i="34"/>
  <c r="AE349" i="34"/>
  <c r="AE357" i="34"/>
  <c r="AE382" i="34"/>
  <c r="AE403" i="34"/>
  <c r="AE454" i="34"/>
  <c r="AE470" i="34"/>
  <c r="AE488" i="34"/>
  <c r="AE517" i="34"/>
  <c r="AE522" i="34"/>
  <c r="AF113" i="34"/>
  <c r="AF158" i="34"/>
  <c r="AF166" i="34"/>
  <c r="AF181" i="34"/>
  <c r="AF195" i="34"/>
  <c r="AF212" i="34"/>
  <c r="AF242" i="34"/>
  <c r="AF271" i="34"/>
  <c r="AF278" i="34"/>
  <c r="AF285" i="34"/>
  <c r="AF306" i="34"/>
  <c r="AF319" i="34"/>
  <c r="AF349" i="34"/>
  <c r="AF357" i="34"/>
  <c r="AF382" i="34"/>
  <c r="AF403" i="34"/>
  <c r="AF454" i="34"/>
  <c r="AF470" i="34"/>
  <c r="AF488" i="34"/>
  <c r="AF517" i="34"/>
  <c r="AF522" i="34"/>
  <c r="AG113" i="34"/>
  <c r="AG158" i="34"/>
  <c r="AG166" i="34"/>
  <c r="AG181" i="34"/>
  <c r="AG195" i="34"/>
  <c r="AG212" i="34"/>
  <c r="AG242" i="34"/>
  <c r="AG271" i="34"/>
  <c r="AG278" i="34"/>
  <c r="AG285" i="34"/>
  <c r="AG306" i="34"/>
  <c r="AG319" i="34"/>
  <c r="AG349" i="34"/>
  <c r="AG357" i="34"/>
  <c r="AG382" i="34"/>
  <c r="AG403" i="34"/>
  <c r="AG454" i="34"/>
  <c r="AG470" i="34"/>
  <c r="AG488" i="34"/>
  <c r="AG517" i="34"/>
  <c r="AG522" i="34"/>
  <c r="D98" i="34"/>
  <c r="D111" i="34"/>
  <c r="D118" i="34"/>
  <c r="D121" i="34"/>
  <c r="D135" i="34"/>
  <c r="D174" i="34"/>
  <c r="D200" i="34"/>
  <c r="D207" i="34"/>
  <c r="D214" i="34"/>
  <c r="D225" i="34"/>
  <c r="D247" i="34"/>
  <c r="D258" i="34"/>
  <c r="D273" i="34"/>
  <c r="D279" i="34"/>
  <c r="D352" i="34"/>
  <c r="D375" i="34"/>
  <c r="D387" i="34"/>
  <c r="D394" i="34"/>
  <c r="D412" i="34"/>
  <c r="D418" i="34"/>
  <c r="D431" i="34"/>
  <c r="D450" i="34"/>
  <c r="D483" i="34"/>
  <c r="D523" i="34"/>
  <c r="D546" i="34"/>
  <c r="D567" i="34"/>
  <c r="O98" i="34"/>
  <c r="O111" i="34"/>
  <c r="O118" i="34"/>
  <c r="O121" i="34"/>
  <c r="O135" i="34"/>
  <c r="O174" i="34"/>
  <c r="O200" i="34"/>
  <c r="O207" i="34"/>
  <c r="O214" i="34"/>
  <c r="O225" i="34"/>
  <c r="O247" i="34"/>
  <c r="O258" i="34"/>
  <c r="O273" i="34"/>
  <c r="O279" i="34"/>
  <c r="O352" i="34"/>
  <c r="O375" i="34"/>
  <c r="O387" i="34"/>
  <c r="O394" i="34"/>
  <c r="O412" i="34"/>
  <c r="O418" i="34"/>
  <c r="O431" i="34"/>
  <c r="O450" i="34"/>
  <c r="O483" i="34"/>
  <c r="O523" i="34"/>
  <c r="O546" i="34"/>
  <c r="O567" i="34"/>
  <c r="P98" i="34"/>
  <c r="P111" i="34"/>
  <c r="P118" i="34"/>
  <c r="P121" i="34"/>
  <c r="P135" i="34"/>
  <c r="P174" i="34"/>
  <c r="P200" i="34"/>
  <c r="P207" i="34"/>
  <c r="P214" i="34"/>
  <c r="P225" i="34"/>
  <c r="P247" i="34"/>
  <c r="P258" i="34"/>
  <c r="P273" i="34"/>
  <c r="P279" i="34"/>
  <c r="P352" i="34"/>
  <c r="P375" i="34"/>
  <c r="P387" i="34"/>
  <c r="P394" i="34"/>
  <c r="P412" i="34"/>
  <c r="P418" i="34"/>
  <c r="P431" i="34"/>
  <c r="P450" i="34"/>
  <c r="P483" i="34"/>
  <c r="P523" i="34"/>
  <c r="P546" i="34"/>
  <c r="P567" i="34"/>
  <c r="Q98" i="34"/>
  <c r="Q111" i="34"/>
  <c r="Q118" i="34"/>
  <c r="Q121" i="34"/>
  <c r="Q135" i="34"/>
  <c r="Q174" i="34"/>
  <c r="Q200" i="34"/>
  <c r="Q207" i="34"/>
  <c r="Q214" i="34"/>
  <c r="Q225" i="34"/>
  <c r="Q247" i="34"/>
  <c r="Q258" i="34"/>
  <c r="Q273" i="34"/>
  <c r="Q279" i="34"/>
  <c r="Q352" i="34"/>
  <c r="Q375" i="34"/>
  <c r="Q387" i="34"/>
  <c r="Q394" i="34"/>
  <c r="Q412" i="34"/>
  <c r="Q418" i="34"/>
  <c r="Q431" i="34"/>
  <c r="Q450" i="34"/>
  <c r="Q483" i="34"/>
  <c r="Q523" i="34"/>
  <c r="Q546" i="34"/>
  <c r="Q567" i="34"/>
  <c r="U98" i="34"/>
  <c r="U111" i="34"/>
  <c r="U118" i="34"/>
  <c r="U121" i="34"/>
  <c r="U135" i="34"/>
  <c r="U174" i="34"/>
  <c r="U200" i="34"/>
  <c r="U207" i="34"/>
  <c r="U214" i="34"/>
  <c r="U225" i="34"/>
  <c r="U247" i="34"/>
  <c r="U258" i="34"/>
  <c r="U273" i="34"/>
  <c r="U279" i="34"/>
  <c r="U352" i="34"/>
  <c r="U375" i="34"/>
  <c r="U387" i="34"/>
  <c r="U394" i="34"/>
  <c r="U412" i="34"/>
  <c r="U418" i="34"/>
  <c r="U431" i="34"/>
  <c r="U450" i="34"/>
  <c r="U483" i="34"/>
  <c r="U523" i="34"/>
  <c r="U546" i="34"/>
  <c r="U567" i="34"/>
  <c r="V98" i="34"/>
  <c r="V111" i="34"/>
  <c r="V118" i="34"/>
  <c r="V121" i="34"/>
  <c r="V135" i="34"/>
  <c r="V174" i="34"/>
  <c r="V200" i="34"/>
  <c r="V207" i="34"/>
  <c r="V214" i="34"/>
  <c r="V225" i="34"/>
  <c r="V247" i="34"/>
  <c r="V258" i="34"/>
  <c r="V273" i="34"/>
  <c r="V279" i="34"/>
  <c r="V352" i="34"/>
  <c r="V375" i="34"/>
  <c r="V387" i="34"/>
  <c r="V394" i="34"/>
  <c r="V412" i="34"/>
  <c r="V418" i="34"/>
  <c r="V431" i="34"/>
  <c r="V450" i="34"/>
  <c r="V483" i="34"/>
  <c r="V523" i="34"/>
  <c r="V546" i="34"/>
  <c r="V567" i="34"/>
  <c r="W98" i="34"/>
  <c r="W111" i="34"/>
  <c r="W118" i="34"/>
  <c r="W121" i="34"/>
  <c r="W135" i="34"/>
  <c r="W174" i="34"/>
  <c r="W200" i="34"/>
  <c r="W207" i="34"/>
  <c r="W214" i="34"/>
  <c r="W225" i="34"/>
  <c r="W247" i="34"/>
  <c r="W258" i="34"/>
  <c r="W273" i="34"/>
  <c r="W279" i="34"/>
  <c r="W352" i="34"/>
  <c r="W375" i="34"/>
  <c r="W387" i="34"/>
  <c r="W394" i="34"/>
  <c r="W412" i="34"/>
  <c r="W418" i="34"/>
  <c r="W431" i="34"/>
  <c r="W450" i="34"/>
  <c r="W483" i="34"/>
  <c r="W523" i="34"/>
  <c r="W546" i="34"/>
  <c r="W567" i="34"/>
  <c r="X98" i="34"/>
  <c r="X111" i="34"/>
  <c r="X118" i="34"/>
  <c r="X121" i="34"/>
  <c r="X135" i="34"/>
  <c r="X174" i="34"/>
  <c r="X200" i="34"/>
  <c r="X207" i="34"/>
  <c r="X214" i="34"/>
  <c r="X225" i="34"/>
  <c r="X247" i="34"/>
  <c r="X258" i="34"/>
  <c r="X273" i="34"/>
  <c r="X279" i="34"/>
  <c r="X352" i="34"/>
  <c r="X375" i="34"/>
  <c r="X387" i="34"/>
  <c r="X394" i="34"/>
  <c r="X412" i="34"/>
  <c r="X418" i="34"/>
  <c r="X431" i="34"/>
  <c r="X450" i="34"/>
  <c r="X483" i="34"/>
  <c r="X523" i="34"/>
  <c r="X546" i="34"/>
  <c r="X567" i="34"/>
  <c r="Y98" i="34"/>
  <c r="Y111" i="34"/>
  <c r="Y118" i="34"/>
  <c r="Y121" i="34"/>
  <c r="Y135" i="34"/>
  <c r="Y174" i="34"/>
  <c r="Y200" i="34"/>
  <c r="Y207" i="34"/>
  <c r="Y214" i="34"/>
  <c r="Y225" i="34"/>
  <c r="Y247" i="34"/>
  <c r="Y258" i="34"/>
  <c r="Y273" i="34"/>
  <c r="Y279" i="34"/>
  <c r="Y352" i="34"/>
  <c r="Y375" i="34"/>
  <c r="Y387" i="34"/>
  <c r="Y394" i="34"/>
  <c r="Y412" i="34"/>
  <c r="Y418" i="34"/>
  <c r="Y431" i="34"/>
  <c r="Y450" i="34"/>
  <c r="Y483" i="34"/>
  <c r="Y523" i="34"/>
  <c r="Y546" i="34"/>
  <c r="Y567" i="34"/>
  <c r="Z98" i="34"/>
  <c r="Z111" i="34"/>
  <c r="Z118" i="34"/>
  <c r="Z121" i="34"/>
  <c r="Z135" i="34"/>
  <c r="Z174" i="34"/>
  <c r="Z200" i="34"/>
  <c r="Z207" i="34"/>
  <c r="Z214" i="34"/>
  <c r="Z225" i="34"/>
  <c r="Z247" i="34"/>
  <c r="Z258" i="34"/>
  <c r="Z273" i="34"/>
  <c r="Z279" i="34"/>
  <c r="Z352" i="34"/>
  <c r="Z375" i="34"/>
  <c r="Z387" i="34"/>
  <c r="Z394" i="34"/>
  <c r="Z412" i="34"/>
  <c r="Z418" i="34"/>
  <c r="Z431" i="34"/>
  <c r="Z450" i="34"/>
  <c r="Z483" i="34"/>
  <c r="Z523" i="34"/>
  <c r="Z546" i="34"/>
  <c r="Z567" i="34"/>
  <c r="AA98" i="34"/>
  <c r="AA111" i="34"/>
  <c r="AA118" i="34"/>
  <c r="AA121" i="34"/>
  <c r="AA135" i="34"/>
  <c r="AA174" i="34"/>
  <c r="AA200" i="34"/>
  <c r="AA207" i="34"/>
  <c r="AA214" i="34"/>
  <c r="AA225" i="34"/>
  <c r="AA247" i="34"/>
  <c r="AA258" i="34"/>
  <c r="AA273" i="34"/>
  <c r="AA279" i="34"/>
  <c r="AA352" i="34"/>
  <c r="AA375" i="34"/>
  <c r="AA387" i="34"/>
  <c r="AA394" i="34"/>
  <c r="AA412" i="34"/>
  <c r="AA418" i="34"/>
  <c r="AA431" i="34"/>
  <c r="AA450" i="34"/>
  <c r="AA483" i="34"/>
  <c r="AA523" i="34"/>
  <c r="AA546" i="34"/>
  <c r="AA567" i="34"/>
  <c r="AB98" i="34"/>
  <c r="AB111" i="34"/>
  <c r="AB118" i="34"/>
  <c r="AB121" i="34"/>
  <c r="AB135" i="34"/>
  <c r="AB174" i="34"/>
  <c r="AB200" i="34"/>
  <c r="AB207" i="34"/>
  <c r="AB214" i="34"/>
  <c r="AB225" i="34"/>
  <c r="AB247" i="34"/>
  <c r="AB258" i="34"/>
  <c r="AB273" i="34"/>
  <c r="AB279" i="34"/>
  <c r="AB352" i="34"/>
  <c r="AB375" i="34"/>
  <c r="AB387" i="34"/>
  <c r="AB394" i="34"/>
  <c r="AB412" i="34"/>
  <c r="AB418" i="34"/>
  <c r="AB431" i="34"/>
  <c r="AB450" i="34"/>
  <c r="AB483" i="34"/>
  <c r="AB523" i="34"/>
  <c r="AB546" i="34"/>
  <c r="AB567" i="34"/>
  <c r="AC98" i="34"/>
  <c r="AC111" i="34"/>
  <c r="AC118" i="34"/>
  <c r="AC121" i="34"/>
  <c r="AC135" i="34"/>
  <c r="AC174" i="34"/>
  <c r="AC200" i="34"/>
  <c r="AC207" i="34"/>
  <c r="AC214" i="34"/>
  <c r="AC225" i="34"/>
  <c r="AC247" i="34"/>
  <c r="AC258" i="34"/>
  <c r="AC273" i="34"/>
  <c r="AC279" i="34"/>
  <c r="AC352" i="34"/>
  <c r="AC375" i="34"/>
  <c r="AC387" i="34"/>
  <c r="AC394" i="34"/>
  <c r="AC412" i="34"/>
  <c r="AC418" i="34"/>
  <c r="AC431" i="34"/>
  <c r="AC450" i="34"/>
  <c r="AC483" i="34"/>
  <c r="AC523" i="34"/>
  <c r="AC546" i="34"/>
  <c r="AC567" i="34"/>
  <c r="AD98" i="34"/>
  <c r="AD111" i="34"/>
  <c r="AD118" i="34"/>
  <c r="AD121" i="34"/>
  <c r="AD135" i="34"/>
  <c r="AD174" i="34"/>
  <c r="AD200" i="34"/>
  <c r="AD207" i="34"/>
  <c r="AD214" i="34"/>
  <c r="AD225" i="34"/>
  <c r="AD247" i="34"/>
  <c r="AD258" i="34"/>
  <c r="AD273" i="34"/>
  <c r="AD279" i="34"/>
  <c r="AD352" i="34"/>
  <c r="AD375" i="34"/>
  <c r="AD387" i="34"/>
  <c r="AD394" i="34"/>
  <c r="AD412" i="34"/>
  <c r="AD418" i="34"/>
  <c r="AD431" i="34"/>
  <c r="AD450" i="34"/>
  <c r="AD483" i="34"/>
  <c r="AD523" i="34"/>
  <c r="AD546" i="34"/>
  <c r="AD567" i="34"/>
  <c r="AE98" i="34"/>
  <c r="AE111" i="34"/>
  <c r="AE118" i="34"/>
  <c r="AE121" i="34"/>
  <c r="AE135" i="34"/>
  <c r="AE174" i="34"/>
  <c r="AE200" i="34"/>
  <c r="AE207" i="34"/>
  <c r="AE214" i="34"/>
  <c r="AE225" i="34"/>
  <c r="AE247" i="34"/>
  <c r="AE258" i="34"/>
  <c r="AE273" i="34"/>
  <c r="AE279" i="34"/>
  <c r="AE352" i="34"/>
  <c r="AE375" i="34"/>
  <c r="AE387" i="34"/>
  <c r="AE394" i="34"/>
  <c r="AE412" i="34"/>
  <c r="AE418" i="34"/>
  <c r="AE431" i="34"/>
  <c r="AE450" i="34"/>
  <c r="AE483" i="34"/>
  <c r="AE523" i="34"/>
  <c r="AE546" i="34"/>
  <c r="AE567" i="34"/>
  <c r="AF98" i="34"/>
  <c r="AF111" i="34"/>
  <c r="AF118" i="34"/>
  <c r="AF121" i="34"/>
  <c r="AF135" i="34"/>
  <c r="AF174" i="34"/>
  <c r="AF200" i="34"/>
  <c r="AF207" i="34"/>
  <c r="AF214" i="34"/>
  <c r="AF225" i="34"/>
  <c r="AF247" i="34"/>
  <c r="AF258" i="34"/>
  <c r="AF273" i="34"/>
  <c r="AF279" i="34"/>
  <c r="AF352" i="34"/>
  <c r="AF375" i="34"/>
  <c r="AF387" i="34"/>
  <c r="AF394" i="34"/>
  <c r="AF412" i="34"/>
  <c r="AF418" i="34"/>
  <c r="AF431" i="34"/>
  <c r="AF450" i="34"/>
  <c r="AF483" i="34"/>
  <c r="AF523" i="34"/>
  <c r="AF546" i="34"/>
  <c r="AF567" i="34"/>
  <c r="AG98" i="34"/>
  <c r="AG111" i="34"/>
  <c r="AG118" i="34"/>
  <c r="AG121" i="34"/>
  <c r="AG135" i="34"/>
  <c r="AG174" i="34"/>
  <c r="AG200" i="34"/>
  <c r="AG207" i="34"/>
  <c r="AG214" i="34"/>
  <c r="AG225" i="34"/>
  <c r="AG247" i="34"/>
  <c r="AG258" i="34"/>
  <c r="AG273" i="34"/>
  <c r="AG279" i="34"/>
  <c r="AG352" i="34"/>
  <c r="AG375" i="34"/>
  <c r="AG387" i="34"/>
  <c r="AG394" i="34"/>
  <c r="AG412" i="34"/>
  <c r="AG418" i="34"/>
  <c r="AG431" i="34"/>
  <c r="AG450" i="34"/>
  <c r="AG483" i="34"/>
  <c r="AG523" i="34"/>
  <c r="AG546" i="34"/>
  <c r="AG567" i="34"/>
  <c r="M42" i="49"/>
  <c r="I42" i="49"/>
  <c r="N42" i="49"/>
  <c r="S42" i="49"/>
  <c r="M41" i="49"/>
  <c r="I41" i="49"/>
  <c r="N41" i="49"/>
  <c r="S41" i="49"/>
  <c r="M40" i="49"/>
  <c r="I40" i="49"/>
  <c r="N40" i="49"/>
  <c r="S40" i="49"/>
  <c r="M39" i="49"/>
  <c r="I39" i="49"/>
  <c r="N39" i="49"/>
  <c r="S39" i="49"/>
  <c r="M38" i="49"/>
  <c r="I38" i="49"/>
  <c r="N38" i="49"/>
  <c r="S38" i="49"/>
  <c r="M37" i="49"/>
  <c r="I37" i="49"/>
  <c r="N37" i="49"/>
  <c r="S37" i="49"/>
  <c r="M36" i="49"/>
  <c r="I36" i="49"/>
  <c r="N36" i="49"/>
  <c r="S36" i="49"/>
  <c r="M35" i="49"/>
  <c r="I35" i="49"/>
  <c r="N35" i="49"/>
  <c r="S35" i="49"/>
  <c r="M34" i="49"/>
  <c r="I34" i="49"/>
  <c r="N34" i="49"/>
  <c r="S34" i="49"/>
  <c r="M33" i="49"/>
  <c r="I33" i="49"/>
  <c r="N33" i="49"/>
  <c r="S33" i="49"/>
  <c r="M32" i="49"/>
  <c r="I32" i="49"/>
  <c r="N32" i="49"/>
  <c r="S32" i="49"/>
  <c r="M31" i="49"/>
  <c r="I31" i="49"/>
  <c r="N31" i="49"/>
  <c r="S31" i="49"/>
  <c r="M30" i="49"/>
  <c r="I30" i="49"/>
  <c r="N30" i="49"/>
  <c r="S30" i="49"/>
  <c r="M29" i="49"/>
  <c r="I29" i="49"/>
  <c r="N29" i="49"/>
  <c r="S29" i="49"/>
  <c r="M28" i="49"/>
  <c r="I28" i="49"/>
  <c r="N28" i="49"/>
  <c r="S28" i="49"/>
  <c r="M27" i="49"/>
  <c r="I27" i="49"/>
  <c r="N27" i="49"/>
  <c r="S27" i="49"/>
  <c r="M26" i="49"/>
  <c r="I26" i="49"/>
  <c r="N26" i="49"/>
  <c r="S26" i="49"/>
  <c r="M25" i="49"/>
  <c r="I25" i="49"/>
  <c r="N25" i="49"/>
  <c r="S25" i="49"/>
  <c r="M24" i="49"/>
  <c r="I24" i="49"/>
  <c r="N24" i="49"/>
  <c r="S24" i="49"/>
  <c r="M23" i="49"/>
  <c r="I23" i="49"/>
  <c r="N23" i="49"/>
  <c r="S23" i="49"/>
  <c r="M22" i="49"/>
  <c r="I22" i="49"/>
  <c r="N22" i="49"/>
  <c r="S22" i="49"/>
  <c r="M21" i="49"/>
  <c r="I21" i="49"/>
  <c r="N21" i="49"/>
  <c r="S21" i="49"/>
  <c r="M20" i="49"/>
  <c r="I20" i="49"/>
  <c r="N20" i="49"/>
  <c r="S20" i="49"/>
  <c r="M19" i="49"/>
  <c r="I19" i="49"/>
  <c r="N19" i="49"/>
  <c r="S19" i="49"/>
  <c r="M18" i="49"/>
  <c r="I18" i="49"/>
  <c r="N18" i="49"/>
  <c r="S18" i="49"/>
  <c r="M17" i="49"/>
  <c r="I17" i="49"/>
  <c r="N17" i="49"/>
  <c r="S17" i="49"/>
  <c r="R42" i="49"/>
  <c r="R41" i="49"/>
  <c r="R40" i="49"/>
  <c r="R39" i="49"/>
  <c r="R38" i="49"/>
  <c r="R37" i="49"/>
  <c r="R36" i="49"/>
  <c r="R35" i="49"/>
  <c r="R34" i="49"/>
  <c r="R33" i="49"/>
  <c r="R32" i="49"/>
  <c r="R31" i="49"/>
  <c r="R30" i="49"/>
  <c r="R29" i="49"/>
  <c r="R28" i="49"/>
  <c r="R27" i="49"/>
  <c r="R26" i="49"/>
  <c r="R25" i="49"/>
  <c r="R24" i="49"/>
  <c r="R23" i="49"/>
  <c r="R22" i="49"/>
  <c r="R21" i="49"/>
  <c r="R20" i="49"/>
  <c r="R19" i="49"/>
  <c r="R18" i="49"/>
  <c r="R17" i="49"/>
  <c r="T42" i="49"/>
  <c r="T41" i="49"/>
  <c r="T40" i="49"/>
  <c r="T39" i="49"/>
  <c r="T38" i="49"/>
  <c r="T37" i="49"/>
  <c r="T36" i="49"/>
  <c r="T35" i="49"/>
  <c r="T34" i="49"/>
  <c r="T33" i="49"/>
  <c r="T32" i="49"/>
  <c r="T31" i="49"/>
  <c r="T30" i="49"/>
  <c r="T29" i="49"/>
  <c r="T28" i="49"/>
  <c r="T27" i="49"/>
  <c r="T26" i="49"/>
  <c r="T25" i="49"/>
  <c r="T24" i="49"/>
  <c r="T23" i="49"/>
  <c r="T22" i="49"/>
  <c r="T21" i="49"/>
  <c r="T20" i="49"/>
  <c r="T19" i="49"/>
  <c r="T18" i="49"/>
  <c r="T17" i="49"/>
  <c r="D17" i="49"/>
  <c r="O17" i="49"/>
  <c r="P17" i="49"/>
  <c r="Q17" i="49"/>
  <c r="U17" i="49"/>
  <c r="V17" i="49"/>
  <c r="W17" i="49"/>
  <c r="X17" i="49"/>
  <c r="Y17" i="49"/>
  <c r="Z17" i="49"/>
  <c r="AA17" i="49"/>
  <c r="AB17" i="49"/>
  <c r="AC17" i="49"/>
  <c r="AD17" i="49"/>
  <c r="AE17" i="49"/>
  <c r="AF17" i="49"/>
  <c r="AG17" i="49"/>
  <c r="D18" i="49"/>
  <c r="O18" i="49"/>
  <c r="P18" i="49"/>
  <c r="Q18" i="49"/>
  <c r="U18" i="49"/>
  <c r="V18" i="49"/>
  <c r="W18" i="49"/>
  <c r="X18" i="49"/>
  <c r="Y18" i="49"/>
  <c r="Z18" i="49"/>
  <c r="AA18" i="49"/>
  <c r="AB18" i="49"/>
  <c r="AC18" i="49"/>
  <c r="AD18" i="49"/>
  <c r="AE18" i="49"/>
  <c r="AF18" i="49"/>
  <c r="AG18" i="49"/>
  <c r="D19" i="49"/>
  <c r="O19" i="49"/>
  <c r="P19" i="49"/>
  <c r="Q19" i="49"/>
  <c r="U19" i="49"/>
  <c r="V19" i="49"/>
  <c r="W19" i="49"/>
  <c r="X19" i="49"/>
  <c r="Y19" i="49"/>
  <c r="Z19" i="49"/>
  <c r="AA19" i="49"/>
  <c r="AB19" i="49"/>
  <c r="AC19" i="49"/>
  <c r="AD19" i="49"/>
  <c r="AE19" i="49"/>
  <c r="AF19" i="49"/>
  <c r="AG19" i="49"/>
  <c r="D20" i="49"/>
  <c r="O20" i="49"/>
  <c r="P20" i="49"/>
  <c r="Q20" i="49"/>
  <c r="U20" i="49"/>
  <c r="V20" i="49"/>
  <c r="W20" i="49"/>
  <c r="X20" i="49"/>
  <c r="Y20" i="49"/>
  <c r="Z20" i="49"/>
  <c r="AA20" i="49"/>
  <c r="AB20" i="49"/>
  <c r="AC20" i="49"/>
  <c r="AD20" i="49"/>
  <c r="AE20" i="49"/>
  <c r="AF20" i="49"/>
  <c r="AG20" i="49"/>
  <c r="D21" i="49"/>
  <c r="O21" i="49"/>
  <c r="P21" i="49"/>
  <c r="Q21" i="49"/>
  <c r="U21" i="49"/>
  <c r="V21" i="49"/>
  <c r="W21" i="49"/>
  <c r="X21" i="49"/>
  <c r="Y21" i="49"/>
  <c r="Z21" i="49"/>
  <c r="AA21" i="49"/>
  <c r="AB21" i="49"/>
  <c r="AC21" i="49"/>
  <c r="AD21" i="49"/>
  <c r="AE21" i="49"/>
  <c r="AF21" i="49"/>
  <c r="AG21" i="49"/>
  <c r="D22" i="49"/>
  <c r="O22" i="49"/>
  <c r="P22" i="49"/>
  <c r="Q22" i="49"/>
  <c r="U22" i="49"/>
  <c r="V22" i="49"/>
  <c r="W22" i="49"/>
  <c r="X22" i="49"/>
  <c r="Y22" i="49"/>
  <c r="Z22" i="49"/>
  <c r="AA22" i="49"/>
  <c r="AB22" i="49"/>
  <c r="AC22" i="49"/>
  <c r="AD22" i="49"/>
  <c r="AE22" i="49"/>
  <c r="AF22" i="49"/>
  <c r="AG22" i="49"/>
  <c r="D23" i="49"/>
  <c r="O23" i="49"/>
  <c r="P23" i="49"/>
  <c r="Q23" i="49"/>
  <c r="U23" i="49"/>
  <c r="V23" i="49"/>
  <c r="W23" i="49"/>
  <c r="X23" i="49"/>
  <c r="Y23" i="49"/>
  <c r="Z23" i="49"/>
  <c r="AA23" i="49"/>
  <c r="AB23" i="49"/>
  <c r="AC23" i="49"/>
  <c r="AD23" i="49"/>
  <c r="AE23" i="49"/>
  <c r="AF23" i="49"/>
  <c r="AG23" i="49"/>
  <c r="D24" i="49"/>
  <c r="O24" i="49"/>
  <c r="P24" i="49"/>
  <c r="Q24" i="49"/>
  <c r="U24" i="49"/>
  <c r="V24" i="49"/>
  <c r="W24" i="49"/>
  <c r="X24" i="49"/>
  <c r="Y24" i="49"/>
  <c r="Z24" i="49"/>
  <c r="AA24" i="49"/>
  <c r="AB24" i="49"/>
  <c r="AC24" i="49"/>
  <c r="AD24" i="49"/>
  <c r="AE24" i="49"/>
  <c r="AF24" i="49"/>
  <c r="AG24" i="49"/>
  <c r="D25" i="49"/>
  <c r="O25" i="49"/>
  <c r="P25" i="49"/>
  <c r="Q25" i="49"/>
  <c r="U25" i="49"/>
  <c r="V25" i="49"/>
  <c r="W25" i="49"/>
  <c r="X25" i="49"/>
  <c r="Y25" i="49"/>
  <c r="Z25" i="49"/>
  <c r="AA25" i="49"/>
  <c r="AB25" i="49"/>
  <c r="AC25" i="49"/>
  <c r="AD25" i="49"/>
  <c r="AE25" i="49"/>
  <c r="AF25" i="49"/>
  <c r="AG25" i="49"/>
  <c r="D26" i="49"/>
  <c r="O26" i="49"/>
  <c r="P26" i="49"/>
  <c r="Q26" i="49"/>
  <c r="U26" i="49"/>
  <c r="V26" i="49"/>
  <c r="W26" i="49"/>
  <c r="X26" i="49"/>
  <c r="Y26" i="49"/>
  <c r="Z26" i="49"/>
  <c r="AA26" i="49"/>
  <c r="AB26" i="49"/>
  <c r="AC26" i="49"/>
  <c r="AD26" i="49"/>
  <c r="AE26" i="49"/>
  <c r="AF26" i="49"/>
  <c r="AG26" i="49"/>
  <c r="D27" i="49"/>
  <c r="O27" i="49"/>
  <c r="P27" i="49"/>
  <c r="Q27" i="49"/>
  <c r="U27" i="49"/>
  <c r="V27" i="49"/>
  <c r="W27" i="49"/>
  <c r="X27" i="49"/>
  <c r="Y27" i="49"/>
  <c r="Z27" i="49"/>
  <c r="AA27" i="49"/>
  <c r="AB27" i="49"/>
  <c r="AC27" i="49"/>
  <c r="AD27" i="49"/>
  <c r="AE27" i="49"/>
  <c r="AF27" i="49"/>
  <c r="AG27" i="49"/>
  <c r="D28" i="49"/>
  <c r="O28" i="49"/>
  <c r="P28" i="49"/>
  <c r="Q28" i="49"/>
  <c r="U28" i="49"/>
  <c r="V28" i="49"/>
  <c r="W28" i="49"/>
  <c r="X28" i="49"/>
  <c r="Y28" i="49"/>
  <c r="Z28" i="49"/>
  <c r="AA28" i="49"/>
  <c r="AB28" i="49"/>
  <c r="AC28" i="49"/>
  <c r="AD28" i="49"/>
  <c r="AE28" i="49"/>
  <c r="AF28" i="49"/>
  <c r="AG28" i="49"/>
  <c r="D29" i="49"/>
  <c r="O29" i="49"/>
  <c r="P29" i="49"/>
  <c r="Q29" i="49"/>
  <c r="U29" i="49"/>
  <c r="V29" i="49"/>
  <c r="W29" i="49"/>
  <c r="X29" i="49"/>
  <c r="Y29" i="49"/>
  <c r="Z29" i="49"/>
  <c r="AA29" i="49"/>
  <c r="AB29" i="49"/>
  <c r="AC29" i="49"/>
  <c r="AD29" i="49"/>
  <c r="AE29" i="49"/>
  <c r="AF29" i="49"/>
  <c r="AG29" i="49"/>
  <c r="D30" i="49"/>
  <c r="O30" i="49"/>
  <c r="P30" i="49"/>
  <c r="Q30" i="49"/>
  <c r="U30" i="49"/>
  <c r="V30" i="49"/>
  <c r="W30" i="49"/>
  <c r="X30" i="49"/>
  <c r="Y30" i="49"/>
  <c r="Z30" i="49"/>
  <c r="AA30" i="49"/>
  <c r="AB30" i="49"/>
  <c r="AC30" i="49"/>
  <c r="AD30" i="49"/>
  <c r="AE30" i="49"/>
  <c r="AF30" i="49"/>
  <c r="AG30" i="49"/>
  <c r="D31" i="49"/>
  <c r="O31" i="49"/>
  <c r="P31" i="49"/>
  <c r="Q31" i="49"/>
  <c r="U31" i="49"/>
  <c r="V31" i="49"/>
  <c r="W31" i="49"/>
  <c r="X31" i="49"/>
  <c r="Y31" i="49"/>
  <c r="Z31" i="49"/>
  <c r="AA31" i="49"/>
  <c r="AB31" i="49"/>
  <c r="AC31" i="49"/>
  <c r="AD31" i="49"/>
  <c r="AE31" i="49"/>
  <c r="AF31" i="49"/>
  <c r="AG31" i="49"/>
  <c r="D32" i="49"/>
  <c r="O32" i="49"/>
  <c r="P32" i="49"/>
  <c r="Q32" i="49"/>
  <c r="U32" i="49"/>
  <c r="V32" i="49"/>
  <c r="W32" i="49"/>
  <c r="X32" i="49"/>
  <c r="Y32" i="49"/>
  <c r="Z32" i="49"/>
  <c r="AA32" i="49"/>
  <c r="AB32" i="49"/>
  <c r="AC32" i="49"/>
  <c r="AD32" i="49"/>
  <c r="AE32" i="49"/>
  <c r="AF32" i="49"/>
  <c r="AG32" i="49"/>
  <c r="D33" i="49"/>
  <c r="O33" i="49"/>
  <c r="P33" i="49"/>
  <c r="Q33" i="49"/>
  <c r="U33" i="49"/>
  <c r="V33" i="49"/>
  <c r="W33" i="49"/>
  <c r="X33" i="49"/>
  <c r="Y33" i="49"/>
  <c r="Z33" i="49"/>
  <c r="AA33" i="49"/>
  <c r="AB33" i="49"/>
  <c r="AC33" i="49"/>
  <c r="AD33" i="49"/>
  <c r="AE33" i="49"/>
  <c r="AF33" i="49"/>
  <c r="AG33" i="49"/>
  <c r="D34" i="49"/>
  <c r="O34" i="49"/>
  <c r="P34" i="49"/>
  <c r="Q34" i="49"/>
  <c r="U34" i="49"/>
  <c r="V34" i="49"/>
  <c r="W34" i="49"/>
  <c r="X34" i="49"/>
  <c r="Y34" i="49"/>
  <c r="Z34" i="49"/>
  <c r="AA34" i="49"/>
  <c r="AB34" i="49"/>
  <c r="AC34" i="49"/>
  <c r="AD34" i="49"/>
  <c r="AE34" i="49"/>
  <c r="AF34" i="49"/>
  <c r="AG34" i="49"/>
  <c r="D35" i="49"/>
  <c r="O35" i="49"/>
  <c r="P35" i="49"/>
  <c r="Q35" i="49"/>
  <c r="U35" i="49"/>
  <c r="V35" i="49"/>
  <c r="W35" i="49"/>
  <c r="X35" i="49"/>
  <c r="Y35" i="49"/>
  <c r="Z35" i="49"/>
  <c r="AA35" i="49"/>
  <c r="AB35" i="49"/>
  <c r="AC35" i="49"/>
  <c r="AD35" i="49"/>
  <c r="AE35" i="49"/>
  <c r="AF35" i="49"/>
  <c r="AG35" i="49"/>
  <c r="D36" i="49"/>
  <c r="O36" i="49"/>
  <c r="P36" i="49"/>
  <c r="Q36" i="49"/>
  <c r="U36" i="49"/>
  <c r="V36" i="49"/>
  <c r="W36" i="49"/>
  <c r="X36" i="49"/>
  <c r="Y36" i="49"/>
  <c r="Z36" i="49"/>
  <c r="AA36" i="49"/>
  <c r="AB36" i="49"/>
  <c r="AC36" i="49"/>
  <c r="AD36" i="49"/>
  <c r="AE36" i="49"/>
  <c r="AF36" i="49"/>
  <c r="AG36" i="49"/>
  <c r="D37" i="49"/>
  <c r="O37" i="49"/>
  <c r="P37" i="49"/>
  <c r="Q37" i="49"/>
  <c r="U37" i="49"/>
  <c r="V37" i="49"/>
  <c r="W37" i="49"/>
  <c r="X37" i="49"/>
  <c r="Y37" i="49"/>
  <c r="Z37" i="49"/>
  <c r="AA37" i="49"/>
  <c r="AB37" i="49"/>
  <c r="AC37" i="49"/>
  <c r="AD37" i="49"/>
  <c r="AE37" i="49"/>
  <c r="AF37" i="49"/>
  <c r="AG37" i="49"/>
  <c r="D38" i="49"/>
  <c r="O38" i="49"/>
  <c r="P38" i="49"/>
  <c r="Q38" i="49"/>
  <c r="U38" i="49"/>
  <c r="V38" i="49"/>
  <c r="W38" i="49"/>
  <c r="X38" i="49"/>
  <c r="Y38" i="49"/>
  <c r="Z38" i="49"/>
  <c r="AA38" i="49"/>
  <c r="AB38" i="49"/>
  <c r="AC38" i="49"/>
  <c r="AD38" i="49"/>
  <c r="AE38" i="49"/>
  <c r="AF38" i="49"/>
  <c r="AG38" i="49"/>
  <c r="D39" i="49"/>
  <c r="O39" i="49"/>
  <c r="P39" i="49"/>
  <c r="Q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D40" i="49"/>
  <c r="O40" i="49"/>
  <c r="P40" i="49"/>
  <c r="Q40" i="49"/>
  <c r="U40" i="49"/>
  <c r="V40" i="49"/>
  <c r="W40" i="49"/>
  <c r="X40" i="49"/>
  <c r="Y40" i="49"/>
  <c r="Z40" i="49"/>
  <c r="AA40" i="49"/>
  <c r="AB40" i="49"/>
  <c r="AC40" i="49"/>
  <c r="AD40" i="49"/>
  <c r="AE40" i="49"/>
  <c r="AF40" i="49"/>
  <c r="AG40" i="49"/>
  <c r="D41" i="49"/>
  <c r="O41" i="49"/>
  <c r="P41" i="49"/>
  <c r="Q41" i="49"/>
  <c r="U41" i="49"/>
  <c r="V41" i="49"/>
  <c r="W41" i="49"/>
  <c r="X41" i="49"/>
  <c r="Y41" i="49"/>
  <c r="Z41" i="49"/>
  <c r="AA41" i="49"/>
  <c r="AB41" i="49"/>
  <c r="AC41" i="49"/>
  <c r="AD41" i="49"/>
  <c r="AE41" i="49"/>
  <c r="AF41" i="49"/>
  <c r="AG41" i="49"/>
  <c r="D42" i="49"/>
  <c r="O42" i="49"/>
  <c r="P42" i="49"/>
  <c r="Q42" i="49"/>
  <c r="U42" i="49"/>
  <c r="V42" i="49"/>
  <c r="W42" i="49"/>
  <c r="X42" i="49"/>
  <c r="Y42" i="49"/>
  <c r="Z42" i="49"/>
  <c r="AA42" i="49"/>
  <c r="AB42" i="49"/>
  <c r="AC42" i="49"/>
  <c r="AD42" i="49"/>
  <c r="AE42" i="49"/>
  <c r="AF42" i="49"/>
  <c r="AG42" i="49"/>
  <c r="M37" i="50"/>
  <c r="I37" i="50"/>
  <c r="N37" i="50"/>
  <c r="S37" i="50"/>
  <c r="M36" i="50"/>
  <c r="I36" i="50"/>
  <c r="N36" i="50"/>
  <c r="S36" i="50"/>
  <c r="M35" i="50"/>
  <c r="I35" i="50"/>
  <c r="N35" i="50"/>
  <c r="S35" i="50"/>
  <c r="M34" i="50"/>
  <c r="I34" i="50"/>
  <c r="N34" i="50"/>
  <c r="S34" i="50"/>
  <c r="M33" i="50"/>
  <c r="I33" i="50"/>
  <c r="N33" i="50"/>
  <c r="S33" i="50"/>
  <c r="M32" i="50"/>
  <c r="I32" i="50"/>
  <c r="N32" i="50"/>
  <c r="S32" i="50"/>
  <c r="M31" i="50"/>
  <c r="I31" i="50"/>
  <c r="N31" i="50"/>
  <c r="S31" i="50"/>
  <c r="M30" i="50"/>
  <c r="I30" i="50"/>
  <c r="N30" i="50"/>
  <c r="S30" i="50"/>
  <c r="M29" i="50"/>
  <c r="I29" i="50"/>
  <c r="N29" i="50"/>
  <c r="S29" i="50"/>
  <c r="M28" i="50"/>
  <c r="I28" i="50"/>
  <c r="N28" i="50"/>
  <c r="S28" i="50"/>
  <c r="M27" i="50"/>
  <c r="I27" i="50"/>
  <c r="N27" i="50"/>
  <c r="S27" i="50"/>
  <c r="M26" i="50"/>
  <c r="I26" i="50"/>
  <c r="N26" i="50"/>
  <c r="S26" i="50"/>
  <c r="M25" i="50"/>
  <c r="I25" i="50"/>
  <c r="N25" i="50"/>
  <c r="S25" i="50"/>
  <c r="M24" i="50"/>
  <c r="I24" i="50"/>
  <c r="N24" i="50"/>
  <c r="S24" i="50"/>
  <c r="M23" i="50"/>
  <c r="I23" i="50"/>
  <c r="N23" i="50"/>
  <c r="S23" i="50"/>
  <c r="M22" i="50"/>
  <c r="I22" i="50"/>
  <c r="N22" i="50"/>
  <c r="S22" i="50"/>
  <c r="M21" i="50"/>
  <c r="I21" i="50"/>
  <c r="N21" i="50"/>
  <c r="S21" i="50"/>
  <c r="M20" i="50"/>
  <c r="I20" i="50"/>
  <c r="N20" i="50"/>
  <c r="S20" i="50"/>
  <c r="M19" i="50"/>
  <c r="I19" i="50"/>
  <c r="N19" i="50"/>
  <c r="S19" i="50"/>
  <c r="M18" i="50"/>
  <c r="I18" i="50"/>
  <c r="N18" i="50"/>
  <c r="S18" i="50"/>
  <c r="M17" i="50"/>
  <c r="I17" i="50"/>
  <c r="N17" i="50"/>
  <c r="S17" i="50"/>
  <c r="R37" i="50"/>
  <c r="R36" i="50"/>
  <c r="R35" i="50"/>
  <c r="R34" i="50"/>
  <c r="R33" i="50"/>
  <c r="R32" i="50"/>
  <c r="R31" i="50"/>
  <c r="R30" i="50"/>
  <c r="R29" i="50"/>
  <c r="R28" i="50"/>
  <c r="R27" i="50"/>
  <c r="R26" i="50"/>
  <c r="R25" i="50"/>
  <c r="R24" i="50"/>
  <c r="R23" i="50"/>
  <c r="R22" i="50"/>
  <c r="R21" i="50"/>
  <c r="R20" i="50"/>
  <c r="R19" i="50"/>
  <c r="R18" i="50"/>
  <c r="R17" i="50"/>
  <c r="T37" i="50"/>
  <c r="T36" i="50"/>
  <c r="T35" i="50"/>
  <c r="T34" i="50"/>
  <c r="T33" i="50"/>
  <c r="T32" i="50"/>
  <c r="T31" i="50"/>
  <c r="T30" i="50"/>
  <c r="T29" i="50"/>
  <c r="T28" i="50"/>
  <c r="T27" i="50"/>
  <c r="T26" i="50"/>
  <c r="T25" i="50"/>
  <c r="T24" i="50"/>
  <c r="T23" i="50"/>
  <c r="T22" i="50"/>
  <c r="T21" i="50"/>
  <c r="T20" i="50"/>
  <c r="T19" i="50"/>
  <c r="T18" i="50"/>
  <c r="T17" i="50"/>
  <c r="D17" i="50"/>
  <c r="O17" i="50"/>
  <c r="P17" i="50"/>
  <c r="Q17" i="50"/>
  <c r="U17" i="50"/>
  <c r="V17" i="50"/>
  <c r="W17" i="50"/>
  <c r="X17" i="50"/>
  <c r="Y17" i="50"/>
  <c r="Z17" i="50"/>
  <c r="AA17" i="50"/>
  <c r="AB17" i="50"/>
  <c r="AC17" i="50"/>
  <c r="AD17" i="50"/>
  <c r="AE17" i="50"/>
  <c r="AF17" i="50"/>
  <c r="AG17" i="50"/>
  <c r="D18" i="50"/>
  <c r="O18" i="50"/>
  <c r="P18" i="50"/>
  <c r="Q18" i="50"/>
  <c r="U18" i="50"/>
  <c r="V18" i="50"/>
  <c r="W18" i="50"/>
  <c r="X18" i="50"/>
  <c r="Y18" i="50"/>
  <c r="Z18" i="50"/>
  <c r="AA18" i="50"/>
  <c r="AB18" i="50"/>
  <c r="AC18" i="50"/>
  <c r="AD18" i="50"/>
  <c r="AE18" i="50"/>
  <c r="AF18" i="50"/>
  <c r="AG18" i="50"/>
  <c r="D19" i="50"/>
  <c r="O19" i="50"/>
  <c r="P19" i="50"/>
  <c r="Q19" i="50"/>
  <c r="U19" i="50"/>
  <c r="V19" i="50"/>
  <c r="W19" i="50"/>
  <c r="X19" i="50"/>
  <c r="Y19" i="50"/>
  <c r="Z19" i="50"/>
  <c r="AA19" i="50"/>
  <c r="AB19" i="50"/>
  <c r="AC19" i="50"/>
  <c r="AD19" i="50"/>
  <c r="AE19" i="50"/>
  <c r="AF19" i="50"/>
  <c r="AG19" i="50"/>
  <c r="D20" i="50"/>
  <c r="O20" i="50"/>
  <c r="P20" i="50"/>
  <c r="Q20" i="50"/>
  <c r="U20" i="50"/>
  <c r="V20" i="50"/>
  <c r="W20" i="50"/>
  <c r="X20" i="50"/>
  <c r="Y20" i="50"/>
  <c r="Z20" i="50"/>
  <c r="AA20" i="50"/>
  <c r="AB20" i="50"/>
  <c r="AC20" i="50"/>
  <c r="AD20" i="50"/>
  <c r="AE20" i="50"/>
  <c r="AF20" i="50"/>
  <c r="AG20" i="50"/>
  <c r="D21" i="50"/>
  <c r="O21" i="50"/>
  <c r="P21" i="50"/>
  <c r="Q21" i="50"/>
  <c r="U21" i="50"/>
  <c r="V21" i="50"/>
  <c r="W21" i="50"/>
  <c r="X21" i="50"/>
  <c r="Y21" i="50"/>
  <c r="Z21" i="50"/>
  <c r="AA21" i="50"/>
  <c r="AB21" i="50"/>
  <c r="AC21" i="50"/>
  <c r="AD21" i="50"/>
  <c r="AE21" i="50"/>
  <c r="AF21" i="50"/>
  <c r="AG21" i="50"/>
  <c r="D22" i="50"/>
  <c r="O22" i="50"/>
  <c r="P22" i="50"/>
  <c r="Q22" i="50"/>
  <c r="U22" i="50"/>
  <c r="V22" i="50"/>
  <c r="W22" i="50"/>
  <c r="X22" i="50"/>
  <c r="Y22" i="50"/>
  <c r="Z22" i="50"/>
  <c r="AA22" i="50"/>
  <c r="AB22" i="50"/>
  <c r="AC22" i="50"/>
  <c r="AD22" i="50"/>
  <c r="AE22" i="50"/>
  <c r="AF22" i="50"/>
  <c r="AG22" i="50"/>
  <c r="D23" i="50"/>
  <c r="O23" i="50"/>
  <c r="P23" i="50"/>
  <c r="Q23" i="50"/>
  <c r="U23" i="50"/>
  <c r="V23" i="50"/>
  <c r="W23" i="50"/>
  <c r="X23" i="50"/>
  <c r="Y23" i="50"/>
  <c r="Z23" i="50"/>
  <c r="AA23" i="50"/>
  <c r="AB23" i="50"/>
  <c r="AC23" i="50"/>
  <c r="AD23" i="50"/>
  <c r="AE23" i="50"/>
  <c r="AF23" i="50"/>
  <c r="AG23" i="50"/>
  <c r="D24" i="50"/>
  <c r="O24" i="50"/>
  <c r="P24" i="50"/>
  <c r="Q24" i="50"/>
  <c r="U24" i="50"/>
  <c r="V24" i="50"/>
  <c r="W24" i="50"/>
  <c r="X24" i="50"/>
  <c r="Y24" i="50"/>
  <c r="Z24" i="50"/>
  <c r="AA24" i="50"/>
  <c r="AB24" i="50"/>
  <c r="AC24" i="50"/>
  <c r="AD24" i="50"/>
  <c r="AE24" i="50"/>
  <c r="AF24" i="50"/>
  <c r="AG24" i="50"/>
  <c r="D25" i="50"/>
  <c r="O25" i="50"/>
  <c r="P25" i="50"/>
  <c r="Q25" i="50"/>
  <c r="U25" i="50"/>
  <c r="V25" i="50"/>
  <c r="W25" i="50"/>
  <c r="X25" i="50"/>
  <c r="Y25" i="50"/>
  <c r="Z25" i="50"/>
  <c r="AA25" i="50"/>
  <c r="AB25" i="50"/>
  <c r="AC25" i="50"/>
  <c r="AD25" i="50"/>
  <c r="AE25" i="50"/>
  <c r="AF25" i="50"/>
  <c r="AG25" i="50"/>
  <c r="D26" i="50"/>
  <c r="O26" i="50"/>
  <c r="P26" i="50"/>
  <c r="Q26" i="50"/>
  <c r="U26" i="50"/>
  <c r="V26" i="50"/>
  <c r="W26" i="50"/>
  <c r="X26" i="50"/>
  <c r="Y26" i="50"/>
  <c r="Z26" i="50"/>
  <c r="AA26" i="50"/>
  <c r="AB26" i="50"/>
  <c r="AC26" i="50"/>
  <c r="AD26" i="50"/>
  <c r="AE26" i="50"/>
  <c r="AF26" i="50"/>
  <c r="AG26" i="50"/>
  <c r="D27" i="50"/>
  <c r="O27" i="50"/>
  <c r="P27" i="50"/>
  <c r="Q27" i="50"/>
  <c r="U27" i="50"/>
  <c r="V27" i="50"/>
  <c r="W27" i="50"/>
  <c r="X27" i="50"/>
  <c r="Y27" i="50"/>
  <c r="Z27" i="50"/>
  <c r="AA27" i="50"/>
  <c r="AB27" i="50"/>
  <c r="AC27" i="50"/>
  <c r="AD27" i="50"/>
  <c r="AE27" i="50"/>
  <c r="AF27" i="50"/>
  <c r="AG27" i="50"/>
  <c r="D28" i="50"/>
  <c r="O28" i="50"/>
  <c r="P28" i="50"/>
  <c r="Q28" i="50"/>
  <c r="U28" i="50"/>
  <c r="V28" i="50"/>
  <c r="W28" i="50"/>
  <c r="X28" i="50"/>
  <c r="Y28" i="50"/>
  <c r="Z28" i="50"/>
  <c r="AA28" i="50"/>
  <c r="AB28" i="50"/>
  <c r="AC28" i="50"/>
  <c r="AD28" i="50"/>
  <c r="AE28" i="50"/>
  <c r="AF28" i="50"/>
  <c r="AG28" i="50"/>
  <c r="D29" i="50"/>
  <c r="O29" i="50"/>
  <c r="P29" i="50"/>
  <c r="Q29" i="50"/>
  <c r="U29" i="50"/>
  <c r="V29" i="50"/>
  <c r="W29" i="50"/>
  <c r="X29" i="50"/>
  <c r="Y29" i="50"/>
  <c r="Z29" i="50"/>
  <c r="AA29" i="50"/>
  <c r="AB29" i="50"/>
  <c r="AC29" i="50"/>
  <c r="AD29" i="50"/>
  <c r="AE29" i="50"/>
  <c r="AF29" i="50"/>
  <c r="AG29" i="50"/>
  <c r="D30" i="50"/>
  <c r="O30" i="50"/>
  <c r="P30" i="50"/>
  <c r="Q30" i="50"/>
  <c r="U30" i="50"/>
  <c r="V30" i="50"/>
  <c r="W30" i="50"/>
  <c r="X30" i="50"/>
  <c r="Y30" i="50"/>
  <c r="Z30" i="50"/>
  <c r="AA30" i="50"/>
  <c r="AB30" i="50"/>
  <c r="AC30" i="50"/>
  <c r="AD30" i="50"/>
  <c r="AE30" i="50"/>
  <c r="AF30" i="50"/>
  <c r="AG30" i="50"/>
  <c r="D31" i="50"/>
  <c r="O31" i="50"/>
  <c r="P31" i="50"/>
  <c r="Q31" i="50"/>
  <c r="U31" i="50"/>
  <c r="V31" i="50"/>
  <c r="W31" i="50"/>
  <c r="X31" i="50"/>
  <c r="Y31" i="50"/>
  <c r="Z31" i="50"/>
  <c r="AA31" i="50"/>
  <c r="AB31" i="50"/>
  <c r="AC31" i="50"/>
  <c r="AD31" i="50"/>
  <c r="AE31" i="50"/>
  <c r="AF31" i="50"/>
  <c r="AG31" i="50"/>
  <c r="D32" i="50"/>
  <c r="O32" i="50"/>
  <c r="P32" i="50"/>
  <c r="Q32" i="50"/>
  <c r="U32" i="50"/>
  <c r="V32" i="50"/>
  <c r="W32" i="50"/>
  <c r="X32" i="50"/>
  <c r="Y32" i="50"/>
  <c r="Z32" i="50"/>
  <c r="AA32" i="50"/>
  <c r="AB32" i="50"/>
  <c r="AC32" i="50"/>
  <c r="AD32" i="50"/>
  <c r="AE32" i="50"/>
  <c r="AF32" i="50"/>
  <c r="AG32" i="50"/>
  <c r="D33" i="50"/>
  <c r="O33" i="50"/>
  <c r="P33" i="50"/>
  <c r="Q33" i="50"/>
  <c r="U33" i="50"/>
  <c r="V33" i="50"/>
  <c r="W33" i="50"/>
  <c r="X33" i="50"/>
  <c r="Y33" i="50"/>
  <c r="Z33" i="50"/>
  <c r="AA33" i="50"/>
  <c r="AB33" i="50"/>
  <c r="AC33" i="50"/>
  <c r="AD33" i="50"/>
  <c r="AE33" i="50"/>
  <c r="AF33" i="50"/>
  <c r="AG33" i="50"/>
  <c r="D34" i="50"/>
  <c r="O34" i="50"/>
  <c r="P34" i="50"/>
  <c r="Q34" i="50"/>
  <c r="U34" i="50"/>
  <c r="V34" i="50"/>
  <c r="W34" i="50"/>
  <c r="X34" i="50"/>
  <c r="Y34" i="50"/>
  <c r="Z34" i="50"/>
  <c r="AA34" i="50"/>
  <c r="AB34" i="50"/>
  <c r="AC34" i="50"/>
  <c r="AD34" i="50"/>
  <c r="AE34" i="50"/>
  <c r="AF34" i="50"/>
  <c r="AG34" i="50"/>
  <c r="D35" i="50"/>
  <c r="O35" i="50"/>
  <c r="P35" i="50"/>
  <c r="Q35" i="50"/>
  <c r="U35" i="50"/>
  <c r="V35" i="50"/>
  <c r="W35" i="50"/>
  <c r="X35" i="50"/>
  <c r="Y35" i="50"/>
  <c r="Z35" i="50"/>
  <c r="AA35" i="50"/>
  <c r="AB35" i="50"/>
  <c r="AC35" i="50"/>
  <c r="AD35" i="50"/>
  <c r="AE35" i="50"/>
  <c r="AF35" i="50"/>
  <c r="AG35" i="50"/>
  <c r="D36" i="50"/>
  <c r="O36" i="50"/>
  <c r="P36" i="50"/>
  <c r="Q36" i="50"/>
  <c r="U36" i="50"/>
  <c r="V36" i="50"/>
  <c r="W36" i="50"/>
  <c r="X36" i="50"/>
  <c r="Y36" i="50"/>
  <c r="Z36" i="50"/>
  <c r="AA36" i="50"/>
  <c r="AB36" i="50"/>
  <c r="AC36" i="50"/>
  <c r="AD36" i="50"/>
  <c r="AE36" i="50"/>
  <c r="AF36" i="50"/>
  <c r="AG36" i="50"/>
  <c r="D37" i="50"/>
  <c r="O37" i="50"/>
  <c r="P37" i="50"/>
  <c r="Q37" i="50"/>
  <c r="U37" i="50"/>
  <c r="V37" i="50"/>
  <c r="W37" i="50"/>
  <c r="X37" i="50"/>
  <c r="Y37" i="50"/>
  <c r="Z37" i="50"/>
  <c r="AA37" i="50"/>
  <c r="AB37" i="50"/>
  <c r="AC37" i="50"/>
  <c r="AD37" i="50"/>
  <c r="AE37" i="50"/>
  <c r="AF37" i="50"/>
  <c r="AG37" i="50"/>
  <c r="M63" i="55"/>
  <c r="I63" i="55"/>
  <c r="N63" i="55"/>
  <c r="S63" i="55"/>
  <c r="M62" i="55"/>
  <c r="I62" i="55"/>
  <c r="N62" i="55"/>
  <c r="S62" i="55"/>
  <c r="M61" i="55"/>
  <c r="I61" i="55"/>
  <c r="N61" i="55"/>
  <c r="S61" i="55"/>
  <c r="M60" i="55"/>
  <c r="I60" i="55"/>
  <c r="N60" i="55"/>
  <c r="S60" i="55"/>
  <c r="M59" i="55"/>
  <c r="I59" i="55"/>
  <c r="N59" i="55"/>
  <c r="S59" i="55"/>
  <c r="M58" i="55"/>
  <c r="I58" i="55"/>
  <c r="N58" i="55"/>
  <c r="S58" i="55"/>
  <c r="M57" i="55"/>
  <c r="I57" i="55"/>
  <c r="N57" i="55"/>
  <c r="S57" i="55"/>
  <c r="M56" i="55"/>
  <c r="I56" i="55"/>
  <c r="N56" i="55"/>
  <c r="S56" i="55"/>
  <c r="M55" i="55"/>
  <c r="I55" i="55"/>
  <c r="N55" i="55"/>
  <c r="S55" i="55"/>
  <c r="M54" i="55"/>
  <c r="I54" i="55"/>
  <c r="N54" i="55"/>
  <c r="S54" i="55"/>
  <c r="M53" i="55"/>
  <c r="I53" i="55"/>
  <c r="N53" i="55"/>
  <c r="S53" i="55"/>
  <c r="M52" i="55"/>
  <c r="I52" i="55"/>
  <c r="N52" i="55"/>
  <c r="S52" i="55"/>
  <c r="M51" i="55"/>
  <c r="I51" i="55"/>
  <c r="N51" i="55"/>
  <c r="S51" i="55"/>
  <c r="M50" i="55"/>
  <c r="I50" i="55"/>
  <c r="N50" i="55"/>
  <c r="S50" i="55"/>
  <c r="M49" i="55"/>
  <c r="I49" i="55"/>
  <c r="N49" i="55"/>
  <c r="S49" i="55"/>
  <c r="M48" i="55"/>
  <c r="I48" i="55"/>
  <c r="N48" i="55"/>
  <c r="S48" i="55"/>
  <c r="M47" i="55"/>
  <c r="I47" i="55"/>
  <c r="N47" i="55"/>
  <c r="S47" i="55"/>
  <c r="M46" i="55"/>
  <c r="I46" i="55"/>
  <c r="N46" i="55"/>
  <c r="S46" i="55"/>
  <c r="M45" i="55"/>
  <c r="I45" i="55"/>
  <c r="N45" i="55"/>
  <c r="S45" i="55"/>
  <c r="M44" i="55"/>
  <c r="I44" i="55"/>
  <c r="N44" i="55"/>
  <c r="S44" i="55"/>
  <c r="M43" i="55"/>
  <c r="I43" i="55"/>
  <c r="N43" i="55"/>
  <c r="S43" i="55"/>
  <c r="M42" i="55"/>
  <c r="I42" i="55"/>
  <c r="N42" i="55"/>
  <c r="S42" i="55"/>
  <c r="M41" i="55"/>
  <c r="I41" i="55"/>
  <c r="N41" i="55"/>
  <c r="S41" i="55"/>
  <c r="M40" i="55"/>
  <c r="I40" i="55"/>
  <c r="N40" i="55"/>
  <c r="S40" i="55"/>
  <c r="M39" i="55"/>
  <c r="I39" i="55"/>
  <c r="N39" i="55"/>
  <c r="S39" i="55"/>
  <c r="M38" i="55"/>
  <c r="I38" i="55"/>
  <c r="N38" i="55"/>
  <c r="S38" i="55"/>
  <c r="M37" i="55"/>
  <c r="I37" i="55"/>
  <c r="N37" i="55"/>
  <c r="S37" i="55"/>
  <c r="M36" i="55"/>
  <c r="I36" i="55"/>
  <c r="N36" i="55"/>
  <c r="S36" i="55"/>
  <c r="M35" i="55"/>
  <c r="I35" i="55"/>
  <c r="N35" i="55"/>
  <c r="S35" i="55"/>
  <c r="M34" i="55"/>
  <c r="I34" i="55"/>
  <c r="N34" i="55"/>
  <c r="S34" i="55"/>
  <c r="M33" i="55"/>
  <c r="I33" i="55"/>
  <c r="N33" i="55"/>
  <c r="S33" i="55"/>
  <c r="M32" i="55"/>
  <c r="I32" i="55"/>
  <c r="N32" i="55"/>
  <c r="S32" i="55"/>
  <c r="M31" i="55"/>
  <c r="I31" i="55"/>
  <c r="N31" i="55"/>
  <c r="S31" i="55"/>
  <c r="M30" i="55"/>
  <c r="I30" i="55"/>
  <c r="N30" i="55"/>
  <c r="S30" i="55"/>
  <c r="M29" i="55"/>
  <c r="I29" i="55"/>
  <c r="N29" i="55"/>
  <c r="S29" i="55"/>
  <c r="M28" i="55"/>
  <c r="I28" i="55"/>
  <c r="N28" i="55"/>
  <c r="S28" i="55"/>
  <c r="M27" i="55"/>
  <c r="I27" i="55"/>
  <c r="N27" i="55"/>
  <c r="S27" i="55"/>
  <c r="M26" i="55"/>
  <c r="I26" i="55"/>
  <c r="N26" i="55"/>
  <c r="S26" i="55"/>
  <c r="M25" i="55"/>
  <c r="I25" i="55"/>
  <c r="N25" i="55"/>
  <c r="S25" i="55"/>
  <c r="M24" i="55"/>
  <c r="I24" i="55"/>
  <c r="N24" i="55"/>
  <c r="S24" i="55"/>
  <c r="M23" i="55"/>
  <c r="I23" i="55"/>
  <c r="N23" i="55"/>
  <c r="S23" i="55"/>
  <c r="M22" i="55"/>
  <c r="I22" i="55"/>
  <c r="N22" i="55"/>
  <c r="S22" i="55"/>
  <c r="M21" i="55"/>
  <c r="I21" i="55"/>
  <c r="N21" i="55"/>
  <c r="S21" i="55"/>
  <c r="M20" i="55"/>
  <c r="I20" i="55"/>
  <c r="N20" i="55"/>
  <c r="S20" i="55"/>
  <c r="M19" i="55"/>
  <c r="I19" i="55"/>
  <c r="N19" i="55"/>
  <c r="S19" i="55"/>
  <c r="M18" i="55"/>
  <c r="I18" i="55"/>
  <c r="N18" i="55"/>
  <c r="S18" i="55"/>
  <c r="M17" i="55"/>
  <c r="I17" i="55"/>
  <c r="N17" i="55"/>
  <c r="S17" i="55"/>
  <c r="R63" i="55"/>
  <c r="R62" i="55"/>
  <c r="R61" i="55"/>
  <c r="R60" i="55"/>
  <c r="R59" i="55"/>
  <c r="R58" i="55"/>
  <c r="R57" i="55"/>
  <c r="R56" i="55"/>
  <c r="R55" i="55"/>
  <c r="R54" i="55"/>
  <c r="R53" i="55"/>
  <c r="R52" i="55"/>
  <c r="R51" i="55"/>
  <c r="R50" i="55"/>
  <c r="R49" i="55"/>
  <c r="R48" i="55"/>
  <c r="R47" i="55"/>
  <c r="R46" i="55"/>
  <c r="R45" i="55"/>
  <c r="R44" i="55"/>
  <c r="R43" i="55"/>
  <c r="R42" i="55"/>
  <c r="R41" i="55"/>
  <c r="R40" i="55"/>
  <c r="R39" i="55"/>
  <c r="R38" i="55"/>
  <c r="R37" i="55"/>
  <c r="R36" i="55"/>
  <c r="R35" i="55"/>
  <c r="R34" i="55"/>
  <c r="R33" i="55"/>
  <c r="R32" i="55"/>
  <c r="R31" i="55"/>
  <c r="R30" i="55"/>
  <c r="R29" i="55"/>
  <c r="R28" i="55"/>
  <c r="R27" i="55"/>
  <c r="R26" i="55"/>
  <c r="R25" i="55"/>
  <c r="R24" i="55"/>
  <c r="R23" i="55"/>
  <c r="R22" i="55"/>
  <c r="R21" i="55"/>
  <c r="R20" i="55"/>
  <c r="R19" i="55"/>
  <c r="R18" i="55"/>
  <c r="R17" i="55"/>
  <c r="T63" i="55"/>
  <c r="T62" i="55"/>
  <c r="T61" i="55"/>
  <c r="T60" i="55"/>
  <c r="T59" i="55"/>
  <c r="T58" i="55"/>
  <c r="T57" i="55"/>
  <c r="T56" i="55"/>
  <c r="T55" i="55"/>
  <c r="T54" i="55"/>
  <c r="T53" i="55"/>
  <c r="T52" i="55"/>
  <c r="T51" i="55"/>
  <c r="T50" i="55"/>
  <c r="T49" i="55"/>
  <c r="T48" i="55"/>
  <c r="T47" i="55"/>
  <c r="T46" i="55"/>
  <c r="T45" i="55"/>
  <c r="T44" i="55"/>
  <c r="T43" i="55"/>
  <c r="T42" i="55"/>
  <c r="T41" i="55"/>
  <c r="T40" i="55"/>
  <c r="T39" i="55"/>
  <c r="T38" i="55"/>
  <c r="T37" i="55"/>
  <c r="T36" i="55"/>
  <c r="T35" i="55"/>
  <c r="T34" i="55"/>
  <c r="T33" i="55"/>
  <c r="T32" i="55"/>
  <c r="T31" i="55"/>
  <c r="T30" i="55"/>
  <c r="T29" i="55"/>
  <c r="T28" i="55"/>
  <c r="T27" i="55"/>
  <c r="T26" i="55"/>
  <c r="T25" i="55"/>
  <c r="T24" i="55"/>
  <c r="T23" i="55"/>
  <c r="T22" i="55"/>
  <c r="T21" i="55"/>
  <c r="T20" i="55"/>
  <c r="T19" i="55"/>
  <c r="T18" i="55"/>
  <c r="T17" i="55"/>
  <c r="D17" i="55"/>
  <c r="O17" i="55"/>
  <c r="P17" i="55"/>
  <c r="Q17" i="55"/>
  <c r="U17" i="55"/>
  <c r="V17" i="55"/>
  <c r="W17" i="55"/>
  <c r="X17" i="55"/>
  <c r="Y17" i="55"/>
  <c r="Z17" i="55"/>
  <c r="AA17" i="55"/>
  <c r="AB17" i="55"/>
  <c r="AC17" i="55"/>
  <c r="AD17" i="55"/>
  <c r="AE17" i="55"/>
  <c r="AF17" i="55"/>
  <c r="AG17" i="55"/>
  <c r="D18" i="55"/>
  <c r="O18" i="55"/>
  <c r="P18" i="55"/>
  <c r="Q18" i="55"/>
  <c r="U18" i="55"/>
  <c r="V18" i="55"/>
  <c r="W18" i="55"/>
  <c r="X18" i="55"/>
  <c r="Y18" i="55"/>
  <c r="Z18" i="55"/>
  <c r="AA18" i="55"/>
  <c r="AB18" i="55"/>
  <c r="AC18" i="55"/>
  <c r="AD18" i="55"/>
  <c r="AE18" i="55"/>
  <c r="AF18" i="55"/>
  <c r="AG18" i="55"/>
  <c r="D19" i="55"/>
  <c r="O19" i="55"/>
  <c r="P19" i="55"/>
  <c r="Q19" i="55"/>
  <c r="U19" i="55"/>
  <c r="V19" i="55"/>
  <c r="W19" i="55"/>
  <c r="X19" i="55"/>
  <c r="Y19" i="55"/>
  <c r="Z19" i="55"/>
  <c r="AA19" i="55"/>
  <c r="AB19" i="55"/>
  <c r="AC19" i="55"/>
  <c r="AD19" i="55"/>
  <c r="AE19" i="55"/>
  <c r="AF19" i="55"/>
  <c r="AG19" i="55"/>
  <c r="D20" i="55"/>
  <c r="O20" i="55"/>
  <c r="P20" i="55"/>
  <c r="Q20" i="55"/>
  <c r="U20" i="55"/>
  <c r="V20" i="55"/>
  <c r="W20" i="55"/>
  <c r="X20" i="55"/>
  <c r="Y20" i="55"/>
  <c r="Z20" i="55"/>
  <c r="AA20" i="55"/>
  <c r="AB20" i="55"/>
  <c r="AC20" i="55"/>
  <c r="AD20" i="55"/>
  <c r="AE20" i="55"/>
  <c r="AF20" i="55"/>
  <c r="AG20" i="55"/>
  <c r="D21" i="55"/>
  <c r="O21" i="55"/>
  <c r="P21" i="55"/>
  <c r="Q21" i="55"/>
  <c r="U21" i="55"/>
  <c r="V21" i="55"/>
  <c r="W21" i="55"/>
  <c r="X21" i="55"/>
  <c r="Y21" i="55"/>
  <c r="Z21" i="55"/>
  <c r="AA21" i="55"/>
  <c r="AB21" i="55"/>
  <c r="AC21" i="55"/>
  <c r="AD21" i="55"/>
  <c r="AE21" i="55"/>
  <c r="AF21" i="55"/>
  <c r="AG21" i="55"/>
  <c r="D22" i="55"/>
  <c r="O22" i="55"/>
  <c r="P22" i="55"/>
  <c r="Q22" i="55"/>
  <c r="U22" i="55"/>
  <c r="V22" i="55"/>
  <c r="W22" i="55"/>
  <c r="X22" i="55"/>
  <c r="Y22" i="55"/>
  <c r="Z22" i="55"/>
  <c r="AA22" i="55"/>
  <c r="AB22" i="55"/>
  <c r="AC22" i="55"/>
  <c r="AD22" i="55"/>
  <c r="AE22" i="55"/>
  <c r="AF22" i="55"/>
  <c r="AG22" i="55"/>
  <c r="D23" i="55"/>
  <c r="O23" i="55"/>
  <c r="P23" i="55"/>
  <c r="Q23" i="55"/>
  <c r="U23" i="55"/>
  <c r="V23" i="55"/>
  <c r="W23" i="55"/>
  <c r="X23" i="55"/>
  <c r="Y23" i="55"/>
  <c r="Z23" i="55"/>
  <c r="AA23" i="55"/>
  <c r="AB23" i="55"/>
  <c r="AC23" i="55"/>
  <c r="AD23" i="55"/>
  <c r="AE23" i="55"/>
  <c r="AF23" i="55"/>
  <c r="AG23" i="55"/>
  <c r="D24" i="55"/>
  <c r="O24" i="55"/>
  <c r="P24" i="55"/>
  <c r="Q24" i="55"/>
  <c r="U24" i="55"/>
  <c r="V24" i="55"/>
  <c r="W24" i="55"/>
  <c r="X24" i="55"/>
  <c r="Y24" i="55"/>
  <c r="Z24" i="55"/>
  <c r="AA24" i="55"/>
  <c r="AB24" i="55"/>
  <c r="AC24" i="55"/>
  <c r="AD24" i="55"/>
  <c r="AE24" i="55"/>
  <c r="AF24" i="55"/>
  <c r="AG24" i="55"/>
  <c r="D25" i="55"/>
  <c r="O25" i="55"/>
  <c r="P25" i="55"/>
  <c r="Q25" i="55"/>
  <c r="U25" i="55"/>
  <c r="V25" i="55"/>
  <c r="W25" i="55"/>
  <c r="X25" i="55"/>
  <c r="Y25" i="55"/>
  <c r="Z25" i="55"/>
  <c r="AA25" i="55"/>
  <c r="AB25" i="55"/>
  <c r="AC25" i="55"/>
  <c r="AD25" i="55"/>
  <c r="AE25" i="55"/>
  <c r="AF25" i="55"/>
  <c r="AG25" i="55"/>
  <c r="D26" i="55"/>
  <c r="O26" i="55"/>
  <c r="P26" i="55"/>
  <c r="Q26" i="55"/>
  <c r="U26" i="55"/>
  <c r="V26" i="55"/>
  <c r="W26" i="55"/>
  <c r="X26" i="55"/>
  <c r="Y26" i="55"/>
  <c r="Z26" i="55"/>
  <c r="AA26" i="55"/>
  <c r="AB26" i="55"/>
  <c r="AC26" i="55"/>
  <c r="AD26" i="55"/>
  <c r="AE26" i="55"/>
  <c r="AF26" i="55"/>
  <c r="AG26" i="55"/>
  <c r="D27" i="55"/>
  <c r="O27" i="55"/>
  <c r="P27" i="55"/>
  <c r="Q27" i="55"/>
  <c r="U27" i="55"/>
  <c r="V27" i="55"/>
  <c r="W27" i="55"/>
  <c r="X27" i="55"/>
  <c r="Y27" i="55"/>
  <c r="Z27" i="55"/>
  <c r="AA27" i="55"/>
  <c r="AB27" i="55"/>
  <c r="AC27" i="55"/>
  <c r="AD27" i="55"/>
  <c r="AE27" i="55"/>
  <c r="AF27" i="55"/>
  <c r="AG27" i="55"/>
  <c r="D28" i="55"/>
  <c r="O28" i="55"/>
  <c r="P28" i="55"/>
  <c r="Q28" i="55"/>
  <c r="U28" i="55"/>
  <c r="V28" i="55"/>
  <c r="W28" i="55"/>
  <c r="X28" i="55"/>
  <c r="Y28" i="55"/>
  <c r="Z28" i="55"/>
  <c r="AA28" i="55"/>
  <c r="AB28" i="55"/>
  <c r="AC28" i="55"/>
  <c r="AD28" i="55"/>
  <c r="AE28" i="55"/>
  <c r="AF28" i="55"/>
  <c r="AG28" i="55"/>
  <c r="D29" i="55"/>
  <c r="O29" i="55"/>
  <c r="P29" i="55"/>
  <c r="Q29" i="55"/>
  <c r="U29" i="55"/>
  <c r="V29" i="55"/>
  <c r="W29" i="55"/>
  <c r="X29" i="55"/>
  <c r="Y29" i="55"/>
  <c r="Z29" i="55"/>
  <c r="AA29" i="55"/>
  <c r="AB29" i="55"/>
  <c r="AC29" i="55"/>
  <c r="AD29" i="55"/>
  <c r="AE29" i="55"/>
  <c r="AF29" i="55"/>
  <c r="AG29" i="55"/>
  <c r="D30" i="55"/>
  <c r="O30" i="55"/>
  <c r="P30" i="55"/>
  <c r="Q30" i="55"/>
  <c r="U30" i="55"/>
  <c r="V30" i="55"/>
  <c r="W30" i="55"/>
  <c r="X30" i="55"/>
  <c r="Y30" i="55"/>
  <c r="Z30" i="55"/>
  <c r="AA30" i="55"/>
  <c r="AB30" i="55"/>
  <c r="AC30" i="55"/>
  <c r="AD30" i="55"/>
  <c r="AE30" i="55"/>
  <c r="AF30" i="55"/>
  <c r="AG30" i="55"/>
  <c r="D31" i="55"/>
  <c r="O31" i="55"/>
  <c r="P31" i="55"/>
  <c r="Q31" i="55"/>
  <c r="U31" i="55"/>
  <c r="V31" i="55"/>
  <c r="W31" i="55"/>
  <c r="X31" i="55"/>
  <c r="Y31" i="55"/>
  <c r="Z31" i="55"/>
  <c r="AA31" i="55"/>
  <c r="AB31" i="55"/>
  <c r="AC31" i="55"/>
  <c r="AD31" i="55"/>
  <c r="AE31" i="55"/>
  <c r="AF31" i="55"/>
  <c r="AG31" i="55"/>
  <c r="D32" i="55"/>
  <c r="O32" i="55"/>
  <c r="P32" i="55"/>
  <c r="Q32" i="55"/>
  <c r="U32" i="55"/>
  <c r="V32" i="55"/>
  <c r="W32" i="55"/>
  <c r="X32" i="55"/>
  <c r="Y32" i="55"/>
  <c r="Z32" i="55"/>
  <c r="AA32" i="55"/>
  <c r="AB32" i="55"/>
  <c r="AC32" i="55"/>
  <c r="AD32" i="55"/>
  <c r="AE32" i="55"/>
  <c r="AF32" i="55"/>
  <c r="AG32" i="55"/>
  <c r="D33" i="55"/>
  <c r="O33" i="55"/>
  <c r="P33" i="55"/>
  <c r="Q33" i="55"/>
  <c r="U33" i="55"/>
  <c r="V33" i="55"/>
  <c r="W33" i="55"/>
  <c r="X33" i="55"/>
  <c r="Y33" i="55"/>
  <c r="Z33" i="55"/>
  <c r="AA33" i="55"/>
  <c r="AB33" i="55"/>
  <c r="AC33" i="55"/>
  <c r="AD33" i="55"/>
  <c r="AE33" i="55"/>
  <c r="AF33" i="55"/>
  <c r="AG33" i="55"/>
  <c r="D34" i="55"/>
  <c r="O34" i="55"/>
  <c r="P34" i="55"/>
  <c r="Q34" i="55"/>
  <c r="U34" i="55"/>
  <c r="V34" i="55"/>
  <c r="W34" i="55"/>
  <c r="X34" i="55"/>
  <c r="Y34" i="55"/>
  <c r="Z34" i="55"/>
  <c r="AA34" i="55"/>
  <c r="AB34" i="55"/>
  <c r="AC34" i="55"/>
  <c r="AD34" i="55"/>
  <c r="AE34" i="55"/>
  <c r="AF34" i="55"/>
  <c r="AG34" i="55"/>
  <c r="D35" i="55"/>
  <c r="O35" i="55"/>
  <c r="P35" i="55"/>
  <c r="Q35" i="55"/>
  <c r="U35" i="55"/>
  <c r="V35" i="55"/>
  <c r="W35" i="55"/>
  <c r="X35" i="55"/>
  <c r="Y35" i="55"/>
  <c r="Z35" i="55"/>
  <c r="AA35" i="55"/>
  <c r="AB35" i="55"/>
  <c r="AC35" i="55"/>
  <c r="AD35" i="55"/>
  <c r="AE35" i="55"/>
  <c r="AF35" i="55"/>
  <c r="AG35" i="55"/>
  <c r="D36" i="55"/>
  <c r="O36" i="55"/>
  <c r="P36" i="55"/>
  <c r="Q36" i="55"/>
  <c r="U36" i="55"/>
  <c r="V36" i="55"/>
  <c r="W36" i="55"/>
  <c r="X36" i="55"/>
  <c r="Y36" i="55"/>
  <c r="Z36" i="55"/>
  <c r="AA36" i="55"/>
  <c r="AB36" i="55"/>
  <c r="AC36" i="55"/>
  <c r="AD36" i="55"/>
  <c r="AE36" i="55"/>
  <c r="AF36" i="55"/>
  <c r="AG36" i="55"/>
  <c r="D37" i="55"/>
  <c r="O37" i="55"/>
  <c r="P37" i="55"/>
  <c r="Q37" i="55"/>
  <c r="U37" i="55"/>
  <c r="V37" i="55"/>
  <c r="W37" i="55"/>
  <c r="X37" i="55"/>
  <c r="Y37" i="55"/>
  <c r="Z37" i="55"/>
  <c r="AA37" i="55"/>
  <c r="AB37" i="55"/>
  <c r="AC37" i="55"/>
  <c r="AD37" i="55"/>
  <c r="AE37" i="55"/>
  <c r="AF37" i="55"/>
  <c r="AG37" i="55"/>
  <c r="D38" i="55"/>
  <c r="O38" i="55"/>
  <c r="P38" i="55"/>
  <c r="Q38" i="55"/>
  <c r="U38" i="55"/>
  <c r="V38" i="55"/>
  <c r="W38" i="55"/>
  <c r="X38" i="55"/>
  <c r="Y38" i="55"/>
  <c r="Z38" i="55"/>
  <c r="AA38" i="55"/>
  <c r="AB38" i="55"/>
  <c r="AC38" i="55"/>
  <c r="AD38" i="55"/>
  <c r="AE38" i="55"/>
  <c r="AF38" i="55"/>
  <c r="AG38" i="55"/>
  <c r="D39" i="55"/>
  <c r="O39" i="55"/>
  <c r="P39" i="55"/>
  <c r="Q39" i="55"/>
  <c r="U39" i="55"/>
  <c r="V39" i="55"/>
  <c r="W39" i="55"/>
  <c r="X39" i="55"/>
  <c r="Y39" i="55"/>
  <c r="Z39" i="55"/>
  <c r="AA39" i="55"/>
  <c r="AB39" i="55"/>
  <c r="AC39" i="55"/>
  <c r="AD39" i="55"/>
  <c r="AE39" i="55"/>
  <c r="AF39" i="55"/>
  <c r="AG39" i="55"/>
  <c r="D40" i="55"/>
  <c r="O40" i="55"/>
  <c r="P40" i="55"/>
  <c r="Q40" i="55"/>
  <c r="U40" i="55"/>
  <c r="V40" i="55"/>
  <c r="W40" i="55"/>
  <c r="X40" i="55"/>
  <c r="Y40" i="55"/>
  <c r="Z40" i="55"/>
  <c r="AA40" i="55"/>
  <c r="AB40" i="55"/>
  <c r="AC40" i="55"/>
  <c r="AD40" i="55"/>
  <c r="AE40" i="55"/>
  <c r="AF40" i="55"/>
  <c r="AG40" i="55"/>
  <c r="D41" i="55"/>
  <c r="O41" i="55"/>
  <c r="P41" i="55"/>
  <c r="Q41" i="55"/>
  <c r="U41" i="55"/>
  <c r="V41" i="55"/>
  <c r="W41" i="55"/>
  <c r="X41" i="55"/>
  <c r="Y41" i="55"/>
  <c r="Z41" i="55"/>
  <c r="AA41" i="55"/>
  <c r="AB41" i="55"/>
  <c r="AC41" i="55"/>
  <c r="AD41" i="55"/>
  <c r="AE41" i="55"/>
  <c r="AF41" i="55"/>
  <c r="AG41" i="55"/>
  <c r="D42" i="55"/>
  <c r="O42" i="55"/>
  <c r="P42" i="55"/>
  <c r="Q42" i="55"/>
  <c r="U42" i="55"/>
  <c r="V42" i="55"/>
  <c r="W42" i="55"/>
  <c r="X42" i="55"/>
  <c r="Y42" i="55"/>
  <c r="Z42" i="55"/>
  <c r="AA42" i="55"/>
  <c r="AB42" i="55"/>
  <c r="AC42" i="55"/>
  <c r="AD42" i="55"/>
  <c r="AE42" i="55"/>
  <c r="AF42" i="55"/>
  <c r="AG42" i="55"/>
  <c r="D43" i="55"/>
  <c r="O43" i="55"/>
  <c r="P43" i="55"/>
  <c r="Q43" i="55"/>
  <c r="U43" i="55"/>
  <c r="V43" i="55"/>
  <c r="W43" i="55"/>
  <c r="X43" i="55"/>
  <c r="Y43" i="55"/>
  <c r="Z43" i="55"/>
  <c r="AA43" i="55"/>
  <c r="AB43" i="55"/>
  <c r="AC43" i="55"/>
  <c r="AD43" i="55"/>
  <c r="AE43" i="55"/>
  <c r="AF43" i="55"/>
  <c r="AG43" i="55"/>
  <c r="D44" i="55"/>
  <c r="O44" i="55"/>
  <c r="P44" i="55"/>
  <c r="Q44" i="55"/>
  <c r="U44" i="55"/>
  <c r="V44" i="55"/>
  <c r="W44" i="55"/>
  <c r="X44" i="55"/>
  <c r="Y44" i="55"/>
  <c r="Z44" i="55"/>
  <c r="AA44" i="55"/>
  <c r="AB44" i="55"/>
  <c r="AC44" i="55"/>
  <c r="AD44" i="55"/>
  <c r="AE44" i="55"/>
  <c r="AF44" i="55"/>
  <c r="AG44" i="55"/>
  <c r="D45" i="55"/>
  <c r="O45" i="55"/>
  <c r="P45" i="55"/>
  <c r="Q45" i="55"/>
  <c r="U45" i="55"/>
  <c r="V45" i="55"/>
  <c r="W45" i="55"/>
  <c r="X45" i="55"/>
  <c r="Y45" i="55"/>
  <c r="Z45" i="55"/>
  <c r="AA45" i="55"/>
  <c r="AB45" i="55"/>
  <c r="AC45" i="55"/>
  <c r="AD45" i="55"/>
  <c r="AE45" i="55"/>
  <c r="AF45" i="55"/>
  <c r="AG45" i="55"/>
  <c r="D46" i="55"/>
  <c r="O46" i="55"/>
  <c r="P46" i="55"/>
  <c r="Q46" i="55"/>
  <c r="U46" i="55"/>
  <c r="V46" i="55"/>
  <c r="W46" i="55"/>
  <c r="X46" i="55"/>
  <c r="Y46" i="55"/>
  <c r="Z46" i="55"/>
  <c r="AA46" i="55"/>
  <c r="AB46" i="55"/>
  <c r="AC46" i="55"/>
  <c r="AD46" i="55"/>
  <c r="AE46" i="55"/>
  <c r="AF46" i="55"/>
  <c r="AG46" i="55"/>
  <c r="D47" i="55"/>
  <c r="O47" i="55"/>
  <c r="P47" i="55"/>
  <c r="Q47" i="55"/>
  <c r="U47" i="55"/>
  <c r="V47" i="55"/>
  <c r="W47" i="55"/>
  <c r="X47" i="55"/>
  <c r="Y47" i="55"/>
  <c r="Z47" i="55"/>
  <c r="AA47" i="55"/>
  <c r="AB47" i="55"/>
  <c r="AC47" i="55"/>
  <c r="AD47" i="55"/>
  <c r="AE47" i="55"/>
  <c r="AF47" i="55"/>
  <c r="AG47" i="55"/>
  <c r="D48" i="55"/>
  <c r="O48" i="55"/>
  <c r="P48" i="55"/>
  <c r="Q48" i="55"/>
  <c r="U48" i="55"/>
  <c r="V48" i="55"/>
  <c r="W48" i="55"/>
  <c r="X48" i="55"/>
  <c r="Y48" i="55"/>
  <c r="Z48" i="55"/>
  <c r="AA48" i="55"/>
  <c r="AB48" i="55"/>
  <c r="AC48" i="55"/>
  <c r="AD48" i="55"/>
  <c r="AE48" i="55"/>
  <c r="AF48" i="55"/>
  <c r="AG48" i="55"/>
  <c r="D49" i="55"/>
  <c r="O49" i="55"/>
  <c r="P49" i="55"/>
  <c r="Q49" i="55"/>
  <c r="U49" i="55"/>
  <c r="V49" i="55"/>
  <c r="W49" i="55"/>
  <c r="X49" i="55"/>
  <c r="Y49" i="55"/>
  <c r="Z49" i="55"/>
  <c r="AA49" i="55"/>
  <c r="AB49" i="55"/>
  <c r="AC49" i="55"/>
  <c r="AD49" i="55"/>
  <c r="AE49" i="55"/>
  <c r="AF49" i="55"/>
  <c r="AG49" i="55"/>
  <c r="D50" i="55"/>
  <c r="O50" i="55"/>
  <c r="P50" i="55"/>
  <c r="Q50" i="55"/>
  <c r="U50" i="55"/>
  <c r="V50" i="55"/>
  <c r="W50" i="55"/>
  <c r="X50" i="55"/>
  <c r="Y50" i="55"/>
  <c r="Z50" i="55"/>
  <c r="AA50" i="55"/>
  <c r="AB50" i="55"/>
  <c r="AC50" i="55"/>
  <c r="AD50" i="55"/>
  <c r="AE50" i="55"/>
  <c r="AF50" i="55"/>
  <c r="AG50" i="55"/>
  <c r="D51" i="55"/>
  <c r="O51" i="55"/>
  <c r="P51" i="55"/>
  <c r="Q51" i="55"/>
  <c r="U51" i="55"/>
  <c r="V51" i="55"/>
  <c r="W51" i="55"/>
  <c r="X51" i="55"/>
  <c r="Y51" i="55"/>
  <c r="Z51" i="55"/>
  <c r="AA51" i="55"/>
  <c r="AB51" i="55"/>
  <c r="AC51" i="55"/>
  <c r="AD51" i="55"/>
  <c r="AE51" i="55"/>
  <c r="AF51" i="55"/>
  <c r="AG51" i="55"/>
  <c r="D52" i="55"/>
  <c r="O52" i="55"/>
  <c r="P52" i="55"/>
  <c r="Q52" i="55"/>
  <c r="U52" i="55"/>
  <c r="V52" i="55"/>
  <c r="W52" i="55"/>
  <c r="X52" i="55"/>
  <c r="Y52" i="55"/>
  <c r="Z52" i="55"/>
  <c r="AA52" i="55"/>
  <c r="AB52" i="55"/>
  <c r="AC52" i="55"/>
  <c r="AD52" i="55"/>
  <c r="AE52" i="55"/>
  <c r="AF52" i="55"/>
  <c r="AG52" i="55"/>
  <c r="D53" i="55"/>
  <c r="O53" i="55"/>
  <c r="P53" i="55"/>
  <c r="Q53" i="55"/>
  <c r="U53" i="55"/>
  <c r="V53" i="55"/>
  <c r="W53" i="55"/>
  <c r="X53" i="55"/>
  <c r="Y53" i="55"/>
  <c r="Z53" i="55"/>
  <c r="AA53" i="55"/>
  <c r="AB53" i="55"/>
  <c r="AC53" i="55"/>
  <c r="AD53" i="55"/>
  <c r="AE53" i="55"/>
  <c r="AF53" i="55"/>
  <c r="AG53" i="55"/>
  <c r="D54" i="55"/>
  <c r="O54" i="55"/>
  <c r="P54" i="55"/>
  <c r="Q54" i="55"/>
  <c r="U54" i="55"/>
  <c r="V54" i="55"/>
  <c r="W54" i="55"/>
  <c r="X54" i="55"/>
  <c r="Y54" i="55"/>
  <c r="Z54" i="55"/>
  <c r="AA54" i="55"/>
  <c r="AB54" i="55"/>
  <c r="AC54" i="55"/>
  <c r="AD54" i="55"/>
  <c r="AE54" i="55"/>
  <c r="AF54" i="55"/>
  <c r="AG54" i="55"/>
  <c r="D55" i="55"/>
  <c r="O55" i="55"/>
  <c r="P55" i="55"/>
  <c r="Q55" i="55"/>
  <c r="U55" i="55"/>
  <c r="V55" i="55"/>
  <c r="W55" i="55"/>
  <c r="X55" i="55"/>
  <c r="Y55" i="55"/>
  <c r="Z55" i="55"/>
  <c r="AA55" i="55"/>
  <c r="AB55" i="55"/>
  <c r="AC55" i="55"/>
  <c r="AD55" i="55"/>
  <c r="AE55" i="55"/>
  <c r="AF55" i="55"/>
  <c r="AG55" i="55"/>
  <c r="D56" i="55"/>
  <c r="O56" i="55"/>
  <c r="P56" i="55"/>
  <c r="Q56" i="55"/>
  <c r="U56" i="55"/>
  <c r="V56" i="55"/>
  <c r="W56" i="55"/>
  <c r="X56" i="55"/>
  <c r="Y56" i="55"/>
  <c r="Z56" i="55"/>
  <c r="AA56" i="55"/>
  <c r="AB56" i="55"/>
  <c r="AC56" i="55"/>
  <c r="AD56" i="55"/>
  <c r="AE56" i="55"/>
  <c r="AF56" i="55"/>
  <c r="AG56" i="55"/>
  <c r="D57" i="55"/>
  <c r="O57" i="55"/>
  <c r="P57" i="55"/>
  <c r="Q57" i="55"/>
  <c r="U57" i="55"/>
  <c r="V57" i="55"/>
  <c r="W57" i="55"/>
  <c r="X57" i="55"/>
  <c r="Y57" i="55"/>
  <c r="Z57" i="55"/>
  <c r="AA57" i="55"/>
  <c r="AB57" i="55"/>
  <c r="AC57" i="55"/>
  <c r="AD57" i="55"/>
  <c r="AE57" i="55"/>
  <c r="AF57" i="55"/>
  <c r="AG57" i="55"/>
  <c r="D58" i="55"/>
  <c r="O58" i="55"/>
  <c r="P58" i="55"/>
  <c r="Q58" i="55"/>
  <c r="U58" i="55"/>
  <c r="V58" i="55"/>
  <c r="W58" i="55"/>
  <c r="X58" i="55"/>
  <c r="Y58" i="55"/>
  <c r="Z58" i="55"/>
  <c r="AA58" i="55"/>
  <c r="AB58" i="55"/>
  <c r="AC58" i="55"/>
  <c r="AD58" i="55"/>
  <c r="AE58" i="55"/>
  <c r="AF58" i="55"/>
  <c r="AG58" i="55"/>
  <c r="D59" i="55"/>
  <c r="O59" i="55"/>
  <c r="P59" i="55"/>
  <c r="Q59" i="55"/>
  <c r="U59" i="55"/>
  <c r="V59" i="55"/>
  <c r="W59" i="55"/>
  <c r="X59" i="55"/>
  <c r="Y59" i="55"/>
  <c r="Z59" i="55"/>
  <c r="AA59" i="55"/>
  <c r="AB59" i="55"/>
  <c r="AC59" i="55"/>
  <c r="AD59" i="55"/>
  <c r="AE59" i="55"/>
  <c r="AF59" i="55"/>
  <c r="AG59" i="55"/>
  <c r="D60" i="55"/>
  <c r="O60" i="55"/>
  <c r="P60" i="55"/>
  <c r="Q60" i="55"/>
  <c r="U60" i="55"/>
  <c r="V60" i="55"/>
  <c r="W60" i="55"/>
  <c r="X60" i="55"/>
  <c r="Y60" i="55"/>
  <c r="Z60" i="55"/>
  <c r="AA60" i="55"/>
  <c r="AB60" i="55"/>
  <c r="AC60" i="55"/>
  <c r="AD60" i="55"/>
  <c r="AE60" i="55"/>
  <c r="AF60" i="55"/>
  <c r="AG60" i="55"/>
  <c r="D61" i="55"/>
  <c r="O61" i="55"/>
  <c r="P61" i="55"/>
  <c r="Q61" i="55"/>
  <c r="U61" i="55"/>
  <c r="V61" i="55"/>
  <c r="W61" i="55"/>
  <c r="X61" i="55"/>
  <c r="Y61" i="55"/>
  <c r="Z61" i="55"/>
  <c r="AA61" i="55"/>
  <c r="AB61" i="55"/>
  <c r="AC61" i="55"/>
  <c r="AD61" i="55"/>
  <c r="AE61" i="55"/>
  <c r="AF61" i="55"/>
  <c r="AG61" i="55"/>
  <c r="D62" i="55"/>
  <c r="O62" i="55"/>
  <c r="P62" i="55"/>
  <c r="Q62" i="55"/>
  <c r="U62" i="55"/>
  <c r="V62" i="55"/>
  <c r="W62" i="55"/>
  <c r="X62" i="55"/>
  <c r="Y62" i="55"/>
  <c r="Z62" i="55"/>
  <c r="AA62" i="55"/>
  <c r="AB62" i="55"/>
  <c r="AC62" i="55"/>
  <c r="AD62" i="55"/>
  <c r="AE62" i="55"/>
  <c r="AF62" i="55"/>
  <c r="AG62" i="55"/>
  <c r="D63" i="55"/>
  <c r="O63" i="55"/>
  <c r="P63" i="55"/>
  <c r="Q63" i="55"/>
  <c r="U63" i="55"/>
  <c r="V63" i="55"/>
  <c r="W63" i="55"/>
  <c r="X63" i="55"/>
  <c r="Y63" i="55"/>
  <c r="Z63" i="55"/>
  <c r="AA63" i="55"/>
  <c r="AB63" i="55"/>
  <c r="AC63" i="55"/>
  <c r="AD63" i="55"/>
  <c r="AE63" i="55"/>
  <c r="AF63" i="55"/>
  <c r="AG63" i="55"/>
  <c r="M29" i="51"/>
  <c r="I29" i="51"/>
  <c r="N29" i="51"/>
  <c r="S29" i="51"/>
  <c r="M28" i="51"/>
  <c r="I28" i="51"/>
  <c r="N28" i="51"/>
  <c r="S28" i="51"/>
  <c r="M27" i="51"/>
  <c r="I27" i="51"/>
  <c r="N27" i="51"/>
  <c r="S27" i="51"/>
  <c r="M26" i="51"/>
  <c r="I26" i="51"/>
  <c r="N26" i="51"/>
  <c r="S26" i="51"/>
  <c r="M25" i="51"/>
  <c r="I25" i="51"/>
  <c r="N25" i="51"/>
  <c r="S25" i="51"/>
  <c r="M24" i="51"/>
  <c r="I24" i="51"/>
  <c r="N24" i="51"/>
  <c r="S24" i="51"/>
  <c r="M23" i="51"/>
  <c r="I23" i="51"/>
  <c r="N23" i="51"/>
  <c r="S23" i="51"/>
  <c r="M22" i="51"/>
  <c r="I22" i="51"/>
  <c r="N22" i="51"/>
  <c r="S22" i="51"/>
  <c r="M21" i="51"/>
  <c r="I21" i="51"/>
  <c r="N21" i="51"/>
  <c r="S21" i="51"/>
  <c r="M20" i="51"/>
  <c r="I20" i="51"/>
  <c r="N20" i="51"/>
  <c r="S20" i="51"/>
  <c r="M19" i="51"/>
  <c r="I19" i="51"/>
  <c r="N19" i="51"/>
  <c r="S19" i="51"/>
  <c r="M18" i="51"/>
  <c r="I18" i="51"/>
  <c r="N18" i="51"/>
  <c r="S18" i="51"/>
  <c r="M17" i="51"/>
  <c r="I17" i="51"/>
  <c r="N17" i="51"/>
  <c r="S17" i="51"/>
  <c r="R29" i="51"/>
  <c r="R28" i="51"/>
  <c r="R27" i="51"/>
  <c r="R26" i="51"/>
  <c r="R25" i="51"/>
  <c r="R24" i="51"/>
  <c r="R23" i="51"/>
  <c r="R22" i="51"/>
  <c r="R21" i="51"/>
  <c r="R20" i="51"/>
  <c r="R19" i="51"/>
  <c r="R18" i="51"/>
  <c r="R17" i="51"/>
  <c r="T29" i="51"/>
  <c r="T28" i="51"/>
  <c r="T27" i="51"/>
  <c r="T26" i="51"/>
  <c r="T25" i="51"/>
  <c r="T24" i="51"/>
  <c r="T23" i="51"/>
  <c r="T22" i="51"/>
  <c r="T21" i="51"/>
  <c r="T20" i="51"/>
  <c r="T19" i="51"/>
  <c r="T18" i="51"/>
  <c r="T17" i="51"/>
  <c r="D17" i="51"/>
  <c r="O17" i="51"/>
  <c r="P17" i="51"/>
  <c r="Q17" i="51"/>
  <c r="U17" i="51"/>
  <c r="V17" i="51"/>
  <c r="W17" i="51"/>
  <c r="X17" i="51"/>
  <c r="Y17" i="51"/>
  <c r="Z17" i="51"/>
  <c r="AA17" i="51"/>
  <c r="AB17" i="51"/>
  <c r="AC17" i="51"/>
  <c r="AD17" i="51"/>
  <c r="AE17" i="51"/>
  <c r="AF17" i="51"/>
  <c r="AG17" i="51"/>
  <c r="D18" i="51"/>
  <c r="O18" i="51"/>
  <c r="P18" i="51"/>
  <c r="Q18" i="51"/>
  <c r="U18" i="51"/>
  <c r="V18" i="51"/>
  <c r="W18" i="51"/>
  <c r="X18" i="51"/>
  <c r="Y18" i="51"/>
  <c r="Z18" i="51"/>
  <c r="AA18" i="51"/>
  <c r="AB18" i="51"/>
  <c r="AC18" i="51"/>
  <c r="AD18" i="51"/>
  <c r="AE18" i="51"/>
  <c r="AF18" i="51"/>
  <c r="AG18" i="51"/>
  <c r="D19" i="51"/>
  <c r="O19" i="51"/>
  <c r="P19" i="51"/>
  <c r="Q19" i="51"/>
  <c r="U19" i="51"/>
  <c r="V19" i="51"/>
  <c r="W19" i="51"/>
  <c r="X19" i="51"/>
  <c r="Y19" i="51"/>
  <c r="Z19" i="51"/>
  <c r="AA19" i="51"/>
  <c r="AB19" i="51"/>
  <c r="AC19" i="51"/>
  <c r="AD19" i="51"/>
  <c r="AE19" i="51"/>
  <c r="AF19" i="51"/>
  <c r="AG19" i="51"/>
  <c r="D20" i="51"/>
  <c r="O20" i="51"/>
  <c r="P20" i="51"/>
  <c r="Q20" i="51"/>
  <c r="U20" i="51"/>
  <c r="V20" i="51"/>
  <c r="W20" i="51"/>
  <c r="X20" i="51"/>
  <c r="Y20" i="51"/>
  <c r="Z20" i="51"/>
  <c r="AA20" i="51"/>
  <c r="AB20" i="51"/>
  <c r="AC20" i="51"/>
  <c r="AD20" i="51"/>
  <c r="AE20" i="51"/>
  <c r="AF20" i="51"/>
  <c r="AG20" i="51"/>
  <c r="D21" i="51"/>
  <c r="O21" i="51"/>
  <c r="P21" i="51"/>
  <c r="Q21" i="51"/>
  <c r="U21" i="51"/>
  <c r="V21" i="51"/>
  <c r="W21" i="51"/>
  <c r="X21" i="51"/>
  <c r="Y21" i="51"/>
  <c r="Z21" i="51"/>
  <c r="AA21" i="51"/>
  <c r="AB21" i="51"/>
  <c r="AC21" i="51"/>
  <c r="AD21" i="51"/>
  <c r="AE21" i="51"/>
  <c r="AF21" i="51"/>
  <c r="AG21" i="51"/>
  <c r="D22" i="51"/>
  <c r="O22" i="51"/>
  <c r="P22" i="51"/>
  <c r="Q22" i="51"/>
  <c r="U22" i="51"/>
  <c r="V22" i="51"/>
  <c r="W22" i="51"/>
  <c r="X22" i="51"/>
  <c r="Y22" i="51"/>
  <c r="Z22" i="51"/>
  <c r="AA22" i="51"/>
  <c r="AB22" i="51"/>
  <c r="AC22" i="51"/>
  <c r="AD22" i="51"/>
  <c r="AE22" i="51"/>
  <c r="AF22" i="51"/>
  <c r="AG22" i="51"/>
  <c r="D23" i="51"/>
  <c r="O23" i="51"/>
  <c r="P23" i="51"/>
  <c r="Q23" i="51"/>
  <c r="U23" i="51"/>
  <c r="V23" i="51"/>
  <c r="W23" i="51"/>
  <c r="X23" i="51"/>
  <c r="Y23" i="51"/>
  <c r="Z23" i="51"/>
  <c r="AA23" i="51"/>
  <c r="AB23" i="51"/>
  <c r="AC23" i="51"/>
  <c r="AD23" i="51"/>
  <c r="AE23" i="51"/>
  <c r="AF23" i="51"/>
  <c r="AG23" i="51"/>
  <c r="D24" i="51"/>
  <c r="O24" i="51"/>
  <c r="P24" i="51"/>
  <c r="Q24" i="51"/>
  <c r="U24" i="51"/>
  <c r="V24" i="51"/>
  <c r="W24" i="51"/>
  <c r="X24" i="51"/>
  <c r="Y24" i="51"/>
  <c r="Z24" i="51"/>
  <c r="AA24" i="51"/>
  <c r="AB24" i="51"/>
  <c r="AC24" i="51"/>
  <c r="AD24" i="51"/>
  <c r="AE24" i="51"/>
  <c r="AF24" i="51"/>
  <c r="AG24" i="51"/>
  <c r="D25" i="51"/>
  <c r="O25" i="51"/>
  <c r="P25" i="51"/>
  <c r="Q25" i="51"/>
  <c r="U25" i="51"/>
  <c r="V25" i="51"/>
  <c r="W25" i="51"/>
  <c r="X25" i="51"/>
  <c r="Y25" i="51"/>
  <c r="Z25" i="51"/>
  <c r="AA25" i="51"/>
  <c r="AB25" i="51"/>
  <c r="AC25" i="51"/>
  <c r="AD25" i="51"/>
  <c r="AE25" i="51"/>
  <c r="AF25" i="51"/>
  <c r="AG25" i="51"/>
  <c r="D26" i="51"/>
  <c r="O26" i="51"/>
  <c r="P26" i="51"/>
  <c r="Q26" i="51"/>
  <c r="U26" i="51"/>
  <c r="V26" i="51"/>
  <c r="W26" i="51"/>
  <c r="X26" i="51"/>
  <c r="Y26" i="51"/>
  <c r="Z26" i="51"/>
  <c r="AA26" i="51"/>
  <c r="AB26" i="51"/>
  <c r="AC26" i="51"/>
  <c r="AD26" i="51"/>
  <c r="AE26" i="51"/>
  <c r="AF26" i="51"/>
  <c r="AG26" i="51"/>
  <c r="D27" i="51"/>
  <c r="O27" i="51"/>
  <c r="P27" i="51"/>
  <c r="Q27" i="51"/>
  <c r="U27" i="51"/>
  <c r="V27" i="51"/>
  <c r="W27" i="51"/>
  <c r="X27" i="51"/>
  <c r="Y27" i="51"/>
  <c r="Z27" i="51"/>
  <c r="AA27" i="51"/>
  <c r="AB27" i="51"/>
  <c r="AC27" i="51"/>
  <c r="AD27" i="51"/>
  <c r="AE27" i="51"/>
  <c r="AF27" i="51"/>
  <c r="AG27" i="51"/>
  <c r="D28" i="51"/>
  <c r="O28" i="51"/>
  <c r="P28" i="51"/>
  <c r="Q28" i="51"/>
  <c r="U28" i="51"/>
  <c r="V28" i="51"/>
  <c r="W28" i="51"/>
  <c r="X28" i="51"/>
  <c r="Y28" i="51"/>
  <c r="Z28" i="51"/>
  <c r="AA28" i="51"/>
  <c r="AB28" i="51"/>
  <c r="AC28" i="51"/>
  <c r="AD28" i="51"/>
  <c r="AE28" i="51"/>
  <c r="AF28" i="51"/>
  <c r="AG28" i="51"/>
  <c r="D29" i="51"/>
  <c r="O29" i="51"/>
  <c r="P29" i="51"/>
  <c r="Q29" i="51"/>
  <c r="U29" i="51"/>
  <c r="V29" i="51"/>
  <c r="W29" i="51"/>
  <c r="X29" i="51"/>
  <c r="Y29" i="51"/>
  <c r="Z29" i="51"/>
  <c r="AA29" i="51"/>
  <c r="AB29" i="51"/>
  <c r="AC29" i="51"/>
  <c r="AD29" i="51"/>
  <c r="AE29" i="51"/>
  <c r="AF29" i="51"/>
  <c r="AG29" i="51"/>
  <c r="M51" i="52"/>
  <c r="I51" i="52"/>
  <c r="N51" i="52"/>
  <c r="S51" i="52"/>
  <c r="M50" i="52"/>
  <c r="I50" i="52"/>
  <c r="N50" i="52"/>
  <c r="S50" i="52"/>
  <c r="M49" i="52"/>
  <c r="I49" i="52"/>
  <c r="N49" i="52"/>
  <c r="S49" i="52"/>
  <c r="M48" i="52"/>
  <c r="I48" i="52"/>
  <c r="N48" i="52"/>
  <c r="S48" i="52"/>
  <c r="M47" i="52"/>
  <c r="I47" i="52"/>
  <c r="N47" i="52"/>
  <c r="S47" i="52"/>
  <c r="M46" i="52"/>
  <c r="I46" i="52"/>
  <c r="N46" i="52"/>
  <c r="S46" i="52"/>
  <c r="M45" i="52"/>
  <c r="I45" i="52"/>
  <c r="N45" i="52"/>
  <c r="S45" i="52"/>
  <c r="M44" i="52"/>
  <c r="I44" i="52"/>
  <c r="N44" i="52"/>
  <c r="S44" i="52"/>
  <c r="M43" i="52"/>
  <c r="I43" i="52"/>
  <c r="N43" i="52"/>
  <c r="S43" i="52"/>
  <c r="M42" i="52"/>
  <c r="I42" i="52"/>
  <c r="N42" i="52"/>
  <c r="S42" i="52"/>
  <c r="M41" i="52"/>
  <c r="I41" i="52"/>
  <c r="N41" i="52"/>
  <c r="S41" i="52"/>
  <c r="M40" i="52"/>
  <c r="I40" i="52"/>
  <c r="N40" i="52"/>
  <c r="S40" i="52"/>
  <c r="M39" i="52"/>
  <c r="I39" i="52"/>
  <c r="N39" i="52"/>
  <c r="S39" i="52"/>
  <c r="M38" i="52"/>
  <c r="I38" i="52"/>
  <c r="N38" i="52"/>
  <c r="S38" i="52"/>
  <c r="M37" i="52"/>
  <c r="I37" i="52"/>
  <c r="N37" i="52"/>
  <c r="S37" i="52"/>
  <c r="M36" i="52"/>
  <c r="I36" i="52"/>
  <c r="N36" i="52"/>
  <c r="S36" i="52"/>
  <c r="M35" i="52"/>
  <c r="I35" i="52"/>
  <c r="N35" i="52"/>
  <c r="S35" i="52"/>
  <c r="M34" i="52"/>
  <c r="I34" i="52"/>
  <c r="N34" i="52"/>
  <c r="S34" i="52"/>
  <c r="M33" i="52"/>
  <c r="I33" i="52"/>
  <c r="N33" i="52"/>
  <c r="S33" i="52"/>
  <c r="M32" i="52"/>
  <c r="I32" i="52"/>
  <c r="N32" i="52"/>
  <c r="S32" i="52"/>
  <c r="M31" i="52"/>
  <c r="I31" i="52"/>
  <c r="N31" i="52"/>
  <c r="S31" i="52"/>
  <c r="M30" i="52"/>
  <c r="I30" i="52"/>
  <c r="N30" i="52"/>
  <c r="S30" i="52"/>
  <c r="M29" i="52"/>
  <c r="I29" i="52"/>
  <c r="N29" i="52"/>
  <c r="S29" i="52"/>
  <c r="M28" i="52"/>
  <c r="I28" i="52"/>
  <c r="N28" i="52"/>
  <c r="S28" i="52"/>
  <c r="M27" i="52"/>
  <c r="I27" i="52"/>
  <c r="N27" i="52"/>
  <c r="S27" i="52"/>
  <c r="M26" i="52"/>
  <c r="I26" i="52"/>
  <c r="N26" i="52"/>
  <c r="S26" i="52"/>
  <c r="M25" i="52"/>
  <c r="I25" i="52"/>
  <c r="N25" i="52"/>
  <c r="S25" i="52"/>
  <c r="M24" i="52"/>
  <c r="I24" i="52"/>
  <c r="N24" i="52"/>
  <c r="S24" i="52"/>
  <c r="M23" i="52"/>
  <c r="I23" i="52"/>
  <c r="N23" i="52"/>
  <c r="S23" i="52"/>
  <c r="M22" i="52"/>
  <c r="I22" i="52"/>
  <c r="N22" i="52"/>
  <c r="S22" i="52"/>
  <c r="M21" i="52"/>
  <c r="I21" i="52"/>
  <c r="N21" i="52"/>
  <c r="S21" i="52"/>
  <c r="M20" i="52"/>
  <c r="I20" i="52"/>
  <c r="N20" i="52"/>
  <c r="S20" i="52"/>
  <c r="M19" i="52"/>
  <c r="I19" i="52"/>
  <c r="N19" i="52"/>
  <c r="S19" i="52"/>
  <c r="M18" i="52"/>
  <c r="I18" i="52"/>
  <c r="N18" i="52"/>
  <c r="S18" i="52"/>
  <c r="M17" i="52"/>
  <c r="I17" i="52"/>
  <c r="N17" i="52"/>
  <c r="S17" i="52"/>
  <c r="R51" i="52"/>
  <c r="R50" i="52"/>
  <c r="R49" i="52"/>
  <c r="R48" i="52"/>
  <c r="R47" i="52"/>
  <c r="R46" i="52"/>
  <c r="R45" i="52"/>
  <c r="R44" i="52"/>
  <c r="R43" i="52"/>
  <c r="R42" i="52"/>
  <c r="R41" i="52"/>
  <c r="R40" i="52"/>
  <c r="R39" i="52"/>
  <c r="R38" i="52"/>
  <c r="R37" i="52"/>
  <c r="R36" i="52"/>
  <c r="R35" i="52"/>
  <c r="R34" i="52"/>
  <c r="R33" i="52"/>
  <c r="R32" i="52"/>
  <c r="R31" i="52"/>
  <c r="R30" i="52"/>
  <c r="R29" i="52"/>
  <c r="R28" i="52"/>
  <c r="R27" i="52"/>
  <c r="R26" i="52"/>
  <c r="R25" i="52"/>
  <c r="R24" i="52"/>
  <c r="R23" i="52"/>
  <c r="R22" i="52"/>
  <c r="R21" i="52"/>
  <c r="R20" i="52"/>
  <c r="R19" i="52"/>
  <c r="R18" i="52"/>
  <c r="R17" i="52"/>
  <c r="T51" i="52"/>
  <c r="T50" i="52"/>
  <c r="T49" i="52"/>
  <c r="T48" i="52"/>
  <c r="T47" i="52"/>
  <c r="T46" i="52"/>
  <c r="T45" i="52"/>
  <c r="T44" i="52"/>
  <c r="T43" i="52"/>
  <c r="T42" i="52"/>
  <c r="T41" i="52"/>
  <c r="T40" i="52"/>
  <c r="T39" i="52"/>
  <c r="T38" i="52"/>
  <c r="T37" i="52"/>
  <c r="T36" i="52"/>
  <c r="T35" i="52"/>
  <c r="T34" i="52"/>
  <c r="T33" i="52"/>
  <c r="T32" i="52"/>
  <c r="T31" i="52"/>
  <c r="T30" i="52"/>
  <c r="T29" i="52"/>
  <c r="T28" i="52"/>
  <c r="T27" i="52"/>
  <c r="T26" i="52"/>
  <c r="T25" i="52"/>
  <c r="T24" i="52"/>
  <c r="T23" i="52"/>
  <c r="T22" i="52"/>
  <c r="T21" i="52"/>
  <c r="T20" i="52"/>
  <c r="T19" i="52"/>
  <c r="T18" i="52"/>
  <c r="T17" i="52"/>
  <c r="D17" i="52"/>
  <c r="O17" i="52"/>
  <c r="P17" i="52"/>
  <c r="Q17" i="52"/>
  <c r="U17" i="52"/>
  <c r="V17" i="52"/>
  <c r="W17" i="52"/>
  <c r="X17" i="52"/>
  <c r="Y17" i="52"/>
  <c r="Z17" i="52"/>
  <c r="AA17" i="52"/>
  <c r="AB17" i="52"/>
  <c r="AC17" i="52"/>
  <c r="AD17" i="52"/>
  <c r="AE17" i="52"/>
  <c r="AF17" i="52"/>
  <c r="AG17" i="52"/>
  <c r="D18" i="52"/>
  <c r="O18" i="52"/>
  <c r="P18" i="52"/>
  <c r="Q18" i="52"/>
  <c r="U18" i="52"/>
  <c r="V18" i="52"/>
  <c r="W18" i="52"/>
  <c r="X18" i="52"/>
  <c r="Y18" i="52"/>
  <c r="Z18" i="52"/>
  <c r="AA18" i="52"/>
  <c r="AB18" i="52"/>
  <c r="AC18" i="52"/>
  <c r="AD18" i="52"/>
  <c r="AE18" i="52"/>
  <c r="AF18" i="52"/>
  <c r="AG18" i="52"/>
  <c r="D19" i="52"/>
  <c r="O19" i="52"/>
  <c r="P19" i="52"/>
  <c r="Q19" i="52"/>
  <c r="U19" i="52"/>
  <c r="V19" i="52"/>
  <c r="W19" i="52"/>
  <c r="X19" i="52"/>
  <c r="Y19" i="52"/>
  <c r="Z19" i="52"/>
  <c r="AA19" i="52"/>
  <c r="AB19" i="52"/>
  <c r="AC19" i="52"/>
  <c r="AD19" i="52"/>
  <c r="AE19" i="52"/>
  <c r="AF19" i="52"/>
  <c r="AG19" i="52"/>
  <c r="D20" i="52"/>
  <c r="O20" i="52"/>
  <c r="P20" i="52"/>
  <c r="Q20" i="52"/>
  <c r="U20" i="52"/>
  <c r="V20" i="52"/>
  <c r="W20" i="52"/>
  <c r="X20" i="52"/>
  <c r="Y20" i="52"/>
  <c r="Z20" i="52"/>
  <c r="AA20" i="52"/>
  <c r="AB20" i="52"/>
  <c r="AC20" i="52"/>
  <c r="AD20" i="52"/>
  <c r="AE20" i="52"/>
  <c r="AF20" i="52"/>
  <c r="AG20" i="52"/>
  <c r="D21" i="52"/>
  <c r="O21" i="52"/>
  <c r="P21" i="52"/>
  <c r="Q21" i="52"/>
  <c r="U21" i="52"/>
  <c r="V21" i="52"/>
  <c r="W21" i="52"/>
  <c r="X21" i="52"/>
  <c r="Y21" i="52"/>
  <c r="Z21" i="52"/>
  <c r="AA21" i="52"/>
  <c r="AB21" i="52"/>
  <c r="AC21" i="52"/>
  <c r="AD21" i="52"/>
  <c r="AE21" i="52"/>
  <c r="AF21" i="52"/>
  <c r="AG21" i="52"/>
  <c r="D22" i="52"/>
  <c r="O22" i="52"/>
  <c r="P22" i="52"/>
  <c r="Q22" i="52"/>
  <c r="U22" i="52"/>
  <c r="V22" i="52"/>
  <c r="W22" i="52"/>
  <c r="X22" i="52"/>
  <c r="Y22" i="52"/>
  <c r="Z22" i="52"/>
  <c r="AA22" i="52"/>
  <c r="AB22" i="52"/>
  <c r="AC22" i="52"/>
  <c r="AD22" i="52"/>
  <c r="AE22" i="52"/>
  <c r="AF22" i="52"/>
  <c r="AG22" i="52"/>
  <c r="D23" i="52"/>
  <c r="O23" i="52"/>
  <c r="P23" i="52"/>
  <c r="Q23" i="52"/>
  <c r="U23" i="52"/>
  <c r="V23" i="52"/>
  <c r="W23" i="52"/>
  <c r="X23" i="52"/>
  <c r="Y23" i="52"/>
  <c r="Z23" i="52"/>
  <c r="AA23" i="52"/>
  <c r="AB23" i="52"/>
  <c r="AC23" i="52"/>
  <c r="AD23" i="52"/>
  <c r="AE23" i="52"/>
  <c r="AF23" i="52"/>
  <c r="AG23" i="52"/>
  <c r="D24" i="52"/>
  <c r="O24" i="52"/>
  <c r="P24" i="52"/>
  <c r="Q24" i="52"/>
  <c r="U24" i="52"/>
  <c r="V24" i="52"/>
  <c r="W24" i="52"/>
  <c r="X24" i="52"/>
  <c r="Y24" i="52"/>
  <c r="Z24" i="52"/>
  <c r="AA24" i="52"/>
  <c r="AB24" i="52"/>
  <c r="AC24" i="52"/>
  <c r="AD24" i="52"/>
  <c r="AE24" i="52"/>
  <c r="AF24" i="52"/>
  <c r="AG24" i="52"/>
  <c r="D25" i="52"/>
  <c r="O25" i="52"/>
  <c r="P25" i="52"/>
  <c r="Q25" i="52"/>
  <c r="U25" i="52"/>
  <c r="V25" i="52"/>
  <c r="W25" i="52"/>
  <c r="X25" i="52"/>
  <c r="Y25" i="52"/>
  <c r="Z25" i="52"/>
  <c r="AA25" i="52"/>
  <c r="AB25" i="52"/>
  <c r="AC25" i="52"/>
  <c r="AD25" i="52"/>
  <c r="AE25" i="52"/>
  <c r="AF25" i="52"/>
  <c r="AG25" i="52"/>
  <c r="D26" i="52"/>
  <c r="O26" i="52"/>
  <c r="P26" i="52"/>
  <c r="Q26" i="52"/>
  <c r="U26" i="52"/>
  <c r="V26" i="52"/>
  <c r="W26" i="52"/>
  <c r="X26" i="52"/>
  <c r="Y26" i="52"/>
  <c r="Z26" i="52"/>
  <c r="AA26" i="52"/>
  <c r="AB26" i="52"/>
  <c r="AC26" i="52"/>
  <c r="AD26" i="52"/>
  <c r="AE26" i="52"/>
  <c r="AF26" i="52"/>
  <c r="AG26" i="52"/>
  <c r="D27" i="52"/>
  <c r="O27" i="52"/>
  <c r="P27" i="52"/>
  <c r="Q27" i="52"/>
  <c r="U27" i="52"/>
  <c r="V27" i="52"/>
  <c r="W27" i="52"/>
  <c r="X27" i="52"/>
  <c r="Y27" i="52"/>
  <c r="Z27" i="52"/>
  <c r="AA27" i="52"/>
  <c r="AB27" i="52"/>
  <c r="AC27" i="52"/>
  <c r="AD27" i="52"/>
  <c r="AE27" i="52"/>
  <c r="AF27" i="52"/>
  <c r="AG27" i="52"/>
  <c r="D28" i="52"/>
  <c r="O28" i="52"/>
  <c r="P28" i="52"/>
  <c r="Q28" i="52"/>
  <c r="U28" i="52"/>
  <c r="V28" i="52"/>
  <c r="W28" i="52"/>
  <c r="X28" i="52"/>
  <c r="Y28" i="52"/>
  <c r="Z28" i="52"/>
  <c r="AA28" i="52"/>
  <c r="AB28" i="52"/>
  <c r="AC28" i="52"/>
  <c r="AD28" i="52"/>
  <c r="AE28" i="52"/>
  <c r="AF28" i="52"/>
  <c r="AG28" i="52"/>
  <c r="D29" i="52"/>
  <c r="O29" i="52"/>
  <c r="P29" i="52"/>
  <c r="Q29" i="52"/>
  <c r="U29" i="52"/>
  <c r="V29" i="52"/>
  <c r="W29" i="52"/>
  <c r="X29" i="52"/>
  <c r="Y29" i="52"/>
  <c r="Z29" i="52"/>
  <c r="AA29" i="52"/>
  <c r="AB29" i="52"/>
  <c r="AC29" i="52"/>
  <c r="AD29" i="52"/>
  <c r="AE29" i="52"/>
  <c r="AF29" i="52"/>
  <c r="AG29" i="52"/>
  <c r="D30" i="52"/>
  <c r="O30" i="52"/>
  <c r="P30" i="52"/>
  <c r="Q30" i="52"/>
  <c r="U30" i="52"/>
  <c r="V30" i="52"/>
  <c r="W30" i="52"/>
  <c r="X30" i="52"/>
  <c r="Y30" i="52"/>
  <c r="Z30" i="52"/>
  <c r="AA30" i="52"/>
  <c r="AB30" i="52"/>
  <c r="AC30" i="52"/>
  <c r="AD30" i="52"/>
  <c r="AE30" i="52"/>
  <c r="AF30" i="52"/>
  <c r="AG30" i="52"/>
  <c r="D31" i="52"/>
  <c r="O31" i="52"/>
  <c r="P31" i="52"/>
  <c r="Q31" i="52"/>
  <c r="U31" i="52"/>
  <c r="V31" i="52"/>
  <c r="W31" i="52"/>
  <c r="X31" i="52"/>
  <c r="Y31" i="52"/>
  <c r="Z31" i="52"/>
  <c r="AA31" i="52"/>
  <c r="AB31" i="52"/>
  <c r="AC31" i="52"/>
  <c r="AD31" i="52"/>
  <c r="AE31" i="52"/>
  <c r="AF31" i="52"/>
  <c r="AG31" i="52"/>
  <c r="D32" i="52"/>
  <c r="O32" i="52"/>
  <c r="P32" i="52"/>
  <c r="Q32" i="52"/>
  <c r="U32" i="52"/>
  <c r="V32" i="52"/>
  <c r="W32" i="52"/>
  <c r="X32" i="52"/>
  <c r="Y32" i="52"/>
  <c r="Z32" i="52"/>
  <c r="AA32" i="52"/>
  <c r="AB32" i="52"/>
  <c r="AC32" i="52"/>
  <c r="AD32" i="52"/>
  <c r="AE32" i="52"/>
  <c r="AF32" i="52"/>
  <c r="AG32" i="52"/>
  <c r="D33" i="52"/>
  <c r="O33" i="52"/>
  <c r="P33" i="52"/>
  <c r="Q33" i="52"/>
  <c r="U33" i="52"/>
  <c r="V33" i="52"/>
  <c r="W33" i="52"/>
  <c r="X33" i="52"/>
  <c r="Y33" i="52"/>
  <c r="Z33" i="52"/>
  <c r="AA33" i="52"/>
  <c r="AB33" i="52"/>
  <c r="AC33" i="52"/>
  <c r="AD33" i="52"/>
  <c r="AE33" i="52"/>
  <c r="AF33" i="52"/>
  <c r="AG33" i="52"/>
  <c r="D34" i="52"/>
  <c r="O34" i="52"/>
  <c r="P34" i="52"/>
  <c r="Q34" i="52"/>
  <c r="U34" i="52"/>
  <c r="V34" i="52"/>
  <c r="W34" i="52"/>
  <c r="X34" i="52"/>
  <c r="Y34" i="52"/>
  <c r="Z34" i="52"/>
  <c r="AA34" i="52"/>
  <c r="AB34" i="52"/>
  <c r="AC34" i="52"/>
  <c r="AD34" i="52"/>
  <c r="AE34" i="52"/>
  <c r="AF34" i="52"/>
  <c r="AG34" i="52"/>
  <c r="D35" i="52"/>
  <c r="O35" i="52"/>
  <c r="P35" i="52"/>
  <c r="Q35" i="52"/>
  <c r="U35" i="52"/>
  <c r="V35" i="52"/>
  <c r="W35" i="52"/>
  <c r="X35" i="52"/>
  <c r="Y35" i="52"/>
  <c r="Z35" i="52"/>
  <c r="AA35" i="52"/>
  <c r="AB35" i="52"/>
  <c r="AC35" i="52"/>
  <c r="AD35" i="52"/>
  <c r="AE35" i="52"/>
  <c r="AF35" i="52"/>
  <c r="AG35" i="52"/>
  <c r="D36" i="52"/>
  <c r="O36" i="52"/>
  <c r="P36" i="52"/>
  <c r="Q36" i="52"/>
  <c r="U36" i="52"/>
  <c r="V36" i="52"/>
  <c r="W36" i="52"/>
  <c r="X36" i="52"/>
  <c r="Y36" i="52"/>
  <c r="Z36" i="52"/>
  <c r="AA36" i="52"/>
  <c r="AB36" i="52"/>
  <c r="AC36" i="52"/>
  <c r="AD36" i="52"/>
  <c r="AE36" i="52"/>
  <c r="AF36" i="52"/>
  <c r="AG36" i="52"/>
  <c r="D37" i="52"/>
  <c r="O37" i="52"/>
  <c r="P37" i="52"/>
  <c r="Q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D38" i="52"/>
  <c r="O38" i="52"/>
  <c r="P38" i="52"/>
  <c r="Q38" i="52"/>
  <c r="U38" i="52"/>
  <c r="V38" i="52"/>
  <c r="W38" i="52"/>
  <c r="X38" i="52"/>
  <c r="Y38" i="52"/>
  <c r="Z38" i="52"/>
  <c r="AA38" i="52"/>
  <c r="AB38" i="52"/>
  <c r="AC38" i="52"/>
  <c r="AD38" i="52"/>
  <c r="AE38" i="52"/>
  <c r="AF38" i="52"/>
  <c r="AG38" i="52"/>
  <c r="D39" i="52"/>
  <c r="O39" i="52"/>
  <c r="P39" i="52"/>
  <c r="Q39" i="52"/>
  <c r="U39" i="52"/>
  <c r="V39" i="52"/>
  <c r="W39" i="52"/>
  <c r="X39" i="52"/>
  <c r="Y39" i="52"/>
  <c r="Z39" i="52"/>
  <c r="AA39" i="52"/>
  <c r="AB39" i="52"/>
  <c r="AC39" i="52"/>
  <c r="AD39" i="52"/>
  <c r="AE39" i="52"/>
  <c r="AF39" i="52"/>
  <c r="AG39" i="52"/>
  <c r="D40" i="52"/>
  <c r="O40" i="52"/>
  <c r="P40" i="52"/>
  <c r="Q40" i="52"/>
  <c r="U40" i="52"/>
  <c r="V40" i="52"/>
  <c r="W40" i="52"/>
  <c r="X40" i="52"/>
  <c r="Y40" i="52"/>
  <c r="Z40" i="52"/>
  <c r="AA40" i="52"/>
  <c r="AB40" i="52"/>
  <c r="AC40" i="52"/>
  <c r="AD40" i="52"/>
  <c r="AE40" i="52"/>
  <c r="AF40" i="52"/>
  <c r="AG40" i="52"/>
  <c r="D41" i="52"/>
  <c r="O41" i="52"/>
  <c r="P41" i="52"/>
  <c r="Q41" i="52"/>
  <c r="U41" i="52"/>
  <c r="V41" i="52"/>
  <c r="W41" i="52"/>
  <c r="X41" i="52"/>
  <c r="Y41" i="52"/>
  <c r="Z41" i="52"/>
  <c r="AA41" i="52"/>
  <c r="AB41" i="52"/>
  <c r="AC41" i="52"/>
  <c r="AD41" i="52"/>
  <c r="AE41" i="52"/>
  <c r="AF41" i="52"/>
  <c r="AG41" i="52"/>
  <c r="D42" i="52"/>
  <c r="O42" i="52"/>
  <c r="P42" i="52"/>
  <c r="Q42" i="52"/>
  <c r="U42" i="52"/>
  <c r="V42" i="52"/>
  <c r="W42" i="52"/>
  <c r="X42" i="52"/>
  <c r="Y42" i="52"/>
  <c r="Z42" i="52"/>
  <c r="AA42" i="52"/>
  <c r="AB42" i="52"/>
  <c r="AC42" i="52"/>
  <c r="AD42" i="52"/>
  <c r="AE42" i="52"/>
  <c r="AF42" i="52"/>
  <c r="AG42" i="52"/>
  <c r="D43" i="52"/>
  <c r="O43" i="52"/>
  <c r="P43" i="52"/>
  <c r="Q43" i="52"/>
  <c r="U43" i="52"/>
  <c r="V43" i="52"/>
  <c r="W43" i="52"/>
  <c r="X43" i="52"/>
  <c r="Y43" i="52"/>
  <c r="Z43" i="52"/>
  <c r="AA43" i="52"/>
  <c r="AB43" i="52"/>
  <c r="AC43" i="52"/>
  <c r="AD43" i="52"/>
  <c r="AE43" i="52"/>
  <c r="AF43" i="52"/>
  <c r="AG43" i="52"/>
  <c r="D44" i="52"/>
  <c r="O44" i="52"/>
  <c r="P44" i="52"/>
  <c r="Q44" i="52"/>
  <c r="U44" i="52"/>
  <c r="V44" i="52"/>
  <c r="W44" i="52"/>
  <c r="X44" i="52"/>
  <c r="Y44" i="52"/>
  <c r="Z44" i="52"/>
  <c r="AA44" i="52"/>
  <c r="AB44" i="52"/>
  <c r="AC44" i="52"/>
  <c r="AD44" i="52"/>
  <c r="AE44" i="52"/>
  <c r="AF44" i="52"/>
  <c r="AG44" i="52"/>
  <c r="D45" i="52"/>
  <c r="O45" i="52"/>
  <c r="P45" i="52"/>
  <c r="Q45" i="52"/>
  <c r="U45" i="52"/>
  <c r="V45" i="52"/>
  <c r="W45" i="52"/>
  <c r="X45" i="52"/>
  <c r="Y45" i="52"/>
  <c r="Z45" i="52"/>
  <c r="AA45" i="52"/>
  <c r="AB45" i="52"/>
  <c r="AC45" i="52"/>
  <c r="AD45" i="52"/>
  <c r="AE45" i="52"/>
  <c r="AF45" i="52"/>
  <c r="AG45" i="52"/>
  <c r="D46" i="52"/>
  <c r="O46" i="52"/>
  <c r="P46" i="52"/>
  <c r="Q46" i="52"/>
  <c r="U46" i="52"/>
  <c r="V46" i="52"/>
  <c r="W46" i="52"/>
  <c r="X46" i="52"/>
  <c r="Y46" i="52"/>
  <c r="Z46" i="52"/>
  <c r="AA46" i="52"/>
  <c r="AB46" i="52"/>
  <c r="AC46" i="52"/>
  <c r="AD46" i="52"/>
  <c r="AE46" i="52"/>
  <c r="AF46" i="52"/>
  <c r="AG46" i="52"/>
  <c r="D47" i="52"/>
  <c r="O47" i="52"/>
  <c r="P47" i="52"/>
  <c r="Q47" i="52"/>
  <c r="U47" i="52"/>
  <c r="V47" i="52"/>
  <c r="W47" i="52"/>
  <c r="X47" i="52"/>
  <c r="Y47" i="52"/>
  <c r="Z47" i="52"/>
  <c r="AA47" i="52"/>
  <c r="AB47" i="52"/>
  <c r="AC47" i="52"/>
  <c r="AD47" i="52"/>
  <c r="AE47" i="52"/>
  <c r="AF47" i="52"/>
  <c r="AG47" i="52"/>
  <c r="D48" i="52"/>
  <c r="O48" i="52"/>
  <c r="P48" i="52"/>
  <c r="Q48" i="52"/>
  <c r="U48" i="52"/>
  <c r="V48" i="52"/>
  <c r="W48" i="52"/>
  <c r="X48" i="52"/>
  <c r="Y48" i="52"/>
  <c r="Z48" i="52"/>
  <c r="AA48" i="52"/>
  <c r="AB48" i="52"/>
  <c r="AC48" i="52"/>
  <c r="AD48" i="52"/>
  <c r="AE48" i="52"/>
  <c r="AF48" i="52"/>
  <c r="AG48" i="52"/>
  <c r="D49" i="52"/>
  <c r="O49" i="52"/>
  <c r="P49" i="52"/>
  <c r="Q49" i="52"/>
  <c r="U49" i="52"/>
  <c r="V49" i="52"/>
  <c r="W49" i="52"/>
  <c r="X49" i="52"/>
  <c r="Y49" i="52"/>
  <c r="Z49" i="52"/>
  <c r="AA49" i="52"/>
  <c r="AB49" i="52"/>
  <c r="AC49" i="52"/>
  <c r="AD49" i="52"/>
  <c r="AE49" i="52"/>
  <c r="AF49" i="52"/>
  <c r="AG49" i="52"/>
  <c r="D50" i="52"/>
  <c r="O50" i="52"/>
  <c r="P50" i="52"/>
  <c r="Q50" i="52"/>
  <c r="U50" i="52"/>
  <c r="V50" i="52"/>
  <c r="W50" i="52"/>
  <c r="X50" i="52"/>
  <c r="Y50" i="52"/>
  <c r="Z50" i="52"/>
  <c r="AA50" i="52"/>
  <c r="AB50" i="52"/>
  <c r="AC50" i="52"/>
  <c r="AD50" i="52"/>
  <c r="AE50" i="52"/>
  <c r="AF50" i="52"/>
  <c r="AG50" i="52"/>
  <c r="D51" i="52"/>
  <c r="O51" i="52"/>
  <c r="P51" i="52"/>
  <c r="Q51" i="52"/>
  <c r="U51" i="52"/>
  <c r="V51" i="52"/>
  <c r="W51" i="52"/>
  <c r="X51" i="52"/>
  <c r="Y51" i="52"/>
  <c r="Z51" i="52"/>
  <c r="AA51" i="52"/>
  <c r="AB51" i="52"/>
  <c r="AC51" i="52"/>
  <c r="AD51" i="52"/>
  <c r="AE51" i="52"/>
  <c r="AF51" i="52"/>
  <c r="AG51" i="52"/>
  <c r="M34" i="42"/>
  <c r="I34" i="42"/>
  <c r="N34" i="42"/>
  <c r="S34" i="42"/>
  <c r="M33" i="42"/>
  <c r="I33" i="42"/>
  <c r="N33" i="42"/>
  <c r="S33" i="42"/>
  <c r="M32" i="42"/>
  <c r="I32" i="42"/>
  <c r="N32" i="42"/>
  <c r="S32" i="42"/>
  <c r="M31" i="42"/>
  <c r="I31" i="42"/>
  <c r="N31" i="42"/>
  <c r="S31" i="42"/>
  <c r="M30" i="42"/>
  <c r="I30" i="42"/>
  <c r="N30" i="42"/>
  <c r="S30" i="42"/>
  <c r="M29" i="42"/>
  <c r="I29" i="42"/>
  <c r="N29" i="42"/>
  <c r="S29" i="42"/>
  <c r="M28" i="42"/>
  <c r="I28" i="42"/>
  <c r="N28" i="42"/>
  <c r="S28" i="42"/>
  <c r="M27" i="42"/>
  <c r="I27" i="42"/>
  <c r="N27" i="42"/>
  <c r="S27" i="42"/>
  <c r="M26" i="42"/>
  <c r="I26" i="42"/>
  <c r="N26" i="42"/>
  <c r="S26" i="42"/>
  <c r="M25" i="42"/>
  <c r="I25" i="42"/>
  <c r="N25" i="42"/>
  <c r="S25" i="42"/>
  <c r="M24" i="42"/>
  <c r="I24" i="42"/>
  <c r="N24" i="42"/>
  <c r="S24" i="42"/>
  <c r="M23" i="42"/>
  <c r="I23" i="42"/>
  <c r="N23" i="42"/>
  <c r="S23" i="42"/>
  <c r="M22" i="42"/>
  <c r="I22" i="42"/>
  <c r="N22" i="42"/>
  <c r="S22" i="42"/>
  <c r="M21" i="42"/>
  <c r="I21" i="42"/>
  <c r="N21" i="42"/>
  <c r="S21" i="42"/>
  <c r="M20" i="42"/>
  <c r="I20" i="42"/>
  <c r="N20" i="42"/>
  <c r="S20" i="42"/>
  <c r="M19" i="42"/>
  <c r="I19" i="42"/>
  <c r="N19" i="42"/>
  <c r="S19" i="42"/>
  <c r="M18" i="42"/>
  <c r="I18" i="42"/>
  <c r="N18" i="42"/>
  <c r="S18" i="42"/>
  <c r="M17" i="42"/>
  <c r="I17" i="42"/>
  <c r="N17" i="42"/>
  <c r="S17" i="42"/>
  <c r="R34" i="42"/>
  <c r="R33" i="42"/>
  <c r="R32" i="42"/>
  <c r="R31" i="42"/>
  <c r="R30" i="42"/>
  <c r="R29" i="42"/>
  <c r="R28" i="42"/>
  <c r="R27" i="42"/>
  <c r="R26" i="42"/>
  <c r="R25" i="42"/>
  <c r="R24" i="42"/>
  <c r="R23" i="42"/>
  <c r="R22" i="42"/>
  <c r="R21" i="42"/>
  <c r="R20" i="42"/>
  <c r="R19" i="42"/>
  <c r="R18" i="42"/>
  <c r="R17" i="42"/>
  <c r="T34" i="42"/>
  <c r="T33" i="42"/>
  <c r="T32" i="42"/>
  <c r="T31" i="42"/>
  <c r="T30" i="42"/>
  <c r="T29" i="42"/>
  <c r="T28" i="42"/>
  <c r="T27" i="42"/>
  <c r="T26" i="42"/>
  <c r="T25" i="42"/>
  <c r="T24" i="42"/>
  <c r="T23" i="42"/>
  <c r="T22" i="42"/>
  <c r="T21" i="42"/>
  <c r="T20" i="42"/>
  <c r="T19" i="42"/>
  <c r="T18" i="42"/>
  <c r="T17" i="42"/>
  <c r="D17" i="42"/>
  <c r="O17" i="42"/>
  <c r="P17" i="42"/>
  <c r="Q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D18" i="42"/>
  <c r="O18" i="42"/>
  <c r="P18" i="42"/>
  <c r="Q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D19" i="42"/>
  <c r="O19" i="42"/>
  <c r="P19" i="42"/>
  <c r="Q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D20" i="42"/>
  <c r="O20" i="42"/>
  <c r="P20" i="42"/>
  <c r="Q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D21" i="42"/>
  <c r="O21" i="42"/>
  <c r="P21" i="42"/>
  <c r="Q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D22" i="42"/>
  <c r="O22" i="42"/>
  <c r="P22" i="42"/>
  <c r="Q22" i="42"/>
  <c r="U22" i="42"/>
  <c r="V22" i="42"/>
  <c r="W22" i="42"/>
  <c r="X22" i="42"/>
  <c r="Y22" i="42"/>
  <c r="Z22" i="42"/>
  <c r="AA22" i="42"/>
  <c r="AB22" i="42"/>
  <c r="AC22" i="42"/>
  <c r="AD22" i="42"/>
  <c r="AE22" i="42"/>
  <c r="AF22" i="42"/>
  <c r="AG22" i="42"/>
  <c r="D23" i="42"/>
  <c r="O23" i="42"/>
  <c r="P23" i="42"/>
  <c r="Q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D24" i="42"/>
  <c r="O24" i="42"/>
  <c r="P24" i="42"/>
  <c r="Q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D25" i="42"/>
  <c r="O25" i="42"/>
  <c r="P25" i="42"/>
  <c r="Q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D26" i="42"/>
  <c r="O26" i="42"/>
  <c r="P26" i="42"/>
  <c r="Q26" i="42"/>
  <c r="U26" i="42"/>
  <c r="V26" i="42"/>
  <c r="W26" i="42"/>
  <c r="X26" i="42"/>
  <c r="Y26" i="42"/>
  <c r="Z26" i="42"/>
  <c r="AA26" i="42"/>
  <c r="AB26" i="42"/>
  <c r="AC26" i="42"/>
  <c r="AD26" i="42"/>
  <c r="AE26" i="42"/>
  <c r="AF26" i="42"/>
  <c r="AG26" i="42"/>
  <c r="D27" i="42"/>
  <c r="O27" i="42"/>
  <c r="P27" i="42"/>
  <c r="Q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D28" i="42"/>
  <c r="O28" i="42"/>
  <c r="P28" i="42"/>
  <c r="Q28" i="42"/>
  <c r="U28" i="42"/>
  <c r="V28" i="42"/>
  <c r="W28" i="42"/>
  <c r="X28" i="42"/>
  <c r="Y28" i="42"/>
  <c r="Z28" i="42"/>
  <c r="AA28" i="42"/>
  <c r="AB28" i="42"/>
  <c r="AC28" i="42"/>
  <c r="AD28" i="42"/>
  <c r="AE28" i="42"/>
  <c r="AF28" i="42"/>
  <c r="AG28" i="42"/>
  <c r="D29" i="42"/>
  <c r="O29" i="42"/>
  <c r="P29" i="42"/>
  <c r="Q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D30" i="42"/>
  <c r="O30" i="42"/>
  <c r="P30" i="42"/>
  <c r="Q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D31" i="42"/>
  <c r="O31" i="42"/>
  <c r="P31" i="42"/>
  <c r="Q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D32" i="42"/>
  <c r="O32" i="42"/>
  <c r="P32" i="42"/>
  <c r="Q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D33" i="42"/>
  <c r="O33" i="42"/>
  <c r="P33" i="42"/>
  <c r="Q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D34" i="42"/>
  <c r="O34" i="42"/>
  <c r="P34" i="42"/>
  <c r="Q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M35" i="53"/>
  <c r="I35" i="53"/>
  <c r="N35" i="53"/>
  <c r="S35" i="53"/>
  <c r="M34" i="53"/>
  <c r="I34" i="53"/>
  <c r="N34" i="53"/>
  <c r="S34" i="53"/>
  <c r="M33" i="53"/>
  <c r="I33" i="53"/>
  <c r="N33" i="53"/>
  <c r="S33" i="53"/>
  <c r="M32" i="53"/>
  <c r="I32" i="53"/>
  <c r="N32" i="53"/>
  <c r="S32" i="53"/>
  <c r="M31" i="53"/>
  <c r="I31" i="53"/>
  <c r="N31" i="53"/>
  <c r="S31" i="53"/>
  <c r="M30" i="53"/>
  <c r="I30" i="53"/>
  <c r="N30" i="53"/>
  <c r="S30" i="53"/>
  <c r="M29" i="53"/>
  <c r="I29" i="53"/>
  <c r="N29" i="53"/>
  <c r="S29" i="53"/>
  <c r="M28" i="53"/>
  <c r="I28" i="53"/>
  <c r="N28" i="53"/>
  <c r="S28" i="53"/>
  <c r="M27" i="53"/>
  <c r="I27" i="53"/>
  <c r="N27" i="53"/>
  <c r="S27" i="53"/>
  <c r="M26" i="53"/>
  <c r="I26" i="53"/>
  <c r="N26" i="53"/>
  <c r="S26" i="53"/>
  <c r="M25" i="53"/>
  <c r="I25" i="53"/>
  <c r="N25" i="53"/>
  <c r="S25" i="53"/>
  <c r="M24" i="53"/>
  <c r="I24" i="53"/>
  <c r="N24" i="53"/>
  <c r="S24" i="53"/>
  <c r="M23" i="53"/>
  <c r="I23" i="53"/>
  <c r="N23" i="53"/>
  <c r="S23" i="53"/>
  <c r="M22" i="53"/>
  <c r="I22" i="53"/>
  <c r="N22" i="53"/>
  <c r="S22" i="53"/>
  <c r="M21" i="53"/>
  <c r="I21" i="53"/>
  <c r="N21" i="53"/>
  <c r="S21" i="53"/>
  <c r="M20" i="53"/>
  <c r="I20" i="53"/>
  <c r="N20" i="53"/>
  <c r="S20" i="53"/>
  <c r="M19" i="53"/>
  <c r="I19" i="53"/>
  <c r="N19" i="53"/>
  <c r="S19" i="53"/>
  <c r="M18" i="53"/>
  <c r="I18" i="53"/>
  <c r="N18" i="53"/>
  <c r="S18" i="53"/>
  <c r="M17" i="53"/>
  <c r="I17" i="53"/>
  <c r="N17" i="53"/>
  <c r="S17" i="53"/>
  <c r="R35" i="53"/>
  <c r="R34" i="53"/>
  <c r="R33" i="53"/>
  <c r="R32" i="53"/>
  <c r="R31" i="53"/>
  <c r="R30" i="53"/>
  <c r="R29" i="53"/>
  <c r="R28" i="53"/>
  <c r="R27" i="53"/>
  <c r="R26" i="53"/>
  <c r="R25" i="53"/>
  <c r="R24" i="53"/>
  <c r="R23" i="53"/>
  <c r="R22" i="53"/>
  <c r="R21" i="53"/>
  <c r="R20" i="53"/>
  <c r="R19" i="53"/>
  <c r="R18" i="53"/>
  <c r="R17" i="53"/>
  <c r="T35" i="53"/>
  <c r="T34" i="53"/>
  <c r="T33" i="53"/>
  <c r="T32" i="53"/>
  <c r="T31" i="53"/>
  <c r="T30" i="53"/>
  <c r="T29" i="53"/>
  <c r="T28" i="53"/>
  <c r="T27" i="53"/>
  <c r="T26" i="53"/>
  <c r="T25" i="53"/>
  <c r="T24" i="53"/>
  <c r="T23" i="53"/>
  <c r="T22" i="53"/>
  <c r="T21" i="53"/>
  <c r="T20" i="53"/>
  <c r="T19" i="53"/>
  <c r="T18" i="53"/>
  <c r="T17" i="53"/>
  <c r="D17" i="53"/>
  <c r="O17" i="53"/>
  <c r="P17" i="53"/>
  <c r="Q17" i="53"/>
  <c r="U17" i="53"/>
  <c r="V17" i="53"/>
  <c r="W17" i="53"/>
  <c r="X17" i="53"/>
  <c r="Y17" i="53"/>
  <c r="Z17" i="53"/>
  <c r="AA17" i="53"/>
  <c r="AB17" i="53"/>
  <c r="AC17" i="53"/>
  <c r="AD17" i="53"/>
  <c r="AE17" i="53"/>
  <c r="AF17" i="53"/>
  <c r="AG17" i="53"/>
  <c r="D18" i="53"/>
  <c r="O18" i="53"/>
  <c r="P18" i="53"/>
  <c r="Q18" i="53"/>
  <c r="U18" i="53"/>
  <c r="V18" i="53"/>
  <c r="W18" i="53"/>
  <c r="X18" i="53"/>
  <c r="Y18" i="53"/>
  <c r="Z18" i="53"/>
  <c r="AA18" i="53"/>
  <c r="AB18" i="53"/>
  <c r="AC18" i="53"/>
  <c r="AD18" i="53"/>
  <c r="AE18" i="53"/>
  <c r="AF18" i="53"/>
  <c r="AG18" i="53"/>
  <c r="D19" i="53"/>
  <c r="O19" i="53"/>
  <c r="P19" i="53"/>
  <c r="Q19" i="53"/>
  <c r="U19" i="53"/>
  <c r="V19" i="53"/>
  <c r="W19" i="53"/>
  <c r="X19" i="53"/>
  <c r="Y19" i="53"/>
  <c r="Z19" i="53"/>
  <c r="AA19" i="53"/>
  <c r="AB19" i="53"/>
  <c r="AC19" i="53"/>
  <c r="AD19" i="53"/>
  <c r="AE19" i="53"/>
  <c r="AF19" i="53"/>
  <c r="AG19" i="53"/>
  <c r="D20" i="53"/>
  <c r="O20" i="53"/>
  <c r="P20" i="53"/>
  <c r="Q20" i="53"/>
  <c r="U20" i="53"/>
  <c r="V20" i="53"/>
  <c r="W20" i="53"/>
  <c r="X20" i="53"/>
  <c r="Y20" i="53"/>
  <c r="Z20" i="53"/>
  <c r="AA20" i="53"/>
  <c r="AB20" i="53"/>
  <c r="AC20" i="53"/>
  <c r="AD20" i="53"/>
  <c r="AE20" i="53"/>
  <c r="AF20" i="53"/>
  <c r="AG20" i="53"/>
  <c r="D21" i="53"/>
  <c r="O21" i="53"/>
  <c r="P21" i="53"/>
  <c r="Q21" i="53"/>
  <c r="U21" i="53"/>
  <c r="V21" i="53"/>
  <c r="W21" i="53"/>
  <c r="X21" i="53"/>
  <c r="Y21" i="53"/>
  <c r="Z21" i="53"/>
  <c r="AA21" i="53"/>
  <c r="AB21" i="53"/>
  <c r="AC21" i="53"/>
  <c r="AD21" i="53"/>
  <c r="AE21" i="53"/>
  <c r="AF21" i="53"/>
  <c r="AG21" i="53"/>
  <c r="D22" i="53"/>
  <c r="O22" i="53"/>
  <c r="P22" i="53"/>
  <c r="Q22" i="53"/>
  <c r="U22" i="53"/>
  <c r="V22" i="53"/>
  <c r="W22" i="53"/>
  <c r="X22" i="53"/>
  <c r="Y22" i="53"/>
  <c r="Z22" i="53"/>
  <c r="AA22" i="53"/>
  <c r="AB22" i="53"/>
  <c r="AC22" i="53"/>
  <c r="AD22" i="53"/>
  <c r="AE22" i="53"/>
  <c r="AF22" i="53"/>
  <c r="AG22" i="53"/>
  <c r="D23" i="53"/>
  <c r="O23" i="53"/>
  <c r="P23" i="53"/>
  <c r="Q23" i="53"/>
  <c r="U23" i="53"/>
  <c r="V23" i="53"/>
  <c r="W23" i="53"/>
  <c r="X23" i="53"/>
  <c r="Y23" i="53"/>
  <c r="Z23" i="53"/>
  <c r="AA23" i="53"/>
  <c r="AB23" i="53"/>
  <c r="AC23" i="53"/>
  <c r="AD23" i="53"/>
  <c r="AE23" i="53"/>
  <c r="AF23" i="53"/>
  <c r="AG23" i="53"/>
  <c r="D24" i="53"/>
  <c r="O24" i="53"/>
  <c r="P24" i="53"/>
  <c r="Q24" i="53"/>
  <c r="U24" i="53"/>
  <c r="V24" i="53"/>
  <c r="W24" i="53"/>
  <c r="X24" i="53"/>
  <c r="Y24" i="53"/>
  <c r="Z24" i="53"/>
  <c r="AA24" i="53"/>
  <c r="AB24" i="53"/>
  <c r="AC24" i="53"/>
  <c r="AD24" i="53"/>
  <c r="AE24" i="53"/>
  <c r="AF24" i="53"/>
  <c r="AG24" i="53"/>
  <c r="D25" i="53"/>
  <c r="O25" i="53"/>
  <c r="P25" i="53"/>
  <c r="Q25" i="53"/>
  <c r="U25" i="53"/>
  <c r="V25" i="53"/>
  <c r="W25" i="53"/>
  <c r="X25" i="53"/>
  <c r="Y25" i="53"/>
  <c r="Z25" i="53"/>
  <c r="AA25" i="53"/>
  <c r="AB25" i="53"/>
  <c r="AC25" i="53"/>
  <c r="AD25" i="53"/>
  <c r="AE25" i="53"/>
  <c r="AF25" i="53"/>
  <c r="AG25" i="53"/>
  <c r="D26" i="53"/>
  <c r="O26" i="53"/>
  <c r="P26" i="53"/>
  <c r="Q26" i="53"/>
  <c r="U26" i="53"/>
  <c r="V26" i="53"/>
  <c r="W26" i="53"/>
  <c r="X26" i="53"/>
  <c r="Y26" i="53"/>
  <c r="Z26" i="53"/>
  <c r="AA26" i="53"/>
  <c r="AB26" i="53"/>
  <c r="AC26" i="53"/>
  <c r="AD26" i="53"/>
  <c r="AE26" i="53"/>
  <c r="AF26" i="53"/>
  <c r="AG26" i="53"/>
  <c r="D27" i="53"/>
  <c r="O27" i="53"/>
  <c r="P27" i="53"/>
  <c r="Q27" i="53"/>
  <c r="U27" i="53"/>
  <c r="V27" i="53"/>
  <c r="W27" i="53"/>
  <c r="X27" i="53"/>
  <c r="Y27" i="53"/>
  <c r="Z27" i="53"/>
  <c r="AA27" i="53"/>
  <c r="AB27" i="53"/>
  <c r="AC27" i="53"/>
  <c r="AD27" i="53"/>
  <c r="AE27" i="53"/>
  <c r="AF27" i="53"/>
  <c r="AG27" i="53"/>
  <c r="D28" i="53"/>
  <c r="O28" i="53"/>
  <c r="P28" i="53"/>
  <c r="Q28" i="53"/>
  <c r="U28" i="53"/>
  <c r="V28" i="53"/>
  <c r="W28" i="53"/>
  <c r="X28" i="53"/>
  <c r="Y28" i="53"/>
  <c r="Z28" i="53"/>
  <c r="AA28" i="53"/>
  <c r="AB28" i="53"/>
  <c r="AC28" i="53"/>
  <c r="AD28" i="53"/>
  <c r="AE28" i="53"/>
  <c r="AF28" i="53"/>
  <c r="AG28" i="53"/>
  <c r="D29" i="53"/>
  <c r="O29" i="53"/>
  <c r="P29" i="53"/>
  <c r="Q29" i="53"/>
  <c r="U29" i="53"/>
  <c r="V29" i="53"/>
  <c r="W29" i="53"/>
  <c r="X29" i="53"/>
  <c r="Y29" i="53"/>
  <c r="Z29" i="53"/>
  <c r="AA29" i="53"/>
  <c r="AB29" i="53"/>
  <c r="AC29" i="53"/>
  <c r="AD29" i="53"/>
  <c r="AE29" i="53"/>
  <c r="AF29" i="53"/>
  <c r="AG29" i="53"/>
  <c r="D30" i="53"/>
  <c r="O30" i="53"/>
  <c r="P30" i="53"/>
  <c r="Q30" i="53"/>
  <c r="U30" i="53"/>
  <c r="V30" i="53"/>
  <c r="W30" i="53"/>
  <c r="X30" i="53"/>
  <c r="Y30" i="53"/>
  <c r="Z30" i="53"/>
  <c r="AA30" i="53"/>
  <c r="AB30" i="53"/>
  <c r="AC30" i="53"/>
  <c r="AD30" i="53"/>
  <c r="AE30" i="53"/>
  <c r="AF30" i="53"/>
  <c r="AG30" i="53"/>
  <c r="D31" i="53"/>
  <c r="O31" i="53"/>
  <c r="P31" i="53"/>
  <c r="Q31" i="53"/>
  <c r="U31" i="53"/>
  <c r="V31" i="53"/>
  <c r="W31" i="53"/>
  <c r="X31" i="53"/>
  <c r="Y31" i="53"/>
  <c r="Z31" i="53"/>
  <c r="AA31" i="53"/>
  <c r="AB31" i="53"/>
  <c r="AC31" i="53"/>
  <c r="AD31" i="53"/>
  <c r="AE31" i="53"/>
  <c r="AF31" i="53"/>
  <c r="AG31" i="53"/>
  <c r="D32" i="53"/>
  <c r="O32" i="53"/>
  <c r="P32" i="53"/>
  <c r="Q32" i="53"/>
  <c r="U32" i="53"/>
  <c r="V32" i="53"/>
  <c r="W32" i="53"/>
  <c r="X32" i="53"/>
  <c r="Y32" i="53"/>
  <c r="Z32" i="53"/>
  <c r="AA32" i="53"/>
  <c r="AB32" i="53"/>
  <c r="AC32" i="53"/>
  <c r="AD32" i="53"/>
  <c r="AE32" i="53"/>
  <c r="AF32" i="53"/>
  <c r="AG32" i="53"/>
  <c r="D33" i="53"/>
  <c r="O33" i="53"/>
  <c r="P33" i="53"/>
  <c r="Q33" i="53"/>
  <c r="U33" i="53"/>
  <c r="V33" i="53"/>
  <c r="W33" i="53"/>
  <c r="X33" i="53"/>
  <c r="Y33" i="53"/>
  <c r="Z33" i="53"/>
  <c r="AA33" i="53"/>
  <c r="AB33" i="53"/>
  <c r="AC33" i="53"/>
  <c r="AD33" i="53"/>
  <c r="AE33" i="53"/>
  <c r="AF33" i="53"/>
  <c r="AG33" i="53"/>
  <c r="D34" i="53"/>
  <c r="O34" i="53"/>
  <c r="P34" i="53"/>
  <c r="Q34" i="53"/>
  <c r="U34" i="53"/>
  <c r="V34" i="53"/>
  <c r="W34" i="53"/>
  <c r="X34" i="53"/>
  <c r="Y34" i="53"/>
  <c r="Z34" i="53"/>
  <c r="AA34" i="53"/>
  <c r="AB34" i="53"/>
  <c r="AC34" i="53"/>
  <c r="AD34" i="53"/>
  <c r="AE34" i="53"/>
  <c r="AF34" i="53"/>
  <c r="AG34" i="53"/>
  <c r="D35" i="53"/>
  <c r="O35" i="53"/>
  <c r="P35" i="53"/>
  <c r="Q35" i="53"/>
  <c r="U35" i="53"/>
  <c r="V35" i="53"/>
  <c r="W35" i="53"/>
  <c r="X35" i="53"/>
  <c r="Y35" i="53"/>
  <c r="Z35" i="53"/>
  <c r="AA35" i="53"/>
  <c r="AB35" i="53"/>
  <c r="AC35" i="53"/>
  <c r="AD35" i="53"/>
  <c r="AE35" i="53"/>
  <c r="AF35" i="53"/>
  <c r="AG35" i="53"/>
  <c r="M38" i="43"/>
  <c r="I38" i="43"/>
  <c r="N38" i="43"/>
  <c r="S38" i="43"/>
  <c r="M37" i="43"/>
  <c r="I37" i="43"/>
  <c r="N37" i="43"/>
  <c r="S37" i="43"/>
  <c r="M36" i="43"/>
  <c r="I36" i="43"/>
  <c r="N36" i="43"/>
  <c r="S36" i="43"/>
  <c r="M35" i="43"/>
  <c r="I35" i="43"/>
  <c r="N35" i="43"/>
  <c r="S35" i="43"/>
  <c r="M34" i="43"/>
  <c r="I34" i="43"/>
  <c r="N34" i="43"/>
  <c r="S34" i="43"/>
  <c r="M33" i="43"/>
  <c r="I33" i="43"/>
  <c r="N33" i="43"/>
  <c r="S33" i="43"/>
  <c r="M32" i="43"/>
  <c r="I32" i="43"/>
  <c r="N32" i="43"/>
  <c r="S32" i="43"/>
  <c r="M31" i="43"/>
  <c r="I31" i="43"/>
  <c r="N31" i="43"/>
  <c r="S31" i="43"/>
  <c r="M30" i="43"/>
  <c r="I30" i="43"/>
  <c r="N30" i="43"/>
  <c r="S30" i="43"/>
  <c r="M29" i="43"/>
  <c r="I29" i="43"/>
  <c r="N29" i="43"/>
  <c r="S29" i="43"/>
  <c r="M28" i="43"/>
  <c r="I28" i="43"/>
  <c r="N28" i="43"/>
  <c r="S28" i="43"/>
  <c r="M27" i="43"/>
  <c r="I27" i="43"/>
  <c r="N27" i="43"/>
  <c r="S27" i="43"/>
  <c r="M26" i="43"/>
  <c r="I26" i="43"/>
  <c r="N26" i="43"/>
  <c r="S26" i="43"/>
  <c r="M25" i="43"/>
  <c r="I25" i="43"/>
  <c r="N25" i="43"/>
  <c r="S25" i="43"/>
  <c r="M24" i="43"/>
  <c r="I24" i="43"/>
  <c r="N24" i="43"/>
  <c r="S24" i="43"/>
  <c r="M23" i="43"/>
  <c r="I23" i="43"/>
  <c r="N23" i="43"/>
  <c r="S23" i="43"/>
  <c r="M22" i="43"/>
  <c r="I22" i="43"/>
  <c r="N22" i="43"/>
  <c r="S22" i="43"/>
  <c r="M21" i="43"/>
  <c r="I21" i="43"/>
  <c r="N21" i="43"/>
  <c r="S21" i="43"/>
  <c r="M20" i="43"/>
  <c r="I20" i="43"/>
  <c r="N20" i="43"/>
  <c r="S20" i="43"/>
  <c r="M19" i="43"/>
  <c r="I19" i="43"/>
  <c r="N19" i="43"/>
  <c r="S19" i="43"/>
  <c r="M18" i="43"/>
  <c r="I18" i="43"/>
  <c r="N18" i="43"/>
  <c r="S18" i="43"/>
  <c r="M17" i="43"/>
  <c r="I17" i="43"/>
  <c r="N17" i="43"/>
  <c r="S17" i="43"/>
  <c r="R38" i="43"/>
  <c r="R37" i="43"/>
  <c r="R36" i="43"/>
  <c r="R35" i="43"/>
  <c r="R34" i="43"/>
  <c r="R33" i="43"/>
  <c r="R32" i="43"/>
  <c r="R31" i="43"/>
  <c r="R30" i="43"/>
  <c r="R29" i="43"/>
  <c r="R28" i="43"/>
  <c r="R27" i="43"/>
  <c r="R26" i="43"/>
  <c r="R25" i="43"/>
  <c r="R24" i="43"/>
  <c r="R23" i="43"/>
  <c r="R22" i="43"/>
  <c r="R21" i="43"/>
  <c r="R20" i="43"/>
  <c r="R19" i="43"/>
  <c r="R18" i="43"/>
  <c r="R17" i="43"/>
  <c r="T38" i="43"/>
  <c r="T37" i="43"/>
  <c r="T36" i="43"/>
  <c r="T35" i="43"/>
  <c r="T34" i="43"/>
  <c r="T33" i="43"/>
  <c r="T32" i="43"/>
  <c r="T31" i="43"/>
  <c r="T30" i="43"/>
  <c r="T29" i="43"/>
  <c r="T28" i="43"/>
  <c r="T27" i="43"/>
  <c r="T26" i="43"/>
  <c r="T25" i="43"/>
  <c r="T24" i="43"/>
  <c r="T23" i="43"/>
  <c r="T22" i="43"/>
  <c r="T21" i="43"/>
  <c r="T20" i="43"/>
  <c r="T19" i="43"/>
  <c r="T18" i="43"/>
  <c r="T17" i="43"/>
  <c r="D17" i="43"/>
  <c r="O17" i="43"/>
  <c r="P17" i="43"/>
  <c r="Q17" i="43"/>
  <c r="U17" i="43"/>
  <c r="V17" i="43"/>
  <c r="W17" i="43"/>
  <c r="X17" i="43"/>
  <c r="Y17" i="43"/>
  <c r="Z17" i="43"/>
  <c r="AA17" i="43"/>
  <c r="AB17" i="43"/>
  <c r="AC17" i="43"/>
  <c r="AD17" i="43"/>
  <c r="AE17" i="43"/>
  <c r="AF17" i="43"/>
  <c r="AG17" i="43"/>
  <c r="D18" i="43"/>
  <c r="O18" i="43"/>
  <c r="P18" i="43"/>
  <c r="Q18" i="43"/>
  <c r="U18" i="43"/>
  <c r="V18" i="43"/>
  <c r="W18" i="43"/>
  <c r="X18" i="43"/>
  <c r="Y18" i="43"/>
  <c r="Z18" i="43"/>
  <c r="AA18" i="43"/>
  <c r="AB18" i="43"/>
  <c r="AC18" i="43"/>
  <c r="AD18" i="43"/>
  <c r="AE18" i="43"/>
  <c r="AF18" i="43"/>
  <c r="AG18" i="43"/>
  <c r="D19" i="43"/>
  <c r="O19" i="43"/>
  <c r="P19" i="43"/>
  <c r="Q19" i="43"/>
  <c r="U19" i="43"/>
  <c r="V19" i="43"/>
  <c r="W19" i="43"/>
  <c r="X19" i="43"/>
  <c r="Y19" i="43"/>
  <c r="Z19" i="43"/>
  <c r="AA19" i="43"/>
  <c r="AB19" i="43"/>
  <c r="AC19" i="43"/>
  <c r="AD19" i="43"/>
  <c r="AE19" i="43"/>
  <c r="AF19" i="43"/>
  <c r="AG19" i="43"/>
  <c r="D20" i="43"/>
  <c r="O20" i="43"/>
  <c r="P20" i="43"/>
  <c r="Q20" i="43"/>
  <c r="U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D21" i="43"/>
  <c r="O21" i="43"/>
  <c r="P21" i="43"/>
  <c r="Q21" i="43"/>
  <c r="U21" i="43"/>
  <c r="V21" i="43"/>
  <c r="W21" i="43"/>
  <c r="X21" i="43"/>
  <c r="Y21" i="43"/>
  <c r="Z21" i="43"/>
  <c r="AA21" i="43"/>
  <c r="AB21" i="43"/>
  <c r="AC21" i="43"/>
  <c r="AD21" i="43"/>
  <c r="AE21" i="43"/>
  <c r="AF21" i="43"/>
  <c r="AG21" i="43"/>
  <c r="D22" i="43"/>
  <c r="O22" i="43"/>
  <c r="P22" i="43"/>
  <c r="Q22" i="43"/>
  <c r="U22" i="43"/>
  <c r="V22" i="43"/>
  <c r="W22" i="43"/>
  <c r="X22" i="43"/>
  <c r="Y22" i="43"/>
  <c r="Z22" i="43"/>
  <c r="AA22" i="43"/>
  <c r="AB22" i="43"/>
  <c r="AC22" i="43"/>
  <c r="AD22" i="43"/>
  <c r="AE22" i="43"/>
  <c r="AF22" i="43"/>
  <c r="AG22" i="43"/>
  <c r="D23" i="43"/>
  <c r="O23" i="43"/>
  <c r="P23" i="43"/>
  <c r="Q23" i="43"/>
  <c r="U23" i="43"/>
  <c r="V23" i="43"/>
  <c r="W23" i="43"/>
  <c r="X23" i="43"/>
  <c r="Y23" i="43"/>
  <c r="Z23" i="43"/>
  <c r="AA23" i="43"/>
  <c r="AB23" i="43"/>
  <c r="AC23" i="43"/>
  <c r="AD23" i="43"/>
  <c r="AE23" i="43"/>
  <c r="AF23" i="43"/>
  <c r="AG23" i="43"/>
  <c r="D24" i="43"/>
  <c r="O24" i="43"/>
  <c r="P24" i="43"/>
  <c r="Q24" i="43"/>
  <c r="U24" i="43"/>
  <c r="V24" i="43"/>
  <c r="W24" i="43"/>
  <c r="X24" i="43"/>
  <c r="Y24" i="43"/>
  <c r="Z24" i="43"/>
  <c r="AA24" i="43"/>
  <c r="AB24" i="43"/>
  <c r="AC24" i="43"/>
  <c r="AD24" i="43"/>
  <c r="AE24" i="43"/>
  <c r="AF24" i="43"/>
  <c r="AG24" i="43"/>
  <c r="D25" i="43"/>
  <c r="O25" i="43"/>
  <c r="P25" i="43"/>
  <c r="Q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D26" i="43"/>
  <c r="O26" i="43"/>
  <c r="P26" i="43"/>
  <c r="Q26" i="43"/>
  <c r="U26" i="43"/>
  <c r="V26" i="43"/>
  <c r="W26" i="43"/>
  <c r="X26" i="43"/>
  <c r="Y26" i="43"/>
  <c r="Z26" i="43"/>
  <c r="AA26" i="43"/>
  <c r="AB26" i="43"/>
  <c r="AC26" i="43"/>
  <c r="AD26" i="43"/>
  <c r="AE26" i="43"/>
  <c r="AF26" i="43"/>
  <c r="AG26" i="43"/>
  <c r="D27" i="43"/>
  <c r="O27" i="43"/>
  <c r="P27" i="43"/>
  <c r="Q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D28" i="43"/>
  <c r="O28" i="43"/>
  <c r="P28" i="43"/>
  <c r="Q28" i="43"/>
  <c r="U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D29" i="43"/>
  <c r="O29" i="43"/>
  <c r="P29" i="43"/>
  <c r="Q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D30" i="43"/>
  <c r="O30" i="43"/>
  <c r="P30" i="43"/>
  <c r="Q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D31" i="43"/>
  <c r="O31" i="43"/>
  <c r="P31" i="43"/>
  <c r="Q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D32" i="43"/>
  <c r="O32" i="43"/>
  <c r="P32" i="43"/>
  <c r="Q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D33" i="43"/>
  <c r="O33" i="43"/>
  <c r="P33" i="43"/>
  <c r="Q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D34" i="43"/>
  <c r="O34" i="43"/>
  <c r="P34" i="43"/>
  <c r="Q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D35" i="43"/>
  <c r="O35" i="43"/>
  <c r="P35" i="43"/>
  <c r="Q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D36" i="43"/>
  <c r="O36" i="43"/>
  <c r="P36" i="43"/>
  <c r="Q36" i="43"/>
  <c r="U36" i="43"/>
  <c r="V36" i="43"/>
  <c r="W36" i="43"/>
  <c r="X36" i="43"/>
  <c r="Y36" i="43"/>
  <c r="Z36" i="43"/>
  <c r="AA36" i="43"/>
  <c r="AB36" i="43"/>
  <c r="AC36" i="43"/>
  <c r="AD36" i="43"/>
  <c r="AE36" i="43"/>
  <c r="AF36" i="43"/>
  <c r="AG36" i="43"/>
  <c r="D37" i="43"/>
  <c r="O37" i="43"/>
  <c r="P37" i="43"/>
  <c r="Q37" i="43"/>
  <c r="U37" i="43"/>
  <c r="V37" i="43"/>
  <c r="W37" i="43"/>
  <c r="X37" i="43"/>
  <c r="Y37" i="43"/>
  <c r="Z37" i="43"/>
  <c r="AA37" i="43"/>
  <c r="AB37" i="43"/>
  <c r="AC37" i="43"/>
  <c r="AD37" i="43"/>
  <c r="AE37" i="43"/>
  <c r="AF37" i="43"/>
  <c r="AG37" i="43"/>
  <c r="D38" i="43"/>
  <c r="O38" i="43"/>
  <c r="P38" i="43"/>
  <c r="Q38" i="43"/>
  <c r="U38" i="43"/>
  <c r="V38" i="43"/>
  <c r="W38" i="43"/>
  <c r="X38" i="43"/>
  <c r="Y38" i="43"/>
  <c r="Z38" i="43"/>
  <c r="AA38" i="43"/>
  <c r="AB38" i="43"/>
  <c r="AC38" i="43"/>
  <c r="AD38" i="43"/>
  <c r="AE38" i="43"/>
  <c r="AF38" i="43"/>
  <c r="AG38" i="43"/>
  <c r="M33" i="54"/>
  <c r="I33" i="54"/>
  <c r="N33" i="54"/>
  <c r="S33" i="54"/>
  <c r="M32" i="54"/>
  <c r="I32" i="54"/>
  <c r="N32" i="54"/>
  <c r="S32" i="54"/>
  <c r="M31" i="54"/>
  <c r="I31" i="54"/>
  <c r="N31" i="54"/>
  <c r="S31" i="54"/>
  <c r="M30" i="54"/>
  <c r="I30" i="54"/>
  <c r="N30" i="54"/>
  <c r="S30" i="54"/>
  <c r="M29" i="54"/>
  <c r="I29" i="54"/>
  <c r="N29" i="54"/>
  <c r="S29" i="54"/>
  <c r="M28" i="54"/>
  <c r="I28" i="54"/>
  <c r="N28" i="54"/>
  <c r="S28" i="54"/>
  <c r="M27" i="54"/>
  <c r="I27" i="54"/>
  <c r="N27" i="54"/>
  <c r="S27" i="54"/>
  <c r="M26" i="54"/>
  <c r="I26" i="54"/>
  <c r="N26" i="54"/>
  <c r="S26" i="54"/>
  <c r="M25" i="54"/>
  <c r="I25" i="54"/>
  <c r="N25" i="54"/>
  <c r="S25" i="54"/>
  <c r="M24" i="54"/>
  <c r="I24" i="54"/>
  <c r="N24" i="54"/>
  <c r="S24" i="54"/>
  <c r="M23" i="54"/>
  <c r="I23" i="54"/>
  <c r="N23" i="54"/>
  <c r="S23" i="54"/>
  <c r="M22" i="54"/>
  <c r="I22" i="54"/>
  <c r="N22" i="54"/>
  <c r="S22" i="54"/>
  <c r="M21" i="54"/>
  <c r="I21" i="54"/>
  <c r="N21" i="54"/>
  <c r="S21" i="54"/>
  <c r="M20" i="54"/>
  <c r="I20" i="54"/>
  <c r="N20" i="54"/>
  <c r="S20" i="54"/>
  <c r="M19" i="54"/>
  <c r="I19" i="54"/>
  <c r="N19" i="54"/>
  <c r="S19" i="54"/>
  <c r="M18" i="54"/>
  <c r="I18" i="54"/>
  <c r="N18" i="54"/>
  <c r="S18" i="54"/>
  <c r="M17" i="54"/>
  <c r="I17" i="54"/>
  <c r="N17" i="54"/>
  <c r="S17" i="54"/>
  <c r="R33" i="54"/>
  <c r="R32" i="54"/>
  <c r="R31" i="54"/>
  <c r="R30" i="54"/>
  <c r="R29" i="54"/>
  <c r="R28" i="54"/>
  <c r="R27" i="54"/>
  <c r="R26" i="54"/>
  <c r="R25" i="54"/>
  <c r="R24" i="54"/>
  <c r="R23" i="54"/>
  <c r="R22" i="54"/>
  <c r="R21" i="54"/>
  <c r="R20" i="54"/>
  <c r="R19" i="54"/>
  <c r="R18" i="54"/>
  <c r="R17" i="54"/>
  <c r="T33" i="54"/>
  <c r="T32" i="54"/>
  <c r="T31" i="54"/>
  <c r="T30" i="54"/>
  <c r="T29" i="54"/>
  <c r="T28" i="54"/>
  <c r="T27" i="54"/>
  <c r="T26" i="54"/>
  <c r="T25" i="54"/>
  <c r="T24" i="54"/>
  <c r="T23" i="54"/>
  <c r="T22" i="54"/>
  <c r="T21" i="54"/>
  <c r="T20" i="54"/>
  <c r="T19" i="54"/>
  <c r="T18" i="54"/>
  <c r="T17" i="54"/>
  <c r="D17" i="54"/>
  <c r="O17" i="54"/>
  <c r="P17" i="54"/>
  <c r="Q17" i="54"/>
  <c r="U17" i="54"/>
  <c r="V17" i="54"/>
  <c r="W17" i="54"/>
  <c r="X17" i="54"/>
  <c r="Y17" i="54"/>
  <c r="Z17" i="54"/>
  <c r="AA17" i="54"/>
  <c r="AB17" i="54"/>
  <c r="AC17" i="54"/>
  <c r="AD17" i="54"/>
  <c r="AE17" i="54"/>
  <c r="AF17" i="54"/>
  <c r="AG17" i="54"/>
  <c r="D18" i="54"/>
  <c r="O18" i="54"/>
  <c r="P18" i="54"/>
  <c r="Q18" i="54"/>
  <c r="U18" i="54"/>
  <c r="V18" i="54"/>
  <c r="W18" i="54"/>
  <c r="X18" i="54"/>
  <c r="Y18" i="54"/>
  <c r="Z18" i="54"/>
  <c r="AA18" i="54"/>
  <c r="AB18" i="54"/>
  <c r="AC18" i="54"/>
  <c r="AD18" i="54"/>
  <c r="AE18" i="54"/>
  <c r="AF18" i="54"/>
  <c r="AG18" i="54"/>
  <c r="D19" i="54"/>
  <c r="O19" i="54"/>
  <c r="P19" i="54"/>
  <c r="Q19" i="54"/>
  <c r="U19" i="54"/>
  <c r="V19" i="54"/>
  <c r="W19" i="54"/>
  <c r="X19" i="54"/>
  <c r="Y19" i="54"/>
  <c r="Z19" i="54"/>
  <c r="AA19" i="54"/>
  <c r="AB19" i="54"/>
  <c r="AC19" i="54"/>
  <c r="AD19" i="54"/>
  <c r="AE19" i="54"/>
  <c r="AF19" i="54"/>
  <c r="AG19" i="54"/>
  <c r="D20" i="54"/>
  <c r="O20" i="54"/>
  <c r="P20" i="54"/>
  <c r="Q20" i="54"/>
  <c r="U20" i="54"/>
  <c r="V20" i="54"/>
  <c r="W20" i="54"/>
  <c r="X20" i="54"/>
  <c r="Y20" i="54"/>
  <c r="Z20" i="54"/>
  <c r="AA20" i="54"/>
  <c r="AB20" i="54"/>
  <c r="AC20" i="54"/>
  <c r="AD20" i="54"/>
  <c r="AE20" i="54"/>
  <c r="AF20" i="54"/>
  <c r="AG20" i="54"/>
  <c r="D21" i="54"/>
  <c r="O21" i="54"/>
  <c r="P21" i="54"/>
  <c r="Q21" i="54"/>
  <c r="U21" i="54"/>
  <c r="V21" i="54"/>
  <c r="W21" i="54"/>
  <c r="X21" i="54"/>
  <c r="Y21" i="54"/>
  <c r="Z21" i="54"/>
  <c r="AA21" i="54"/>
  <c r="AB21" i="54"/>
  <c r="AC21" i="54"/>
  <c r="AD21" i="54"/>
  <c r="AE21" i="54"/>
  <c r="AF21" i="54"/>
  <c r="AG21" i="54"/>
  <c r="D22" i="54"/>
  <c r="O22" i="54"/>
  <c r="P22" i="54"/>
  <c r="Q22" i="54"/>
  <c r="U22" i="54"/>
  <c r="V22" i="54"/>
  <c r="W22" i="54"/>
  <c r="X22" i="54"/>
  <c r="Y22" i="54"/>
  <c r="Z22" i="54"/>
  <c r="AA22" i="54"/>
  <c r="AB22" i="54"/>
  <c r="AC22" i="54"/>
  <c r="AD22" i="54"/>
  <c r="AE22" i="54"/>
  <c r="AF22" i="54"/>
  <c r="AG22" i="54"/>
  <c r="D23" i="54"/>
  <c r="O23" i="54"/>
  <c r="P23" i="54"/>
  <c r="Q23" i="54"/>
  <c r="U23" i="54"/>
  <c r="V23" i="54"/>
  <c r="W23" i="54"/>
  <c r="X23" i="54"/>
  <c r="Y23" i="54"/>
  <c r="Z23" i="54"/>
  <c r="AA23" i="54"/>
  <c r="AB23" i="54"/>
  <c r="AC23" i="54"/>
  <c r="AD23" i="54"/>
  <c r="AE23" i="54"/>
  <c r="AF23" i="54"/>
  <c r="AG23" i="54"/>
  <c r="D24" i="54"/>
  <c r="O24" i="54"/>
  <c r="P24" i="54"/>
  <c r="Q24" i="54"/>
  <c r="U24" i="54"/>
  <c r="V24" i="54"/>
  <c r="W24" i="54"/>
  <c r="X24" i="54"/>
  <c r="Y24" i="54"/>
  <c r="Z24" i="54"/>
  <c r="AA24" i="54"/>
  <c r="AB24" i="54"/>
  <c r="AC24" i="54"/>
  <c r="AD24" i="54"/>
  <c r="AE24" i="54"/>
  <c r="AF24" i="54"/>
  <c r="AG24" i="54"/>
  <c r="D25" i="54"/>
  <c r="O25" i="54"/>
  <c r="P25" i="54"/>
  <c r="Q25" i="54"/>
  <c r="U25" i="54"/>
  <c r="V25" i="54"/>
  <c r="W25" i="54"/>
  <c r="X25" i="54"/>
  <c r="Y25" i="54"/>
  <c r="Z25" i="54"/>
  <c r="AA25" i="54"/>
  <c r="AB25" i="54"/>
  <c r="AC25" i="54"/>
  <c r="AD25" i="54"/>
  <c r="AE25" i="54"/>
  <c r="AF25" i="54"/>
  <c r="AG25" i="54"/>
  <c r="D26" i="54"/>
  <c r="O26" i="54"/>
  <c r="P26" i="54"/>
  <c r="Q26" i="54"/>
  <c r="U26" i="54"/>
  <c r="V26" i="54"/>
  <c r="W26" i="54"/>
  <c r="X26" i="54"/>
  <c r="Y26" i="54"/>
  <c r="Z26" i="54"/>
  <c r="AA26" i="54"/>
  <c r="AB26" i="54"/>
  <c r="AC26" i="54"/>
  <c r="AD26" i="54"/>
  <c r="AE26" i="54"/>
  <c r="AF26" i="54"/>
  <c r="AG26" i="54"/>
  <c r="D27" i="54"/>
  <c r="O27" i="54"/>
  <c r="P27" i="54"/>
  <c r="Q27" i="54"/>
  <c r="U27" i="54"/>
  <c r="V27" i="54"/>
  <c r="W27" i="54"/>
  <c r="X27" i="54"/>
  <c r="Y27" i="54"/>
  <c r="Z27" i="54"/>
  <c r="AA27" i="54"/>
  <c r="AB27" i="54"/>
  <c r="AC27" i="54"/>
  <c r="AD27" i="54"/>
  <c r="AE27" i="54"/>
  <c r="AF27" i="54"/>
  <c r="AG27" i="54"/>
  <c r="D28" i="54"/>
  <c r="O28" i="54"/>
  <c r="P28" i="54"/>
  <c r="Q28" i="54"/>
  <c r="U28" i="54"/>
  <c r="V28" i="54"/>
  <c r="W28" i="54"/>
  <c r="X28" i="54"/>
  <c r="Y28" i="54"/>
  <c r="Z28" i="54"/>
  <c r="AA28" i="54"/>
  <c r="AB28" i="54"/>
  <c r="AC28" i="54"/>
  <c r="AD28" i="54"/>
  <c r="AE28" i="54"/>
  <c r="AF28" i="54"/>
  <c r="AG28" i="54"/>
  <c r="D29" i="54"/>
  <c r="O29" i="54"/>
  <c r="P29" i="54"/>
  <c r="Q29" i="54"/>
  <c r="U29" i="54"/>
  <c r="V29" i="54"/>
  <c r="W29" i="54"/>
  <c r="X29" i="54"/>
  <c r="Y29" i="54"/>
  <c r="Z29" i="54"/>
  <c r="AA29" i="54"/>
  <c r="AB29" i="54"/>
  <c r="AC29" i="54"/>
  <c r="AD29" i="54"/>
  <c r="AE29" i="54"/>
  <c r="AF29" i="54"/>
  <c r="AG29" i="54"/>
  <c r="D30" i="54"/>
  <c r="O30" i="54"/>
  <c r="P30" i="54"/>
  <c r="Q30" i="54"/>
  <c r="U30" i="54"/>
  <c r="V30" i="54"/>
  <c r="W30" i="54"/>
  <c r="X30" i="54"/>
  <c r="Y30" i="54"/>
  <c r="Z30" i="54"/>
  <c r="AA30" i="54"/>
  <c r="AB30" i="54"/>
  <c r="AC30" i="54"/>
  <c r="AD30" i="54"/>
  <c r="AE30" i="54"/>
  <c r="AF30" i="54"/>
  <c r="AG30" i="54"/>
  <c r="D31" i="54"/>
  <c r="O31" i="54"/>
  <c r="P31" i="54"/>
  <c r="Q31" i="54"/>
  <c r="U31" i="54"/>
  <c r="V31" i="54"/>
  <c r="W31" i="54"/>
  <c r="X31" i="54"/>
  <c r="Y31" i="54"/>
  <c r="Z31" i="54"/>
  <c r="AA31" i="54"/>
  <c r="AB31" i="54"/>
  <c r="AC31" i="54"/>
  <c r="AD31" i="54"/>
  <c r="AE31" i="54"/>
  <c r="AF31" i="54"/>
  <c r="AG31" i="54"/>
  <c r="D32" i="54"/>
  <c r="O32" i="54"/>
  <c r="P32" i="54"/>
  <c r="Q32" i="54"/>
  <c r="U32" i="54"/>
  <c r="V32" i="54"/>
  <c r="W32" i="54"/>
  <c r="X32" i="54"/>
  <c r="Y32" i="54"/>
  <c r="Z32" i="54"/>
  <c r="AA32" i="54"/>
  <c r="AB32" i="54"/>
  <c r="AC32" i="54"/>
  <c r="AD32" i="54"/>
  <c r="AE32" i="54"/>
  <c r="AF32" i="54"/>
  <c r="AG32" i="54"/>
  <c r="D33" i="54"/>
  <c r="O33" i="54"/>
  <c r="P33" i="54"/>
  <c r="Q33" i="54"/>
  <c r="U33" i="54"/>
  <c r="V33" i="54"/>
  <c r="W33" i="54"/>
  <c r="X33" i="54"/>
  <c r="Y33" i="54"/>
  <c r="Z33" i="54"/>
  <c r="AA33" i="54"/>
  <c r="AB33" i="54"/>
  <c r="AC33" i="54"/>
  <c r="AD33" i="54"/>
  <c r="AE33" i="54"/>
  <c r="AF33" i="54"/>
  <c r="AG33" i="54"/>
  <c r="D17" i="44"/>
  <c r="I17" i="44"/>
  <c r="M17" i="44"/>
  <c r="N17" i="44"/>
  <c r="O17" i="44"/>
  <c r="P17" i="44"/>
  <c r="Q17" i="44"/>
  <c r="M62" i="44"/>
  <c r="I62" i="44"/>
  <c r="N62" i="44"/>
  <c r="S62" i="44"/>
  <c r="M61" i="44"/>
  <c r="I61" i="44"/>
  <c r="N61" i="44"/>
  <c r="S61" i="44"/>
  <c r="M60" i="44"/>
  <c r="I60" i="44"/>
  <c r="N60" i="44"/>
  <c r="S60" i="44"/>
  <c r="M59" i="44"/>
  <c r="I59" i="44"/>
  <c r="N59" i="44"/>
  <c r="S59" i="44"/>
  <c r="M58" i="44"/>
  <c r="I58" i="44"/>
  <c r="N58" i="44"/>
  <c r="S58" i="44"/>
  <c r="M57" i="44"/>
  <c r="I57" i="44"/>
  <c r="N57" i="44"/>
  <c r="S57" i="44"/>
  <c r="M56" i="44"/>
  <c r="I56" i="44"/>
  <c r="N56" i="44"/>
  <c r="S56" i="44"/>
  <c r="M55" i="44"/>
  <c r="I55" i="44"/>
  <c r="N55" i="44"/>
  <c r="S55" i="44"/>
  <c r="M54" i="44"/>
  <c r="I54" i="44"/>
  <c r="N54" i="44"/>
  <c r="S54" i="44"/>
  <c r="M53" i="44"/>
  <c r="I53" i="44"/>
  <c r="N53" i="44"/>
  <c r="S53" i="44"/>
  <c r="M52" i="44"/>
  <c r="I52" i="44"/>
  <c r="N52" i="44"/>
  <c r="S52" i="44"/>
  <c r="M51" i="44"/>
  <c r="I51" i="44"/>
  <c r="N51" i="44"/>
  <c r="S51" i="44"/>
  <c r="M50" i="44"/>
  <c r="I50" i="44"/>
  <c r="N50" i="44"/>
  <c r="S50" i="44"/>
  <c r="M49" i="44"/>
  <c r="I49" i="44"/>
  <c r="N49" i="44"/>
  <c r="S49" i="44"/>
  <c r="M48" i="44"/>
  <c r="I48" i="44"/>
  <c r="N48" i="44"/>
  <c r="S48" i="44"/>
  <c r="M47" i="44"/>
  <c r="I47" i="44"/>
  <c r="N47" i="44"/>
  <c r="S47" i="44"/>
  <c r="M46" i="44"/>
  <c r="I46" i="44"/>
  <c r="N46" i="44"/>
  <c r="S46" i="44"/>
  <c r="M45" i="44"/>
  <c r="I45" i="44"/>
  <c r="N45" i="44"/>
  <c r="S45" i="44"/>
  <c r="M44" i="44"/>
  <c r="I44" i="44"/>
  <c r="N44" i="44"/>
  <c r="S44" i="44"/>
  <c r="M43" i="44"/>
  <c r="I43" i="44"/>
  <c r="N43" i="44"/>
  <c r="S43" i="44"/>
  <c r="M42" i="44"/>
  <c r="I42" i="44"/>
  <c r="N42" i="44"/>
  <c r="S42" i="44"/>
  <c r="M41" i="44"/>
  <c r="I41" i="44"/>
  <c r="N41" i="44"/>
  <c r="S41" i="44"/>
  <c r="M40" i="44"/>
  <c r="I40" i="44"/>
  <c r="N40" i="44"/>
  <c r="S40" i="44"/>
  <c r="M39" i="44"/>
  <c r="I39" i="44"/>
  <c r="N39" i="44"/>
  <c r="S39" i="44"/>
  <c r="M38" i="44"/>
  <c r="I38" i="44"/>
  <c r="N38" i="44"/>
  <c r="S38" i="44"/>
  <c r="M37" i="44"/>
  <c r="I37" i="44"/>
  <c r="N37" i="44"/>
  <c r="S37" i="44"/>
  <c r="M36" i="44"/>
  <c r="I36" i="44"/>
  <c r="N36" i="44"/>
  <c r="S36" i="44"/>
  <c r="M35" i="44"/>
  <c r="I35" i="44"/>
  <c r="N35" i="44"/>
  <c r="S35" i="44"/>
  <c r="M34" i="44"/>
  <c r="I34" i="44"/>
  <c r="N34" i="44"/>
  <c r="S34" i="44"/>
  <c r="M33" i="44"/>
  <c r="I33" i="44"/>
  <c r="N33" i="44"/>
  <c r="S33" i="44"/>
  <c r="M32" i="44"/>
  <c r="I32" i="44"/>
  <c r="N32" i="44"/>
  <c r="S32" i="44"/>
  <c r="M31" i="44"/>
  <c r="I31" i="44"/>
  <c r="N31" i="44"/>
  <c r="S31" i="44"/>
  <c r="M30" i="44"/>
  <c r="I30" i="44"/>
  <c r="N30" i="44"/>
  <c r="S30" i="44"/>
  <c r="M29" i="44"/>
  <c r="I29" i="44"/>
  <c r="N29" i="44"/>
  <c r="S29" i="44"/>
  <c r="M28" i="44"/>
  <c r="I28" i="44"/>
  <c r="N28" i="44"/>
  <c r="S28" i="44"/>
  <c r="M27" i="44"/>
  <c r="I27" i="44"/>
  <c r="N27" i="44"/>
  <c r="S27" i="44"/>
  <c r="M26" i="44"/>
  <c r="I26" i="44"/>
  <c r="N26" i="44"/>
  <c r="S26" i="44"/>
  <c r="M25" i="44"/>
  <c r="I25" i="44"/>
  <c r="N25" i="44"/>
  <c r="S25" i="44"/>
  <c r="M24" i="44"/>
  <c r="I24" i="44"/>
  <c r="N24" i="44"/>
  <c r="S24" i="44"/>
  <c r="M23" i="44"/>
  <c r="I23" i="44"/>
  <c r="N23" i="44"/>
  <c r="S23" i="44"/>
  <c r="M22" i="44"/>
  <c r="I22" i="44"/>
  <c r="N22" i="44"/>
  <c r="S22" i="44"/>
  <c r="M21" i="44"/>
  <c r="I21" i="44"/>
  <c r="N21" i="44"/>
  <c r="S21" i="44"/>
  <c r="M20" i="44"/>
  <c r="I20" i="44"/>
  <c r="N20" i="44"/>
  <c r="S20" i="44"/>
  <c r="M19" i="44"/>
  <c r="I19" i="44"/>
  <c r="N19" i="44"/>
  <c r="S19" i="44"/>
  <c r="M18" i="44"/>
  <c r="I18" i="44"/>
  <c r="N18" i="44"/>
  <c r="S18" i="44"/>
  <c r="R62" i="44"/>
  <c r="R61" i="44"/>
  <c r="R60" i="44"/>
  <c r="R59" i="44"/>
  <c r="R58" i="44"/>
  <c r="R57" i="44"/>
  <c r="R56" i="44"/>
  <c r="R55" i="44"/>
  <c r="R54" i="44"/>
  <c r="R53" i="44"/>
  <c r="R52" i="44"/>
  <c r="R51" i="44"/>
  <c r="R50" i="44"/>
  <c r="R49" i="44"/>
  <c r="R48" i="44"/>
  <c r="R47" i="44"/>
  <c r="R46" i="44"/>
  <c r="R45" i="44"/>
  <c r="R44" i="44"/>
  <c r="R43" i="44"/>
  <c r="R42" i="44"/>
  <c r="R41" i="44"/>
  <c r="R40" i="44"/>
  <c r="R39" i="44"/>
  <c r="R38" i="44"/>
  <c r="R37" i="44"/>
  <c r="R36" i="44"/>
  <c r="R35" i="44"/>
  <c r="R34" i="44"/>
  <c r="R33" i="44"/>
  <c r="R32" i="44"/>
  <c r="R31" i="44"/>
  <c r="R30" i="44"/>
  <c r="R29" i="44"/>
  <c r="R28" i="44"/>
  <c r="R27" i="44"/>
  <c r="R26" i="44"/>
  <c r="R25" i="44"/>
  <c r="R24" i="44"/>
  <c r="R23" i="44"/>
  <c r="R22" i="44"/>
  <c r="R21" i="44"/>
  <c r="R20" i="44"/>
  <c r="R19" i="44"/>
  <c r="R18" i="44"/>
  <c r="R17" i="44"/>
  <c r="S17" i="44"/>
  <c r="T62" i="44"/>
  <c r="T61" i="44"/>
  <c r="T60" i="44"/>
  <c r="T59" i="44"/>
  <c r="T58" i="44"/>
  <c r="T57" i="44"/>
  <c r="T56" i="44"/>
  <c r="T55" i="44"/>
  <c r="T54" i="44"/>
  <c r="T53" i="44"/>
  <c r="T52" i="44"/>
  <c r="T51" i="44"/>
  <c r="T50" i="44"/>
  <c r="T49" i="44"/>
  <c r="T48" i="44"/>
  <c r="T47" i="44"/>
  <c r="T46" i="44"/>
  <c r="T45" i="44"/>
  <c r="T44" i="44"/>
  <c r="T43" i="44"/>
  <c r="T42" i="44"/>
  <c r="T41" i="44"/>
  <c r="T40" i="44"/>
  <c r="T39" i="44"/>
  <c r="T38" i="44"/>
  <c r="T37" i="44"/>
  <c r="T36" i="44"/>
  <c r="T35" i="44"/>
  <c r="T34" i="44"/>
  <c r="T33" i="44"/>
  <c r="T32" i="44"/>
  <c r="T31" i="44"/>
  <c r="T30" i="44"/>
  <c r="T29" i="44"/>
  <c r="T28" i="44"/>
  <c r="T27" i="44"/>
  <c r="T26" i="44"/>
  <c r="T25" i="44"/>
  <c r="T24" i="44"/>
  <c r="T23" i="44"/>
  <c r="T22" i="44"/>
  <c r="T21" i="44"/>
  <c r="T20" i="44"/>
  <c r="T19" i="44"/>
  <c r="T18" i="44"/>
  <c r="T17" i="44"/>
  <c r="U17" i="44"/>
  <c r="V17" i="44"/>
  <c r="W17" i="44"/>
  <c r="X17" i="44"/>
  <c r="Y17" i="44"/>
  <c r="Z17" i="44"/>
  <c r="AA17" i="44"/>
  <c r="AB17" i="44"/>
  <c r="AC17" i="44"/>
  <c r="AD17" i="44"/>
  <c r="AE17" i="44"/>
  <c r="AF17" i="44"/>
  <c r="AG17" i="44"/>
  <c r="D18" i="44"/>
  <c r="O18" i="44"/>
  <c r="P18" i="44"/>
  <c r="Q18" i="44"/>
  <c r="U18" i="44"/>
  <c r="V18" i="44"/>
  <c r="W18" i="44"/>
  <c r="X18" i="44"/>
  <c r="Y18" i="44"/>
  <c r="Z18" i="44"/>
  <c r="AA18" i="44"/>
  <c r="AB18" i="44"/>
  <c r="AC18" i="44"/>
  <c r="AD18" i="44"/>
  <c r="AE18" i="44"/>
  <c r="AF18" i="44"/>
  <c r="AG18" i="44"/>
  <c r="D19" i="44"/>
  <c r="O19" i="44"/>
  <c r="P19" i="44"/>
  <c r="Q19" i="44"/>
  <c r="U19" i="44"/>
  <c r="V19" i="44"/>
  <c r="W19" i="44"/>
  <c r="X19" i="44"/>
  <c r="Y19" i="44"/>
  <c r="Z19" i="44"/>
  <c r="AA19" i="44"/>
  <c r="AB19" i="44"/>
  <c r="AC19" i="44"/>
  <c r="AD19" i="44"/>
  <c r="AE19" i="44"/>
  <c r="AF19" i="44"/>
  <c r="AG19" i="44"/>
  <c r="D20" i="44"/>
  <c r="O20" i="44"/>
  <c r="P20" i="44"/>
  <c r="Q20" i="44"/>
  <c r="U20" i="44"/>
  <c r="V20" i="44"/>
  <c r="W20" i="44"/>
  <c r="X20" i="44"/>
  <c r="Y20" i="44"/>
  <c r="Z20" i="44"/>
  <c r="AA20" i="44"/>
  <c r="AB20" i="44"/>
  <c r="AC20" i="44"/>
  <c r="AD20" i="44"/>
  <c r="AE20" i="44"/>
  <c r="AF20" i="44"/>
  <c r="AG20" i="44"/>
  <c r="D21" i="44"/>
  <c r="O21" i="44"/>
  <c r="P21" i="44"/>
  <c r="Q21" i="44"/>
  <c r="U21" i="44"/>
  <c r="V21" i="44"/>
  <c r="W21" i="44"/>
  <c r="X21" i="44"/>
  <c r="Y21" i="44"/>
  <c r="Z21" i="44"/>
  <c r="AA21" i="44"/>
  <c r="AB21" i="44"/>
  <c r="AC21" i="44"/>
  <c r="AD21" i="44"/>
  <c r="AE21" i="44"/>
  <c r="AF21" i="44"/>
  <c r="AG21" i="44"/>
  <c r="D22" i="44"/>
  <c r="O22" i="44"/>
  <c r="P22" i="44"/>
  <c r="Q22" i="44"/>
  <c r="U22" i="44"/>
  <c r="V22" i="44"/>
  <c r="W22" i="44"/>
  <c r="X22" i="44"/>
  <c r="Y22" i="44"/>
  <c r="Z22" i="44"/>
  <c r="AA22" i="44"/>
  <c r="AB22" i="44"/>
  <c r="AC22" i="44"/>
  <c r="AD22" i="44"/>
  <c r="AE22" i="44"/>
  <c r="AF22" i="44"/>
  <c r="AG22" i="44"/>
  <c r="D23" i="44"/>
  <c r="O23" i="44"/>
  <c r="P23" i="44"/>
  <c r="Q23" i="44"/>
  <c r="U23" i="44"/>
  <c r="V23" i="44"/>
  <c r="W23" i="44"/>
  <c r="X23" i="44"/>
  <c r="Y23" i="44"/>
  <c r="Z23" i="44"/>
  <c r="AA23" i="44"/>
  <c r="AB23" i="44"/>
  <c r="AC23" i="44"/>
  <c r="AD23" i="44"/>
  <c r="AE23" i="44"/>
  <c r="AF23" i="44"/>
  <c r="AG23" i="44"/>
  <c r="D24" i="44"/>
  <c r="O24" i="44"/>
  <c r="P24" i="44"/>
  <c r="Q24" i="44"/>
  <c r="U24" i="44"/>
  <c r="V24" i="44"/>
  <c r="W24" i="44"/>
  <c r="X24" i="44"/>
  <c r="Y24" i="44"/>
  <c r="Z24" i="44"/>
  <c r="AA24" i="44"/>
  <c r="AB24" i="44"/>
  <c r="AC24" i="44"/>
  <c r="AD24" i="44"/>
  <c r="AE24" i="44"/>
  <c r="AF24" i="44"/>
  <c r="AG24" i="44"/>
  <c r="D25" i="44"/>
  <c r="O25" i="44"/>
  <c r="P25" i="44"/>
  <c r="Q25" i="44"/>
  <c r="U25" i="44"/>
  <c r="V25" i="44"/>
  <c r="W25" i="44"/>
  <c r="X25" i="44"/>
  <c r="Y25" i="44"/>
  <c r="Z25" i="44"/>
  <c r="AA25" i="44"/>
  <c r="AB25" i="44"/>
  <c r="AC25" i="44"/>
  <c r="AD25" i="44"/>
  <c r="AE25" i="44"/>
  <c r="AF25" i="44"/>
  <c r="AG25" i="44"/>
  <c r="D26" i="44"/>
  <c r="O26" i="44"/>
  <c r="P26" i="44"/>
  <c r="Q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D27" i="44"/>
  <c r="O27" i="44"/>
  <c r="P27" i="44"/>
  <c r="Q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D28" i="44"/>
  <c r="O28" i="44"/>
  <c r="P28" i="44"/>
  <c r="Q28" i="44"/>
  <c r="U28" i="44"/>
  <c r="V28" i="44"/>
  <c r="W28" i="44"/>
  <c r="X28" i="44"/>
  <c r="Y28" i="44"/>
  <c r="Z28" i="44"/>
  <c r="AA28" i="44"/>
  <c r="AB28" i="44"/>
  <c r="AC28" i="44"/>
  <c r="AD28" i="44"/>
  <c r="AE28" i="44"/>
  <c r="AF28" i="44"/>
  <c r="AG28" i="44"/>
  <c r="D29" i="44"/>
  <c r="O29" i="44"/>
  <c r="P29" i="44"/>
  <c r="Q29" i="44"/>
  <c r="U29" i="44"/>
  <c r="V29" i="44"/>
  <c r="W29" i="44"/>
  <c r="X29" i="44"/>
  <c r="Y29" i="44"/>
  <c r="Z29" i="44"/>
  <c r="AA29" i="44"/>
  <c r="AB29" i="44"/>
  <c r="AC29" i="44"/>
  <c r="AD29" i="44"/>
  <c r="AE29" i="44"/>
  <c r="AF29" i="44"/>
  <c r="AG29" i="44"/>
  <c r="D30" i="44"/>
  <c r="O30" i="44"/>
  <c r="P30" i="44"/>
  <c r="Q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D31" i="44"/>
  <c r="O31" i="44"/>
  <c r="P31" i="44"/>
  <c r="Q31" i="44"/>
  <c r="U31" i="44"/>
  <c r="V31" i="44"/>
  <c r="W31" i="44"/>
  <c r="X31" i="44"/>
  <c r="Y31" i="44"/>
  <c r="Z31" i="44"/>
  <c r="AA31" i="44"/>
  <c r="AB31" i="44"/>
  <c r="AC31" i="44"/>
  <c r="AD31" i="44"/>
  <c r="AE31" i="44"/>
  <c r="AF31" i="44"/>
  <c r="AG31" i="44"/>
  <c r="D32" i="44"/>
  <c r="O32" i="44"/>
  <c r="P32" i="44"/>
  <c r="Q32" i="44"/>
  <c r="U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D33" i="44"/>
  <c r="O33" i="44"/>
  <c r="P33" i="44"/>
  <c r="Q33" i="44"/>
  <c r="U33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D34" i="44"/>
  <c r="O34" i="44"/>
  <c r="P34" i="44"/>
  <c r="Q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D35" i="44"/>
  <c r="O35" i="44"/>
  <c r="P35" i="44"/>
  <c r="Q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D36" i="44"/>
  <c r="O36" i="44"/>
  <c r="P36" i="44"/>
  <c r="Q36" i="44"/>
  <c r="U36" i="44"/>
  <c r="V36" i="44"/>
  <c r="W36" i="44"/>
  <c r="X36" i="44"/>
  <c r="Y36" i="44"/>
  <c r="Z36" i="44"/>
  <c r="AA36" i="44"/>
  <c r="AB36" i="44"/>
  <c r="AC36" i="44"/>
  <c r="AD36" i="44"/>
  <c r="AE36" i="44"/>
  <c r="AF36" i="44"/>
  <c r="AG36" i="44"/>
  <c r="D37" i="44"/>
  <c r="O37" i="44"/>
  <c r="P37" i="44"/>
  <c r="Q37" i="44"/>
  <c r="U37" i="44"/>
  <c r="V37" i="44"/>
  <c r="W37" i="44"/>
  <c r="X37" i="44"/>
  <c r="Y37" i="44"/>
  <c r="Z37" i="44"/>
  <c r="AA37" i="44"/>
  <c r="AB37" i="44"/>
  <c r="AC37" i="44"/>
  <c r="AD37" i="44"/>
  <c r="AE37" i="44"/>
  <c r="AF37" i="44"/>
  <c r="AG37" i="44"/>
  <c r="D38" i="44"/>
  <c r="O38" i="44"/>
  <c r="P38" i="44"/>
  <c r="Q38" i="44"/>
  <c r="U38" i="44"/>
  <c r="V38" i="44"/>
  <c r="W38" i="44"/>
  <c r="X38" i="44"/>
  <c r="Y38" i="44"/>
  <c r="Z38" i="44"/>
  <c r="AA38" i="44"/>
  <c r="AB38" i="44"/>
  <c r="AC38" i="44"/>
  <c r="AD38" i="44"/>
  <c r="AE38" i="44"/>
  <c r="AF38" i="44"/>
  <c r="AG38" i="44"/>
  <c r="D39" i="44"/>
  <c r="O39" i="44"/>
  <c r="P39" i="44"/>
  <c r="Q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D40" i="44"/>
  <c r="O40" i="44"/>
  <c r="P40" i="44"/>
  <c r="Q40" i="44"/>
  <c r="U40" i="44"/>
  <c r="V40" i="44"/>
  <c r="W40" i="44"/>
  <c r="X40" i="44"/>
  <c r="Y40" i="44"/>
  <c r="Z40" i="44"/>
  <c r="AA40" i="44"/>
  <c r="AB40" i="44"/>
  <c r="AC40" i="44"/>
  <c r="AD40" i="44"/>
  <c r="AE40" i="44"/>
  <c r="AF40" i="44"/>
  <c r="AG40" i="44"/>
  <c r="D41" i="44"/>
  <c r="O41" i="44"/>
  <c r="P41" i="44"/>
  <c r="Q41" i="44"/>
  <c r="U41" i="44"/>
  <c r="V41" i="44"/>
  <c r="W41" i="44"/>
  <c r="X41" i="44"/>
  <c r="Y41" i="44"/>
  <c r="Z41" i="44"/>
  <c r="AA41" i="44"/>
  <c r="AB41" i="44"/>
  <c r="AC41" i="44"/>
  <c r="AD41" i="44"/>
  <c r="AE41" i="44"/>
  <c r="AF41" i="44"/>
  <c r="AG41" i="44"/>
  <c r="D42" i="44"/>
  <c r="O42" i="44"/>
  <c r="P42" i="44"/>
  <c r="Q42" i="44"/>
  <c r="U42" i="44"/>
  <c r="V42" i="44"/>
  <c r="W42" i="44"/>
  <c r="X42" i="44"/>
  <c r="Y42" i="44"/>
  <c r="Z42" i="44"/>
  <c r="AA42" i="44"/>
  <c r="AB42" i="44"/>
  <c r="AC42" i="44"/>
  <c r="AD42" i="44"/>
  <c r="AE42" i="44"/>
  <c r="AF42" i="44"/>
  <c r="AG42" i="44"/>
  <c r="D43" i="44"/>
  <c r="O43" i="44"/>
  <c r="P43" i="44"/>
  <c r="Q43" i="44"/>
  <c r="U43" i="44"/>
  <c r="V43" i="44"/>
  <c r="W43" i="44"/>
  <c r="X43" i="44"/>
  <c r="Y43" i="44"/>
  <c r="Z43" i="44"/>
  <c r="AA43" i="44"/>
  <c r="AB43" i="44"/>
  <c r="AC43" i="44"/>
  <c r="AD43" i="44"/>
  <c r="AE43" i="44"/>
  <c r="AF43" i="44"/>
  <c r="AG43" i="44"/>
  <c r="D44" i="44"/>
  <c r="O44" i="44"/>
  <c r="P44" i="44"/>
  <c r="Q44" i="44"/>
  <c r="U44" i="44"/>
  <c r="V44" i="44"/>
  <c r="W44" i="44"/>
  <c r="X44" i="44"/>
  <c r="Y44" i="44"/>
  <c r="Z44" i="44"/>
  <c r="AA44" i="44"/>
  <c r="AB44" i="44"/>
  <c r="AC44" i="44"/>
  <c r="AD44" i="44"/>
  <c r="AE44" i="44"/>
  <c r="AF44" i="44"/>
  <c r="AG44" i="44"/>
  <c r="D45" i="44"/>
  <c r="O45" i="44"/>
  <c r="P45" i="44"/>
  <c r="Q45" i="44"/>
  <c r="U45" i="44"/>
  <c r="V45" i="44"/>
  <c r="W45" i="44"/>
  <c r="X45" i="44"/>
  <c r="Y45" i="44"/>
  <c r="Z45" i="44"/>
  <c r="AA45" i="44"/>
  <c r="AB45" i="44"/>
  <c r="AC45" i="44"/>
  <c r="AD45" i="44"/>
  <c r="AE45" i="44"/>
  <c r="AF45" i="44"/>
  <c r="AG45" i="44"/>
  <c r="D46" i="44"/>
  <c r="O46" i="44"/>
  <c r="P46" i="44"/>
  <c r="Q46" i="44"/>
  <c r="U46" i="44"/>
  <c r="V46" i="44"/>
  <c r="W46" i="44"/>
  <c r="X46" i="44"/>
  <c r="Y46" i="44"/>
  <c r="Z46" i="44"/>
  <c r="AA46" i="44"/>
  <c r="AB46" i="44"/>
  <c r="AC46" i="44"/>
  <c r="AD46" i="44"/>
  <c r="AE46" i="44"/>
  <c r="AF46" i="44"/>
  <c r="AG46" i="44"/>
  <c r="D47" i="44"/>
  <c r="O47" i="44"/>
  <c r="P47" i="44"/>
  <c r="Q47" i="44"/>
  <c r="U47" i="44"/>
  <c r="V47" i="44"/>
  <c r="W47" i="44"/>
  <c r="X47" i="44"/>
  <c r="Y47" i="44"/>
  <c r="Z47" i="44"/>
  <c r="AA47" i="44"/>
  <c r="AB47" i="44"/>
  <c r="AC47" i="44"/>
  <c r="AD47" i="44"/>
  <c r="AE47" i="44"/>
  <c r="AF47" i="44"/>
  <c r="AG47" i="44"/>
  <c r="D48" i="44"/>
  <c r="O48" i="44"/>
  <c r="P48" i="44"/>
  <c r="Q48" i="44"/>
  <c r="U48" i="44"/>
  <c r="V48" i="44"/>
  <c r="W48" i="44"/>
  <c r="X48" i="44"/>
  <c r="Y48" i="44"/>
  <c r="Z48" i="44"/>
  <c r="AA48" i="44"/>
  <c r="AB48" i="44"/>
  <c r="AC48" i="44"/>
  <c r="AD48" i="44"/>
  <c r="AE48" i="44"/>
  <c r="AF48" i="44"/>
  <c r="AG48" i="44"/>
  <c r="D49" i="44"/>
  <c r="O49" i="44"/>
  <c r="P49" i="44"/>
  <c r="Q49" i="44"/>
  <c r="U49" i="44"/>
  <c r="V49" i="44"/>
  <c r="W49" i="44"/>
  <c r="X49" i="44"/>
  <c r="Y49" i="44"/>
  <c r="Z49" i="44"/>
  <c r="AA49" i="44"/>
  <c r="AB49" i="44"/>
  <c r="AC49" i="44"/>
  <c r="AD49" i="44"/>
  <c r="AE49" i="44"/>
  <c r="AF49" i="44"/>
  <c r="AG49" i="44"/>
  <c r="D50" i="44"/>
  <c r="O50" i="44"/>
  <c r="P50" i="44"/>
  <c r="Q50" i="44"/>
  <c r="U50" i="44"/>
  <c r="V50" i="44"/>
  <c r="W50" i="44"/>
  <c r="X50" i="44"/>
  <c r="Y50" i="44"/>
  <c r="Z50" i="44"/>
  <c r="AA50" i="44"/>
  <c r="AB50" i="44"/>
  <c r="AC50" i="44"/>
  <c r="AD50" i="44"/>
  <c r="AE50" i="44"/>
  <c r="AF50" i="44"/>
  <c r="AG50" i="44"/>
  <c r="D51" i="44"/>
  <c r="O51" i="44"/>
  <c r="P51" i="44"/>
  <c r="Q51" i="44"/>
  <c r="U51" i="44"/>
  <c r="V51" i="44"/>
  <c r="W51" i="44"/>
  <c r="X51" i="44"/>
  <c r="Y51" i="44"/>
  <c r="Z51" i="44"/>
  <c r="AA51" i="44"/>
  <c r="AB51" i="44"/>
  <c r="AC51" i="44"/>
  <c r="AD51" i="44"/>
  <c r="AE51" i="44"/>
  <c r="AF51" i="44"/>
  <c r="AG51" i="44"/>
  <c r="D52" i="44"/>
  <c r="O52" i="44"/>
  <c r="P52" i="44"/>
  <c r="Q52" i="44"/>
  <c r="U52" i="44"/>
  <c r="V52" i="44"/>
  <c r="W52" i="44"/>
  <c r="X52" i="44"/>
  <c r="Y52" i="44"/>
  <c r="Z52" i="44"/>
  <c r="AA52" i="44"/>
  <c r="AB52" i="44"/>
  <c r="AC52" i="44"/>
  <c r="AD52" i="44"/>
  <c r="AE52" i="44"/>
  <c r="AF52" i="44"/>
  <c r="AG52" i="44"/>
  <c r="D53" i="44"/>
  <c r="O53" i="44"/>
  <c r="P53" i="44"/>
  <c r="Q53" i="44"/>
  <c r="U53" i="44"/>
  <c r="V53" i="44"/>
  <c r="W53" i="44"/>
  <c r="X53" i="44"/>
  <c r="Y53" i="44"/>
  <c r="Z53" i="44"/>
  <c r="AA53" i="44"/>
  <c r="AB53" i="44"/>
  <c r="AC53" i="44"/>
  <c r="AD53" i="44"/>
  <c r="AE53" i="44"/>
  <c r="AF53" i="44"/>
  <c r="AG53" i="44"/>
  <c r="D54" i="44"/>
  <c r="O54" i="44"/>
  <c r="P54" i="44"/>
  <c r="Q54" i="44"/>
  <c r="U54" i="44"/>
  <c r="V54" i="44"/>
  <c r="W54" i="44"/>
  <c r="X54" i="44"/>
  <c r="Y54" i="44"/>
  <c r="Z54" i="44"/>
  <c r="AA54" i="44"/>
  <c r="AB54" i="44"/>
  <c r="AC54" i="44"/>
  <c r="AD54" i="44"/>
  <c r="AE54" i="44"/>
  <c r="AF54" i="44"/>
  <c r="AG54" i="44"/>
  <c r="D55" i="44"/>
  <c r="O55" i="44"/>
  <c r="P55" i="44"/>
  <c r="Q55" i="44"/>
  <c r="U55" i="44"/>
  <c r="V55" i="44"/>
  <c r="W55" i="44"/>
  <c r="X55" i="44"/>
  <c r="Y55" i="44"/>
  <c r="Z55" i="44"/>
  <c r="AA55" i="44"/>
  <c r="AB55" i="44"/>
  <c r="AC55" i="44"/>
  <c r="AD55" i="44"/>
  <c r="AE55" i="44"/>
  <c r="AF55" i="44"/>
  <c r="AG55" i="44"/>
  <c r="D56" i="44"/>
  <c r="O56" i="44"/>
  <c r="P56" i="44"/>
  <c r="Q56" i="44"/>
  <c r="U56" i="44"/>
  <c r="V56" i="44"/>
  <c r="W56" i="44"/>
  <c r="X56" i="44"/>
  <c r="Y56" i="44"/>
  <c r="Z56" i="44"/>
  <c r="AA56" i="44"/>
  <c r="AB56" i="44"/>
  <c r="AC56" i="44"/>
  <c r="AD56" i="44"/>
  <c r="AE56" i="44"/>
  <c r="AF56" i="44"/>
  <c r="AG56" i="44"/>
  <c r="D57" i="44"/>
  <c r="O57" i="44"/>
  <c r="P57" i="44"/>
  <c r="Q57" i="44"/>
  <c r="U57" i="44"/>
  <c r="V57" i="44"/>
  <c r="W57" i="44"/>
  <c r="X57" i="44"/>
  <c r="Y57" i="44"/>
  <c r="Z57" i="44"/>
  <c r="AA57" i="44"/>
  <c r="AB57" i="44"/>
  <c r="AC57" i="44"/>
  <c r="AD57" i="44"/>
  <c r="AE57" i="44"/>
  <c r="AF57" i="44"/>
  <c r="AG57" i="44"/>
  <c r="D58" i="44"/>
  <c r="O58" i="44"/>
  <c r="P58" i="44"/>
  <c r="Q58" i="44"/>
  <c r="U58" i="44"/>
  <c r="V58" i="44"/>
  <c r="W58" i="44"/>
  <c r="X58" i="44"/>
  <c r="Y58" i="44"/>
  <c r="Z58" i="44"/>
  <c r="AA58" i="44"/>
  <c r="AB58" i="44"/>
  <c r="AC58" i="44"/>
  <c r="AD58" i="44"/>
  <c r="AE58" i="44"/>
  <c r="AF58" i="44"/>
  <c r="AG58" i="44"/>
  <c r="D59" i="44"/>
  <c r="O59" i="44"/>
  <c r="P59" i="44"/>
  <c r="Q59" i="44"/>
  <c r="U59" i="44"/>
  <c r="V59" i="44"/>
  <c r="W59" i="44"/>
  <c r="X59" i="44"/>
  <c r="Y59" i="44"/>
  <c r="Z59" i="44"/>
  <c r="AA59" i="44"/>
  <c r="AB59" i="44"/>
  <c r="AC59" i="44"/>
  <c r="AD59" i="44"/>
  <c r="AE59" i="44"/>
  <c r="AF59" i="44"/>
  <c r="AG59" i="44"/>
  <c r="D60" i="44"/>
  <c r="O60" i="44"/>
  <c r="P60" i="44"/>
  <c r="Q60" i="44"/>
  <c r="U60" i="44"/>
  <c r="V60" i="44"/>
  <c r="W60" i="44"/>
  <c r="X60" i="44"/>
  <c r="Y60" i="44"/>
  <c r="Z60" i="44"/>
  <c r="AA60" i="44"/>
  <c r="AB60" i="44"/>
  <c r="AC60" i="44"/>
  <c r="AD60" i="44"/>
  <c r="AE60" i="44"/>
  <c r="AF60" i="44"/>
  <c r="AG60" i="44"/>
  <c r="D61" i="44"/>
  <c r="O61" i="44"/>
  <c r="P61" i="44"/>
  <c r="Q61" i="44"/>
  <c r="U61" i="44"/>
  <c r="V61" i="44"/>
  <c r="W61" i="44"/>
  <c r="X61" i="44"/>
  <c r="Y61" i="44"/>
  <c r="Z61" i="44"/>
  <c r="AA61" i="44"/>
  <c r="AB61" i="44"/>
  <c r="AC61" i="44"/>
  <c r="AD61" i="44"/>
  <c r="AE61" i="44"/>
  <c r="AF61" i="44"/>
  <c r="AG61" i="44"/>
  <c r="D62" i="44"/>
  <c r="O62" i="44"/>
  <c r="P62" i="44"/>
  <c r="Q62" i="44"/>
  <c r="U62" i="44"/>
  <c r="V62" i="44"/>
  <c r="W62" i="44"/>
  <c r="X62" i="44"/>
  <c r="Y62" i="44"/>
  <c r="Z62" i="44"/>
  <c r="AA62" i="44"/>
  <c r="AB62" i="44"/>
  <c r="AC62" i="44"/>
  <c r="AD62" i="44"/>
  <c r="AE62" i="44"/>
  <c r="AF62" i="44"/>
  <c r="AG62" i="44"/>
  <c r="M36" i="56"/>
  <c r="I36" i="56"/>
  <c r="N36" i="56"/>
  <c r="S36" i="56"/>
  <c r="M35" i="56"/>
  <c r="I35" i="56"/>
  <c r="N35" i="56"/>
  <c r="S35" i="56"/>
  <c r="M34" i="56"/>
  <c r="I34" i="56"/>
  <c r="N34" i="56"/>
  <c r="S34" i="56"/>
  <c r="M33" i="56"/>
  <c r="I33" i="56"/>
  <c r="N33" i="56"/>
  <c r="S33" i="56"/>
  <c r="M32" i="56"/>
  <c r="I32" i="56"/>
  <c r="N32" i="56"/>
  <c r="S32" i="56"/>
  <c r="M31" i="56"/>
  <c r="I31" i="56"/>
  <c r="N31" i="56"/>
  <c r="S31" i="56"/>
  <c r="M30" i="56"/>
  <c r="I30" i="56"/>
  <c r="N30" i="56"/>
  <c r="S30" i="56"/>
  <c r="M29" i="56"/>
  <c r="I29" i="56"/>
  <c r="N29" i="56"/>
  <c r="S29" i="56"/>
  <c r="M28" i="56"/>
  <c r="I28" i="56"/>
  <c r="N28" i="56"/>
  <c r="S28" i="56"/>
  <c r="M27" i="56"/>
  <c r="I27" i="56"/>
  <c r="N27" i="56"/>
  <c r="S27" i="56"/>
  <c r="M26" i="56"/>
  <c r="I26" i="56"/>
  <c r="N26" i="56"/>
  <c r="S26" i="56"/>
  <c r="M25" i="56"/>
  <c r="I25" i="56"/>
  <c r="N25" i="56"/>
  <c r="S25" i="56"/>
  <c r="M24" i="56"/>
  <c r="I24" i="56"/>
  <c r="N24" i="56"/>
  <c r="S24" i="56"/>
  <c r="M23" i="56"/>
  <c r="I23" i="56"/>
  <c r="N23" i="56"/>
  <c r="S23" i="56"/>
  <c r="M22" i="56"/>
  <c r="I22" i="56"/>
  <c r="N22" i="56"/>
  <c r="S22" i="56"/>
  <c r="M21" i="56"/>
  <c r="I21" i="56"/>
  <c r="N21" i="56"/>
  <c r="S21" i="56"/>
  <c r="M20" i="56"/>
  <c r="I20" i="56"/>
  <c r="N20" i="56"/>
  <c r="S20" i="56"/>
  <c r="M19" i="56"/>
  <c r="I19" i="56"/>
  <c r="N19" i="56"/>
  <c r="S19" i="56"/>
  <c r="M18" i="56"/>
  <c r="I18" i="56"/>
  <c r="N18" i="56"/>
  <c r="S18" i="56"/>
  <c r="M17" i="56"/>
  <c r="I17" i="56"/>
  <c r="N17" i="56"/>
  <c r="S17" i="56"/>
  <c r="R36" i="56"/>
  <c r="R35" i="56"/>
  <c r="R34" i="56"/>
  <c r="R33" i="56"/>
  <c r="R32" i="56"/>
  <c r="R31" i="56"/>
  <c r="R30" i="56"/>
  <c r="R29" i="56"/>
  <c r="R28" i="56"/>
  <c r="R27" i="56"/>
  <c r="R26" i="56"/>
  <c r="R25" i="56"/>
  <c r="R24" i="56"/>
  <c r="R23" i="56"/>
  <c r="R22" i="56"/>
  <c r="R21" i="56"/>
  <c r="R20" i="56"/>
  <c r="R19" i="56"/>
  <c r="R18" i="56"/>
  <c r="R17" i="56"/>
  <c r="T36" i="56"/>
  <c r="T35" i="56"/>
  <c r="T34" i="56"/>
  <c r="T33" i="56"/>
  <c r="T32" i="56"/>
  <c r="T31" i="56"/>
  <c r="T30" i="56"/>
  <c r="T29" i="56"/>
  <c r="T28" i="56"/>
  <c r="T27" i="56"/>
  <c r="T26" i="56"/>
  <c r="T25" i="56"/>
  <c r="T24" i="56"/>
  <c r="T23" i="56"/>
  <c r="T22" i="56"/>
  <c r="T21" i="56"/>
  <c r="T20" i="56"/>
  <c r="T19" i="56"/>
  <c r="T18" i="56"/>
  <c r="T17" i="56"/>
  <c r="D17" i="56"/>
  <c r="O17" i="56"/>
  <c r="P17" i="56"/>
  <c r="Q17" i="56"/>
  <c r="U17" i="56"/>
  <c r="V17" i="56"/>
  <c r="W17" i="56"/>
  <c r="X17" i="56"/>
  <c r="Y17" i="56"/>
  <c r="Z17" i="56"/>
  <c r="AA17" i="56"/>
  <c r="AB17" i="56"/>
  <c r="AC17" i="56"/>
  <c r="AD17" i="56"/>
  <c r="AE17" i="56"/>
  <c r="AF17" i="56"/>
  <c r="AG17" i="56"/>
  <c r="D18" i="56"/>
  <c r="O18" i="56"/>
  <c r="P18" i="56"/>
  <c r="Q18" i="56"/>
  <c r="U18" i="56"/>
  <c r="V18" i="56"/>
  <c r="W18" i="56"/>
  <c r="X18" i="56"/>
  <c r="Y18" i="56"/>
  <c r="Z18" i="56"/>
  <c r="AA18" i="56"/>
  <c r="AB18" i="56"/>
  <c r="AC18" i="56"/>
  <c r="AD18" i="56"/>
  <c r="AE18" i="56"/>
  <c r="AF18" i="56"/>
  <c r="AG18" i="56"/>
  <c r="D19" i="56"/>
  <c r="O19" i="56"/>
  <c r="P19" i="56"/>
  <c r="Q19" i="56"/>
  <c r="U19" i="56"/>
  <c r="V19" i="56"/>
  <c r="W19" i="56"/>
  <c r="X19" i="56"/>
  <c r="Y19" i="56"/>
  <c r="Z19" i="56"/>
  <c r="AA19" i="56"/>
  <c r="AB19" i="56"/>
  <c r="AC19" i="56"/>
  <c r="AD19" i="56"/>
  <c r="AE19" i="56"/>
  <c r="AF19" i="56"/>
  <c r="AG19" i="56"/>
  <c r="D20" i="56"/>
  <c r="O20" i="56"/>
  <c r="P20" i="56"/>
  <c r="Q20" i="56"/>
  <c r="U20" i="56"/>
  <c r="V20" i="56"/>
  <c r="W20" i="56"/>
  <c r="X20" i="56"/>
  <c r="Y20" i="56"/>
  <c r="Z20" i="56"/>
  <c r="AA20" i="56"/>
  <c r="AB20" i="56"/>
  <c r="AC20" i="56"/>
  <c r="AD20" i="56"/>
  <c r="AE20" i="56"/>
  <c r="AF20" i="56"/>
  <c r="AG20" i="56"/>
  <c r="D21" i="56"/>
  <c r="O21" i="56"/>
  <c r="P21" i="56"/>
  <c r="Q21" i="56"/>
  <c r="U21" i="56"/>
  <c r="V21" i="56"/>
  <c r="W21" i="56"/>
  <c r="X21" i="56"/>
  <c r="Y21" i="56"/>
  <c r="Z21" i="56"/>
  <c r="AA21" i="56"/>
  <c r="AB21" i="56"/>
  <c r="AC21" i="56"/>
  <c r="AD21" i="56"/>
  <c r="AE21" i="56"/>
  <c r="AF21" i="56"/>
  <c r="AG21" i="56"/>
  <c r="D22" i="56"/>
  <c r="O22" i="56"/>
  <c r="P22" i="56"/>
  <c r="Q22" i="56"/>
  <c r="U22" i="56"/>
  <c r="V22" i="56"/>
  <c r="W22" i="56"/>
  <c r="X22" i="56"/>
  <c r="Y22" i="56"/>
  <c r="Z22" i="56"/>
  <c r="AA22" i="56"/>
  <c r="AB22" i="56"/>
  <c r="AC22" i="56"/>
  <c r="AD22" i="56"/>
  <c r="AE22" i="56"/>
  <c r="AF22" i="56"/>
  <c r="AG22" i="56"/>
  <c r="D23" i="56"/>
  <c r="O23" i="56"/>
  <c r="P23" i="56"/>
  <c r="Q23" i="56"/>
  <c r="U23" i="56"/>
  <c r="V23" i="56"/>
  <c r="W23" i="56"/>
  <c r="X23" i="56"/>
  <c r="Y23" i="56"/>
  <c r="Z23" i="56"/>
  <c r="AA23" i="56"/>
  <c r="AB23" i="56"/>
  <c r="AC23" i="56"/>
  <c r="AD23" i="56"/>
  <c r="AE23" i="56"/>
  <c r="AF23" i="56"/>
  <c r="AG23" i="56"/>
  <c r="D24" i="56"/>
  <c r="O24" i="56"/>
  <c r="P24" i="56"/>
  <c r="Q24" i="56"/>
  <c r="U24" i="56"/>
  <c r="V24" i="56"/>
  <c r="W24" i="56"/>
  <c r="X24" i="56"/>
  <c r="Y24" i="56"/>
  <c r="Z24" i="56"/>
  <c r="AA24" i="56"/>
  <c r="AB24" i="56"/>
  <c r="AC24" i="56"/>
  <c r="AD24" i="56"/>
  <c r="AE24" i="56"/>
  <c r="AF24" i="56"/>
  <c r="AG24" i="56"/>
  <c r="D25" i="56"/>
  <c r="O25" i="56"/>
  <c r="P25" i="56"/>
  <c r="Q25" i="56"/>
  <c r="U25" i="56"/>
  <c r="V25" i="56"/>
  <c r="W25" i="56"/>
  <c r="X25" i="56"/>
  <c r="Y25" i="56"/>
  <c r="Z25" i="56"/>
  <c r="AA25" i="56"/>
  <c r="AB25" i="56"/>
  <c r="AC25" i="56"/>
  <c r="AD25" i="56"/>
  <c r="AE25" i="56"/>
  <c r="AF25" i="56"/>
  <c r="AG25" i="56"/>
  <c r="D26" i="56"/>
  <c r="O26" i="56"/>
  <c r="P26" i="56"/>
  <c r="Q26" i="56"/>
  <c r="U26" i="56"/>
  <c r="V26" i="56"/>
  <c r="W26" i="56"/>
  <c r="X26" i="56"/>
  <c r="Y26" i="56"/>
  <c r="Z26" i="56"/>
  <c r="AA26" i="56"/>
  <c r="AB26" i="56"/>
  <c r="AC26" i="56"/>
  <c r="AD26" i="56"/>
  <c r="AE26" i="56"/>
  <c r="AF26" i="56"/>
  <c r="AG26" i="56"/>
  <c r="D27" i="56"/>
  <c r="O27" i="56"/>
  <c r="P27" i="56"/>
  <c r="Q27" i="56"/>
  <c r="U27" i="56"/>
  <c r="V27" i="56"/>
  <c r="W27" i="56"/>
  <c r="X27" i="56"/>
  <c r="Y27" i="56"/>
  <c r="Z27" i="56"/>
  <c r="AA27" i="56"/>
  <c r="AB27" i="56"/>
  <c r="AC27" i="56"/>
  <c r="AD27" i="56"/>
  <c r="AE27" i="56"/>
  <c r="AF27" i="56"/>
  <c r="AG27" i="56"/>
  <c r="D28" i="56"/>
  <c r="O28" i="56"/>
  <c r="P28" i="56"/>
  <c r="Q28" i="56"/>
  <c r="U28" i="56"/>
  <c r="V28" i="56"/>
  <c r="W28" i="56"/>
  <c r="X28" i="56"/>
  <c r="Y28" i="56"/>
  <c r="Z28" i="56"/>
  <c r="AA28" i="56"/>
  <c r="AB28" i="56"/>
  <c r="AC28" i="56"/>
  <c r="AD28" i="56"/>
  <c r="AE28" i="56"/>
  <c r="AF28" i="56"/>
  <c r="AG28" i="56"/>
  <c r="D29" i="56"/>
  <c r="O29" i="56"/>
  <c r="P29" i="56"/>
  <c r="Q29" i="56"/>
  <c r="U29" i="56"/>
  <c r="V29" i="56"/>
  <c r="W29" i="56"/>
  <c r="X29" i="56"/>
  <c r="Y29" i="56"/>
  <c r="Z29" i="56"/>
  <c r="AA29" i="56"/>
  <c r="AB29" i="56"/>
  <c r="AC29" i="56"/>
  <c r="AD29" i="56"/>
  <c r="AE29" i="56"/>
  <c r="AF29" i="56"/>
  <c r="AG29" i="56"/>
  <c r="D30" i="56"/>
  <c r="O30" i="56"/>
  <c r="P30" i="56"/>
  <c r="Q30" i="56"/>
  <c r="U30" i="56"/>
  <c r="V30" i="56"/>
  <c r="W30" i="56"/>
  <c r="X30" i="56"/>
  <c r="Y30" i="56"/>
  <c r="Z30" i="56"/>
  <c r="AA30" i="56"/>
  <c r="AB30" i="56"/>
  <c r="AC30" i="56"/>
  <c r="AD30" i="56"/>
  <c r="AE30" i="56"/>
  <c r="AF30" i="56"/>
  <c r="AG30" i="56"/>
  <c r="D31" i="56"/>
  <c r="O31" i="56"/>
  <c r="P31" i="56"/>
  <c r="Q31" i="56"/>
  <c r="U31" i="56"/>
  <c r="V31" i="56"/>
  <c r="W31" i="56"/>
  <c r="X31" i="56"/>
  <c r="Y31" i="56"/>
  <c r="Z31" i="56"/>
  <c r="AA31" i="56"/>
  <c r="AB31" i="56"/>
  <c r="AC31" i="56"/>
  <c r="AD31" i="56"/>
  <c r="AE31" i="56"/>
  <c r="AF31" i="56"/>
  <c r="AG31" i="56"/>
  <c r="D32" i="56"/>
  <c r="O32" i="56"/>
  <c r="P32" i="56"/>
  <c r="Q32" i="56"/>
  <c r="U32" i="56"/>
  <c r="V32" i="56"/>
  <c r="W32" i="56"/>
  <c r="X32" i="56"/>
  <c r="Y32" i="56"/>
  <c r="Z32" i="56"/>
  <c r="AA32" i="56"/>
  <c r="AB32" i="56"/>
  <c r="AC32" i="56"/>
  <c r="AD32" i="56"/>
  <c r="AE32" i="56"/>
  <c r="AF32" i="56"/>
  <c r="AG32" i="56"/>
  <c r="D33" i="56"/>
  <c r="O33" i="56"/>
  <c r="P33" i="56"/>
  <c r="Q33" i="56"/>
  <c r="U33" i="56"/>
  <c r="V33" i="56"/>
  <c r="W33" i="56"/>
  <c r="X33" i="56"/>
  <c r="Y33" i="56"/>
  <c r="Z33" i="56"/>
  <c r="AA33" i="56"/>
  <c r="AB33" i="56"/>
  <c r="AC33" i="56"/>
  <c r="AD33" i="56"/>
  <c r="AE33" i="56"/>
  <c r="AF33" i="56"/>
  <c r="AG33" i="56"/>
  <c r="D34" i="56"/>
  <c r="O34" i="56"/>
  <c r="P34" i="56"/>
  <c r="Q34" i="56"/>
  <c r="U34" i="56"/>
  <c r="V34" i="56"/>
  <c r="W34" i="56"/>
  <c r="X34" i="56"/>
  <c r="Y34" i="56"/>
  <c r="Z34" i="56"/>
  <c r="AA34" i="56"/>
  <c r="AB34" i="56"/>
  <c r="AC34" i="56"/>
  <c r="AD34" i="56"/>
  <c r="AE34" i="56"/>
  <c r="AF34" i="56"/>
  <c r="AG34" i="56"/>
  <c r="D35" i="56"/>
  <c r="O35" i="56"/>
  <c r="P35" i="56"/>
  <c r="Q35" i="56"/>
  <c r="U35" i="56"/>
  <c r="V35" i="56"/>
  <c r="W35" i="56"/>
  <c r="X35" i="56"/>
  <c r="Y35" i="56"/>
  <c r="Z35" i="56"/>
  <c r="AA35" i="56"/>
  <c r="AB35" i="56"/>
  <c r="AC35" i="56"/>
  <c r="AD35" i="56"/>
  <c r="AE35" i="56"/>
  <c r="AF35" i="56"/>
  <c r="AG35" i="56"/>
  <c r="D36" i="56"/>
  <c r="O36" i="56"/>
  <c r="P36" i="56"/>
  <c r="Q36" i="56"/>
  <c r="U36" i="56"/>
  <c r="V36" i="56"/>
  <c r="W36" i="56"/>
  <c r="X36" i="56"/>
  <c r="Y36" i="56"/>
  <c r="Z36" i="56"/>
  <c r="AA36" i="56"/>
  <c r="AB36" i="56"/>
  <c r="AC36" i="56"/>
  <c r="AD36" i="56"/>
  <c r="AE36" i="56"/>
  <c r="AF36" i="56"/>
  <c r="AG36" i="56"/>
  <c r="M38" i="45"/>
  <c r="I38" i="45"/>
  <c r="N38" i="45"/>
  <c r="S38" i="45"/>
  <c r="M37" i="45"/>
  <c r="I37" i="45"/>
  <c r="N37" i="45"/>
  <c r="S37" i="45"/>
  <c r="M36" i="45"/>
  <c r="I36" i="45"/>
  <c r="N36" i="45"/>
  <c r="S36" i="45"/>
  <c r="M35" i="45"/>
  <c r="I35" i="45"/>
  <c r="N35" i="45"/>
  <c r="S35" i="45"/>
  <c r="M34" i="45"/>
  <c r="I34" i="45"/>
  <c r="N34" i="45"/>
  <c r="S34" i="45"/>
  <c r="M33" i="45"/>
  <c r="I33" i="45"/>
  <c r="N33" i="45"/>
  <c r="S33" i="45"/>
  <c r="M32" i="45"/>
  <c r="I32" i="45"/>
  <c r="N32" i="45"/>
  <c r="S32" i="45"/>
  <c r="M31" i="45"/>
  <c r="I31" i="45"/>
  <c r="N31" i="45"/>
  <c r="S31" i="45"/>
  <c r="M30" i="45"/>
  <c r="I30" i="45"/>
  <c r="N30" i="45"/>
  <c r="S30" i="45"/>
  <c r="M29" i="45"/>
  <c r="I29" i="45"/>
  <c r="N29" i="45"/>
  <c r="S29" i="45"/>
  <c r="M28" i="45"/>
  <c r="I28" i="45"/>
  <c r="N28" i="45"/>
  <c r="S28" i="45"/>
  <c r="M27" i="45"/>
  <c r="I27" i="45"/>
  <c r="N27" i="45"/>
  <c r="S27" i="45"/>
  <c r="M26" i="45"/>
  <c r="I26" i="45"/>
  <c r="N26" i="45"/>
  <c r="S26" i="45"/>
  <c r="M25" i="45"/>
  <c r="I25" i="45"/>
  <c r="N25" i="45"/>
  <c r="S25" i="45"/>
  <c r="M24" i="45"/>
  <c r="I24" i="45"/>
  <c r="N24" i="45"/>
  <c r="S24" i="45"/>
  <c r="M23" i="45"/>
  <c r="I23" i="45"/>
  <c r="N23" i="45"/>
  <c r="S23" i="45"/>
  <c r="M22" i="45"/>
  <c r="I22" i="45"/>
  <c r="N22" i="45"/>
  <c r="S22" i="45"/>
  <c r="M21" i="45"/>
  <c r="I21" i="45"/>
  <c r="N21" i="45"/>
  <c r="S21" i="45"/>
  <c r="M20" i="45"/>
  <c r="I20" i="45"/>
  <c r="N20" i="45"/>
  <c r="S20" i="45"/>
  <c r="M19" i="45"/>
  <c r="I19" i="45"/>
  <c r="N19" i="45"/>
  <c r="S19" i="45"/>
  <c r="M18" i="45"/>
  <c r="I18" i="45"/>
  <c r="N18" i="45"/>
  <c r="S18" i="45"/>
  <c r="M17" i="45"/>
  <c r="I17" i="45"/>
  <c r="N17" i="45"/>
  <c r="S17" i="45"/>
  <c r="R38" i="45"/>
  <c r="R37" i="45"/>
  <c r="R36" i="45"/>
  <c r="R35" i="45"/>
  <c r="R34" i="45"/>
  <c r="R33" i="45"/>
  <c r="R32" i="45"/>
  <c r="R31" i="45"/>
  <c r="R30" i="45"/>
  <c r="R29" i="45"/>
  <c r="R28" i="45"/>
  <c r="R27" i="45"/>
  <c r="R26" i="45"/>
  <c r="R25" i="45"/>
  <c r="R24" i="45"/>
  <c r="R23" i="45"/>
  <c r="R22" i="45"/>
  <c r="R21" i="45"/>
  <c r="R20" i="45"/>
  <c r="R19" i="45"/>
  <c r="R18" i="45"/>
  <c r="R17" i="45"/>
  <c r="T38" i="45"/>
  <c r="T37" i="45"/>
  <c r="T36" i="45"/>
  <c r="T35" i="45"/>
  <c r="T34" i="45"/>
  <c r="T33" i="45"/>
  <c r="T32" i="45"/>
  <c r="T31" i="45"/>
  <c r="T30" i="45"/>
  <c r="T29" i="45"/>
  <c r="T28" i="45"/>
  <c r="T27" i="45"/>
  <c r="T26" i="45"/>
  <c r="T25" i="45"/>
  <c r="T24" i="45"/>
  <c r="T23" i="45"/>
  <c r="T22" i="45"/>
  <c r="T21" i="45"/>
  <c r="T20" i="45"/>
  <c r="T19" i="45"/>
  <c r="T18" i="45"/>
  <c r="T17" i="45"/>
  <c r="D17" i="45"/>
  <c r="O17" i="45"/>
  <c r="P17" i="45"/>
  <c r="Q17" i="45"/>
  <c r="U17" i="45"/>
  <c r="V17" i="45"/>
  <c r="W17" i="45"/>
  <c r="X17" i="45"/>
  <c r="Y17" i="45"/>
  <c r="Z17" i="45"/>
  <c r="AA17" i="45"/>
  <c r="AB17" i="45"/>
  <c r="AC17" i="45"/>
  <c r="AD17" i="45"/>
  <c r="AE17" i="45"/>
  <c r="AF17" i="45"/>
  <c r="AG17" i="45"/>
  <c r="D18" i="45"/>
  <c r="O18" i="45"/>
  <c r="P18" i="45"/>
  <c r="Q18" i="45"/>
  <c r="U18" i="45"/>
  <c r="V18" i="45"/>
  <c r="W18" i="45"/>
  <c r="X18" i="45"/>
  <c r="Y18" i="45"/>
  <c r="Z18" i="45"/>
  <c r="AA18" i="45"/>
  <c r="AB18" i="45"/>
  <c r="AC18" i="45"/>
  <c r="AD18" i="45"/>
  <c r="AE18" i="45"/>
  <c r="AF18" i="45"/>
  <c r="AG18" i="45"/>
  <c r="D19" i="45"/>
  <c r="O19" i="45"/>
  <c r="P19" i="45"/>
  <c r="Q19" i="45"/>
  <c r="U19" i="45"/>
  <c r="V19" i="45"/>
  <c r="W19" i="45"/>
  <c r="X19" i="45"/>
  <c r="Y19" i="45"/>
  <c r="Z19" i="45"/>
  <c r="AA19" i="45"/>
  <c r="AB19" i="45"/>
  <c r="AC19" i="45"/>
  <c r="AD19" i="45"/>
  <c r="AE19" i="45"/>
  <c r="AF19" i="45"/>
  <c r="AG19" i="45"/>
  <c r="D20" i="45"/>
  <c r="O20" i="45"/>
  <c r="P20" i="45"/>
  <c r="Q20" i="45"/>
  <c r="U20" i="45"/>
  <c r="V20" i="45"/>
  <c r="W20" i="45"/>
  <c r="X20" i="45"/>
  <c r="Y20" i="45"/>
  <c r="Z20" i="45"/>
  <c r="AA20" i="45"/>
  <c r="AB20" i="45"/>
  <c r="AC20" i="45"/>
  <c r="AD20" i="45"/>
  <c r="AE20" i="45"/>
  <c r="AF20" i="45"/>
  <c r="AG20" i="45"/>
  <c r="D21" i="45"/>
  <c r="O21" i="45"/>
  <c r="P21" i="45"/>
  <c r="Q21" i="45"/>
  <c r="U21" i="45"/>
  <c r="V21" i="45"/>
  <c r="W21" i="45"/>
  <c r="X21" i="45"/>
  <c r="Y21" i="45"/>
  <c r="Z21" i="45"/>
  <c r="AA21" i="45"/>
  <c r="AB21" i="45"/>
  <c r="AC21" i="45"/>
  <c r="AD21" i="45"/>
  <c r="AE21" i="45"/>
  <c r="AF21" i="45"/>
  <c r="AG21" i="45"/>
  <c r="D22" i="45"/>
  <c r="O22" i="45"/>
  <c r="P22" i="45"/>
  <c r="Q22" i="45"/>
  <c r="U22" i="45"/>
  <c r="V22" i="45"/>
  <c r="W22" i="45"/>
  <c r="X22" i="45"/>
  <c r="Y22" i="45"/>
  <c r="Z22" i="45"/>
  <c r="AA22" i="45"/>
  <c r="AB22" i="45"/>
  <c r="AC22" i="45"/>
  <c r="AD22" i="45"/>
  <c r="AE22" i="45"/>
  <c r="AF22" i="45"/>
  <c r="AG22" i="45"/>
  <c r="D23" i="45"/>
  <c r="O23" i="45"/>
  <c r="P23" i="45"/>
  <c r="Q23" i="45"/>
  <c r="U23" i="45"/>
  <c r="V23" i="45"/>
  <c r="W23" i="45"/>
  <c r="X23" i="45"/>
  <c r="Y23" i="45"/>
  <c r="Z23" i="45"/>
  <c r="AA23" i="45"/>
  <c r="AB23" i="45"/>
  <c r="AC23" i="45"/>
  <c r="AD23" i="45"/>
  <c r="AE23" i="45"/>
  <c r="AF23" i="45"/>
  <c r="AG23" i="45"/>
  <c r="D24" i="45"/>
  <c r="O24" i="45"/>
  <c r="P24" i="45"/>
  <c r="Q24" i="45"/>
  <c r="U24" i="45"/>
  <c r="V24" i="45"/>
  <c r="W24" i="45"/>
  <c r="X24" i="45"/>
  <c r="Y24" i="45"/>
  <c r="Z24" i="45"/>
  <c r="AA24" i="45"/>
  <c r="AB24" i="45"/>
  <c r="AC24" i="45"/>
  <c r="AD24" i="45"/>
  <c r="AE24" i="45"/>
  <c r="AF24" i="45"/>
  <c r="AG24" i="45"/>
  <c r="D25" i="45"/>
  <c r="O25" i="45"/>
  <c r="P25" i="45"/>
  <c r="Q25" i="45"/>
  <c r="U25" i="45"/>
  <c r="V25" i="45"/>
  <c r="W25" i="45"/>
  <c r="X25" i="45"/>
  <c r="Y25" i="45"/>
  <c r="Z25" i="45"/>
  <c r="AA25" i="45"/>
  <c r="AB25" i="45"/>
  <c r="AC25" i="45"/>
  <c r="AD25" i="45"/>
  <c r="AE25" i="45"/>
  <c r="AF25" i="45"/>
  <c r="AG25" i="45"/>
  <c r="D26" i="45"/>
  <c r="O26" i="45"/>
  <c r="P26" i="45"/>
  <c r="Q26" i="45"/>
  <c r="U26" i="45"/>
  <c r="V26" i="45"/>
  <c r="W26" i="45"/>
  <c r="X26" i="45"/>
  <c r="Y26" i="45"/>
  <c r="Z26" i="45"/>
  <c r="AA26" i="45"/>
  <c r="AB26" i="45"/>
  <c r="AC26" i="45"/>
  <c r="AD26" i="45"/>
  <c r="AE26" i="45"/>
  <c r="AF26" i="45"/>
  <c r="AG26" i="45"/>
  <c r="D27" i="45"/>
  <c r="O27" i="45"/>
  <c r="P27" i="45"/>
  <c r="Q27" i="45"/>
  <c r="U27" i="45"/>
  <c r="V27" i="45"/>
  <c r="W27" i="45"/>
  <c r="X27" i="45"/>
  <c r="Y27" i="45"/>
  <c r="Z27" i="45"/>
  <c r="AA27" i="45"/>
  <c r="AB27" i="45"/>
  <c r="AC27" i="45"/>
  <c r="AD27" i="45"/>
  <c r="AE27" i="45"/>
  <c r="AF27" i="45"/>
  <c r="AG27" i="45"/>
  <c r="D28" i="45"/>
  <c r="O28" i="45"/>
  <c r="P28" i="45"/>
  <c r="Q28" i="45"/>
  <c r="U28" i="45"/>
  <c r="V28" i="45"/>
  <c r="W28" i="45"/>
  <c r="X28" i="45"/>
  <c r="Y28" i="45"/>
  <c r="Z28" i="45"/>
  <c r="AA28" i="45"/>
  <c r="AB28" i="45"/>
  <c r="AC28" i="45"/>
  <c r="AD28" i="45"/>
  <c r="AE28" i="45"/>
  <c r="AF28" i="45"/>
  <c r="AG28" i="45"/>
  <c r="D29" i="45"/>
  <c r="O29" i="45"/>
  <c r="P29" i="45"/>
  <c r="Q29" i="45"/>
  <c r="U29" i="45"/>
  <c r="V29" i="45"/>
  <c r="W29" i="45"/>
  <c r="X29" i="45"/>
  <c r="Y29" i="45"/>
  <c r="Z29" i="45"/>
  <c r="AA29" i="45"/>
  <c r="AB29" i="45"/>
  <c r="AC29" i="45"/>
  <c r="AD29" i="45"/>
  <c r="AE29" i="45"/>
  <c r="AF29" i="45"/>
  <c r="AG29" i="45"/>
  <c r="D30" i="45"/>
  <c r="O30" i="45"/>
  <c r="P30" i="45"/>
  <c r="Q30" i="45"/>
  <c r="U30" i="45"/>
  <c r="V30" i="45"/>
  <c r="W30" i="45"/>
  <c r="X30" i="45"/>
  <c r="Y30" i="45"/>
  <c r="Z30" i="45"/>
  <c r="AA30" i="45"/>
  <c r="AB30" i="45"/>
  <c r="AC30" i="45"/>
  <c r="AD30" i="45"/>
  <c r="AE30" i="45"/>
  <c r="AF30" i="45"/>
  <c r="AG30" i="45"/>
  <c r="D31" i="45"/>
  <c r="O31" i="45"/>
  <c r="P31" i="45"/>
  <c r="Q31" i="45"/>
  <c r="U31" i="45"/>
  <c r="V31" i="45"/>
  <c r="W31" i="45"/>
  <c r="X31" i="45"/>
  <c r="Y31" i="45"/>
  <c r="Z31" i="45"/>
  <c r="AA31" i="45"/>
  <c r="AB31" i="45"/>
  <c r="AC31" i="45"/>
  <c r="AD31" i="45"/>
  <c r="AE31" i="45"/>
  <c r="AF31" i="45"/>
  <c r="AG31" i="45"/>
  <c r="D32" i="45"/>
  <c r="O32" i="45"/>
  <c r="P32" i="45"/>
  <c r="Q32" i="45"/>
  <c r="U32" i="45"/>
  <c r="V32" i="45"/>
  <c r="W32" i="45"/>
  <c r="X32" i="45"/>
  <c r="Y32" i="45"/>
  <c r="Z32" i="45"/>
  <c r="AA32" i="45"/>
  <c r="AB32" i="45"/>
  <c r="AC32" i="45"/>
  <c r="AD32" i="45"/>
  <c r="AE32" i="45"/>
  <c r="AF32" i="45"/>
  <c r="AG32" i="45"/>
  <c r="D33" i="45"/>
  <c r="O33" i="45"/>
  <c r="P33" i="45"/>
  <c r="Q33" i="45"/>
  <c r="U33" i="45"/>
  <c r="V33" i="45"/>
  <c r="W33" i="45"/>
  <c r="X33" i="45"/>
  <c r="Y33" i="45"/>
  <c r="Z33" i="45"/>
  <c r="AA33" i="45"/>
  <c r="AB33" i="45"/>
  <c r="AC33" i="45"/>
  <c r="AD33" i="45"/>
  <c r="AE33" i="45"/>
  <c r="AF33" i="45"/>
  <c r="AG33" i="45"/>
  <c r="D34" i="45"/>
  <c r="O34" i="45"/>
  <c r="P34" i="45"/>
  <c r="Q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D35" i="45"/>
  <c r="O35" i="45"/>
  <c r="P35" i="45"/>
  <c r="Q35" i="45"/>
  <c r="U35" i="45"/>
  <c r="V35" i="45"/>
  <c r="W35" i="45"/>
  <c r="X35" i="45"/>
  <c r="Y35" i="45"/>
  <c r="Z35" i="45"/>
  <c r="AA35" i="45"/>
  <c r="AB35" i="45"/>
  <c r="AC35" i="45"/>
  <c r="AD35" i="45"/>
  <c r="AE35" i="45"/>
  <c r="AF35" i="45"/>
  <c r="AG35" i="45"/>
  <c r="D36" i="45"/>
  <c r="O36" i="45"/>
  <c r="P36" i="45"/>
  <c r="Q36" i="45"/>
  <c r="U36" i="45"/>
  <c r="V36" i="45"/>
  <c r="W36" i="45"/>
  <c r="X36" i="45"/>
  <c r="Y36" i="45"/>
  <c r="Z36" i="45"/>
  <c r="AA36" i="45"/>
  <c r="AB36" i="45"/>
  <c r="AC36" i="45"/>
  <c r="AD36" i="45"/>
  <c r="AE36" i="45"/>
  <c r="AF36" i="45"/>
  <c r="AG36" i="45"/>
  <c r="D37" i="45"/>
  <c r="O37" i="45"/>
  <c r="P37" i="45"/>
  <c r="Q37" i="45"/>
  <c r="U37" i="45"/>
  <c r="V37" i="45"/>
  <c r="W37" i="45"/>
  <c r="X37" i="45"/>
  <c r="Y37" i="45"/>
  <c r="Z37" i="45"/>
  <c r="AA37" i="45"/>
  <c r="AB37" i="45"/>
  <c r="AC37" i="45"/>
  <c r="AD37" i="45"/>
  <c r="AE37" i="45"/>
  <c r="AF37" i="45"/>
  <c r="AG37" i="45"/>
  <c r="D38" i="45"/>
  <c r="O38" i="45"/>
  <c r="P38" i="45"/>
  <c r="Q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M36" i="57"/>
  <c r="I36" i="57"/>
  <c r="N36" i="57"/>
  <c r="S36" i="57"/>
  <c r="M35" i="57"/>
  <c r="I35" i="57"/>
  <c r="N35" i="57"/>
  <c r="S35" i="57"/>
  <c r="M34" i="57"/>
  <c r="I34" i="57"/>
  <c r="N34" i="57"/>
  <c r="S34" i="57"/>
  <c r="M33" i="57"/>
  <c r="I33" i="57"/>
  <c r="N33" i="57"/>
  <c r="S33" i="57"/>
  <c r="M32" i="57"/>
  <c r="I32" i="57"/>
  <c r="N32" i="57"/>
  <c r="S32" i="57"/>
  <c r="M31" i="57"/>
  <c r="I31" i="57"/>
  <c r="N31" i="57"/>
  <c r="S31" i="57"/>
  <c r="M30" i="57"/>
  <c r="I30" i="57"/>
  <c r="N30" i="57"/>
  <c r="S30" i="57"/>
  <c r="M29" i="57"/>
  <c r="I29" i="57"/>
  <c r="N29" i="57"/>
  <c r="S29" i="57"/>
  <c r="M28" i="57"/>
  <c r="I28" i="57"/>
  <c r="N28" i="57"/>
  <c r="S28" i="57"/>
  <c r="M27" i="57"/>
  <c r="I27" i="57"/>
  <c r="N27" i="57"/>
  <c r="S27" i="57"/>
  <c r="M26" i="57"/>
  <c r="I26" i="57"/>
  <c r="N26" i="57"/>
  <c r="S26" i="57"/>
  <c r="M25" i="57"/>
  <c r="I25" i="57"/>
  <c r="N25" i="57"/>
  <c r="S25" i="57"/>
  <c r="M24" i="57"/>
  <c r="I24" i="57"/>
  <c r="N24" i="57"/>
  <c r="S24" i="57"/>
  <c r="M23" i="57"/>
  <c r="I23" i="57"/>
  <c r="N23" i="57"/>
  <c r="S23" i="57"/>
  <c r="M22" i="57"/>
  <c r="I22" i="57"/>
  <c r="N22" i="57"/>
  <c r="S22" i="57"/>
  <c r="M21" i="57"/>
  <c r="I21" i="57"/>
  <c r="N21" i="57"/>
  <c r="S21" i="57"/>
  <c r="M20" i="57"/>
  <c r="I20" i="57"/>
  <c r="N20" i="57"/>
  <c r="S20" i="57"/>
  <c r="M19" i="57"/>
  <c r="I19" i="57"/>
  <c r="N19" i="57"/>
  <c r="S19" i="57"/>
  <c r="M18" i="57"/>
  <c r="I18" i="57"/>
  <c r="N18" i="57"/>
  <c r="S18" i="57"/>
  <c r="M17" i="57"/>
  <c r="I17" i="57"/>
  <c r="N17" i="57"/>
  <c r="S17" i="57"/>
  <c r="R36" i="57"/>
  <c r="R35" i="57"/>
  <c r="R34" i="57"/>
  <c r="R33" i="57"/>
  <c r="R32" i="57"/>
  <c r="R31" i="57"/>
  <c r="R30" i="57"/>
  <c r="R29" i="57"/>
  <c r="R28" i="57"/>
  <c r="R27" i="57"/>
  <c r="R26" i="57"/>
  <c r="R25" i="57"/>
  <c r="R24" i="57"/>
  <c r="R23" i="57"/>
  <c r="R22" i="57"/>
  <c r="R21" i="57"/>
  <c r="R20" i="57"/>
  <c r="R19" i="57"/>
  <c r="R18" i="57"/>
  <c r="R17" i="57"/>
  <c r="T36" i="57"/>
  <c r="T35" i="57"/>
  <c r="T34" i="57"/>
  <c r="T33" i="57"/>
  <c r="T32" i="57"/>
  <c r="T31" i="57"/>
  <c r="T30" i="57"/>
  <c r="T29" i="57"/>
  <c r="T28" i="57"/>
  <c r="T27" i="57"/>
  <c r="T26" i="57"/>
  <c r="T25" i="57"/>
  <c r="T24" i="57"/>
  <c r="T23" i="57"/>
  <c r="T22" i="57"/>
  <c r="T21" i="57"/>
  <c r="T20" i="57"/>
  <c r="T19" i="57"/>
  <c r="T18" i="57"/>
  <c r="T17" i="57"/>
  <c r="D17" i="57"/>
  <c r="O17" i="57"/>
  <c r="P17" i="57"/>
  <c r="Q17" i="57"/>
  <c r="U17" i="57"/>
  <c r="V17" i="57"/>
  <c r="W17" i="57"/>
  <c r="X17" i="57"/>
  <c r="Y17" i="57"/>
  <c r="Z17" i="57"/>
  <c r="AA17" i="57"/>
  <c r="AB17" i="57"/>
  <c r="AC17" i="57"/>
  <c r="AD17" i="57"/>
  <c r="AE17" i="57"/>
  <c r="AF17" i="57"/>
  <c r="AG17" i="57"/>
  <c r="D18" i="57"/>
  <c r="O18" i="57"/>
  <c r="P18" i="57"/>
  <c r="Q18" i="57"/>
  <c r="U18" i="57"/>
  <c r="V18" i="57"/>
  <c r="W18" i="57"/>
  <c r="X18" i="57"/>
  <c r="Y18" i="57"/>
  <c r="Z18" i="57"/>
  <c r="AA18" i="57"/>
  <c r="AB18" i="57"/>
  <c r="AC18" i="57"/>
  <c r="AD18" i="57"/>
  <c r="AE18" i="57"/>
  <c r="AF18" i="57"/>
  <c r="AG18" i="57"/>
  <c r="D19" i="57"/>
  <c r="O19" i="57"/>
  <c r="P19" i="57"/>
  <c r="Q19" i="57"/>
  <c r="U19" i="57"/>
  <c r="V19" i="57"/>
  <c r="W19" i="57"/>
  <c r="X19" i="57"/>
  <c r="Y19" i="57"/>
  <c r="Z19" i="57"/>
  <c r="AA19" i="57"/>
  <c r="AB19" i="57"/>
  <c r="AC19" i="57"/>
  <c r="AD19" i="57"/>
  <c r="AE19" i="57"/>
  <c r="AF19" i="57"/>
  <c r="AG19" i="57"/>
  <c r="D20" i="57"/>
  <c r="O20" i="57"/>
  <c r="P20" i="57"/>
  <c r="Q20" i="57"/>
  <c r="U20" i="57"/>
  <c r="V20" i="57"/>
  <c r="W20" i="57"/>
  <c r="X20" i="57"/>
  <c r="Y20" i="57"/>
  <c r="Z20" i="57"/>
  <c r="AA20" i="57"/>
  <c r="AB20" i="57"/>
  <c r="AC20" i="57"/>
  <c r="AD20" i="57"/>
  <c r="AE20" i="57"/>
  <c r="AF20" i="57"/>
  <c r="AG20" i="57"/>
  <c r="D21" i="57"/>
  <c r="O21" i="57"/>
  <c r="P21" i="57"/>
  <c r="Q21" i="57"/>
  <c r="U21" i="57"/>
  <c r="V21" i="57"/>
  <c r="W21" i="57"/>
  <c r="X21" i="57"/>
  <c r="Y21" i="57"/>
  <c r="Z21" i="57"/>
  <c r="AA21" i="57"/>
  <c r="AB21" i="57"/>
  <c r="AC21" i="57"/>
  <c r="AD21" i="57"/>
  <c r="AE21" i="57"/>
  <c r="AF21" i="57"/>
  <c r="AG21" i="57"/>
  <c r="D22" i="57"/>
  <c r="O22" i="57"/>
  <c r="P22" i="57"/>
  <c r="Q22" i="57"/>
  <c r="U22" i="57"/>
  <c r="V22" i="57"/>
  <c r="W22" i="57"/>
  <c r="X22" i="57"/>
  <c r="Y22" i="57"/>
  <c r="Z22" i="57"/>
  <c r="AA22" i="57"/>
  <c r="AB22" i="57"/>
  <c r="AC22" i="57"/>
  <c r="AD22" i="57"/>
  <c r="AE22" i="57"/>
  <c r="AF22" i="57"/>
  <c r="AG22" i="57"/>
  <c r="D23" i="57"/>
  <c r="O23" i="57"/>
  <c r="P23" i="57"/>
  <c r="Q23" i="57"/>
  <c r="U23" i="57"/>
  <c r="V23" i="57"/>
  <c r="W23" i="57"/>
  <c r="X23" i="57"/>
  <c r="Y23" i="57"/>
  <c r="Z23" i="57"/>
  <c r="AA23" i="57"/>
  <c r="AB23" i="57"/>
  <c r="AC23" i="57"/>
  <c r="AD23" i="57"/>
  <c r="AE23" i="57"/>
  <c r="AF23" i="57"/>
  <c r="AG23" i="57"/>
  <c r="D24" i="57"/>
  <c r="O24" i="57"/>
  <c r="P24" i="57"/>
  <c r="Q24" i="57"/>
  <c r="U24" i="57"/>
  <c r="V24" i="57"/>
  <c r="W24" i="57"/>
  <c r="X24" i="57"/>
  <c r="Y24" i="57"/>
  <c r="Z24" i="57"/>
  <c r="AA24" i="57"/>
  <c r="AB24" i="57"/>
  <c r="AC24" i="57"/>
  <c r="AD24" i="57"/>
  <c r="AE24" i="57"/>
  <c r="AF24" i="57"/>
  <c r="AG24" i="57"/>
  <c r="D25" i="57"/>
  <c r="O25" i="57"/>
  <c r="P25" i="57"/>
  <c r="Q25" i="57"/>
  <c r="U25" i="57"/>
  <c r="V25" i="57"/>
  <c r="W25" i="57"/>
  <c r="X25" i="57"/>
  <c r="Y25" i="57"/>
  <c r="Z25" i="57"/>
  <c r="AA25" i="57"/>
  <c r="AB25" i="57"/>
  <c r="AC25" i="57"/>
  <c r="AD25" i="57"/>
  <c r="AE25" i="57"/>
  <c r="AF25" i="57"/>
  <c r="AG25" i="57"/>
  <c r="D26" i="57"/>
  <c r="O26" i="57"/>
  <c r="P26" i="57"/>
  <c r="Q26" i="57"/>
  <c r="U26" i="57"/>
  <c r="V26" i="57"/>
  <c r="W26" i="57"/>
  <c r="X26" i="57"/>
  <c r="Y26" i="57"/>
  <c r="Z26" i="57"/>
  <c r="AA26" i="57"/>
  <c r="AB26" i="57"/>
  <c r="AC26" i="57"/>
  <c r="AD26" i="57"/>
  <c r="AE26" i="57"/>
  <c r="AF26" i="57"/>
  <c r="AG26" i="57"/>
  <c r="D27" i="57"/>
  <c r="O27" i="57"/>
  <c r="P27" i="57"/>
  <c r="Q27" i="57"/>
  <c r="U27" i="57"/>
  <c r="V27" i="57"/>
  <c r="W27" i="57"/>
  <c r="X27" i="57"/>
  <c r="Y27" i="57"/>
  <c r="Z27" i="57"/>
  <c r="AA27" i="57"/>
  <c r="AB27" i="57"/>
  <c r="AC27" i="57"/>
  <c r="AD27" i="57"/>
  <c r="AE27" i="57"/>
  <c r="AF27" i="57"/>
  <c r="AG27" i="57"/>
  <c r="D28" i="57"/>
  <c r="O28" i="57"/>
  <c r="P28" i="57"/>
  <c r="Q28" i="57"/>
  <c r="U28" i="57"/>
  <c r="V28" i="57"/>
  <c r="W28" i="57"/>
  <c r="X28" i="57"/>
  <c r="Y28" i="57"/>
  <c r="Z28" i="57"/>
  <c r="AA28" i="57"/>
  <c r="AB28" i="57"/>
  <c r="AC28" i="57"/>
  <c r="AD28" i="57"/>
  <c r="AE28" i="57"/>
  <c r="AF28" i="57"/>
  <c r="AG28" i="57"/>
  <c r="D29" i="57"/>
  <c r="O29" i="57"/>
  <c r="P29" i="57"/>
  <c r="Q29" i="57"/>
  <c r="U29" i="57"/>
  <c r="V29" i="57"/>
  <c r="W29" i="57"/>
  <c r="X29" i="57"/>
  <c r="Y29" i="57"/>
  <c r="Z29" i="57"/>
  <c r="AA29" i="57"/>
  <c r="AB29" i="57"/>
  <c r="AC29" i="57"/>
  <c r="AD29" i="57"/>
  <c r="AE29" i="57"/>
  <c r="AF29" i="57"/>
  <c r="AG29" i="57"/>
  <c r="D30" i="57"/>
  <c r="O30" i="57"/>
  <c r="P30" i="57"/>
  <c r="Q30" i="57"/>
  <c r="U30" i="57"/>
  <c r="V30" i="57"/>
  <c r="W30" i="57"/>
  <c r="X30" i="57"/>
  <c r="Y30" i="57"/>
  <c r="Z30" i="57"/>
  <c r="AA30" i="57"/>
  <c r="AB30" i="57"/>
  <c r="AC30" i="57"/>
  <c r="AD30" i="57"/>
  <c r="AE30" i="57"/>
  <c r="AF30" i="57"/>
  <c r="AG30" i="57"/>
  <c r="D31" i="57"/>
  <c r="O31" i="57"/>
  <c r="P31" i="57"/>
  <c r="Q31" i="57"/>
  <c r="U31" i="57"/>
  <c r="V31" i="57"/>
  <c r="W31" i="57"/>
  <c r="X31" i="57"/>
  <c r="Y31" i="57"/>
  <c r="Z31" i="57"/>
  <c r="AA31" i="57"/>
  <c r="AB31" i="57"/>
  <c r="AC31" i="57"/>
  <c r="AD31" i="57"/>
  <c r="AE31" i="57"/>
  <c r="AF31" i="57"/>
  <c r="AG31" i="57"/>
  <c r="D32" i="57"/>
  <c r="O32" i="57"/>
  <c r="P32" i="57"/>
  <c r="Q32" i="57"/>
  <c r="U32" i="57"/>
  <c r="V32" i="57"/>
  <c r="W32" i="57"/>
  <c r="X32" i="57"/>
  <c r="Y32" i="57"/>
  <c r="Z32" i="57"/>
  <c r="AA32" i="57"/>
  <c r="AB32" i="57"/>
  <c r="AC32" i="57"/>
  <c r="AD32" i="57"/>
  <c r="AE32" i="57"/>
  <c r="AF32" i="57"/>
  <c r="AG32" i="57"/>
  <c r="D33" i="57"/>
  <c r="O33" i="57"/>
  <c r="P33" i="57"/>
  <c r="Q33" i="57"/>
  <c r="U33" i="57"/>
  <c r="V33" i="57"/>
  <c r="W33" i="57"/>
  <c r="X33" i="57"/>
  <c r="Y33" i="57"/>
  <c r="Z33" i="57"/>
  <c r="AA33" i="57"/>
  <c r="AB33" i="57"/>
  <c r="AC33" i="57"/>
  <c r="AD33" i="57"/>
  <c r="AE33" i="57"/>
  <c r="AF33" i="57"/>
  <c r="AG33" i="57"/>
  <c r="D34" i="57"/>
  <c r="O34" i="57"/>
  <c r="P34" i="57"/>
  <c r="Q34" i="57"/>
  <c r="U34" i="57"/>
  <c r="V34" i="57"/>
  <c r="W34" i="57"/>
  <c r="X34" i="57"/>
  <c r="Y34" i="57"/>
  <c r="Z34" i="57"/>
  <c r="AA34" i="57"/>
  <c r="AB34" i="57"/>
  <c r="AC34" i="57"/>
  <c r="AD34" i="57"/>
  <c r="AE34" i="57"/>
  <c r="AF34" i="57"/>
  <c r="AG34" i="57"/>
  <c r="D35" i="57"/>
  <c r="O35" i="57"/>
  <c r="P35" i="57"/>
  <c r="Q35" i="57"/>
  <c r="U35" i="57"/>
  <c r="V35" i="57"/>
  <c r="W35" i="57"/>
  <c r="X35" i="57"/>
  <c r="Y35" i="57"/>
  <c r="Z35" i="57"/>
  <c r="AA35" i="57"/>
  <c r="AB35" i="57"/>
  <c r="AC35" i="57"/>
  <c r="AD35" i="57"/>
  <c r="AE35" i="57"/>
  <c r="AF35" i="57"/>
  <c r="AG35" i="57"/>
  <c r="D36" i="57"/>
  <c r="O36" i="57"/>
  <c r="P36" i="57"/>
  <c r="Q36" i="57"/>
  <c r="U36" i="57"/>
  <c r="V36" i="57"/>
  <c r="W36" i="57"/>
  <c r="X36" i="57"/>
  <c r="Y36" i="57"/>
  <c r="Z36" i="57"/>
  <c r="AA36" i="57"/>
  <c r="AB36" i="57"/>
  <c r="AC36" i="57"/>
  <c r="AD36" i="57"/>
  <c r="AE36" i="57"/>
  <c r="AF36" i="57"/>
  <c r="AG36" i="57"/>
  <c r="M34" i="58"/>
  <c r="I34" i="58"/>
  <c r="N34" i="58"/>
  <c r="S34" i="58"/>
  <c r="M33" i="58"/>
  <c r="I33" i="58"/>
  <c r="N33" i="58"/>
  <c r="S33" i="58"/>
  <c r="M32" i="58"/>
  <c r="I32" i="58"/>
  <c r="N32" i="58"/>
  <c r="S32" i="58"/>
  <c r="M31" i="58"/>
  <c r="I31" i="58"/>
  <c r="N31" i="58"/>
  <c r="S31" i="58"/>
  <c r="M30" i="58"/>
  <c r="I30" i="58"/>
  <c r="N30" i="58"/>
  <c r="S30" i="58"/>
  <c r="M29" i="58"/>
  <c r="I29" i="58"/>
  <c r="N29" i="58"/>
  <c r="S29" i="58"/>
  <c r="M28" i="58"/>
  <c r="I28" i="58"/>
  <c r="N28" i="58"/>
  <c r="S28" i="58"/>
  <c r="M27" i="58"/>
  <c r="I27" i="58"/>
  <c r="N27" i="58"/>
  <c r="S27" i="58"/>
  <c r="M26" i="58"/>
  <c r="I26" i="58"/>
  <c r="N26" i="58"/>
  <c r="S26" i="58"/>
  <c r="M25" i="58"/>
  <c r="I25" i="58"/>
  <c r="N25" i="58"/>
  <c r="S25" i="58"/>
  <c r="M24" i="58"/>
  <c r="I24" i="58"/>
  <c r="N24" i="58"/>
  <c r="S24" i="58"/>
  <c r="M23" i="58"/>
  <c r="I23" i="58"/>
  <c r="N23" i="58"/>
  <c r="S23" i="58"/>
  <c r="M22" i="58"/>
  <c r="I22" i="58"/>
  <c r="N22" i="58"/>
  <c r="S22" i="58"/>
  <c r="M21" i="58"/>
  <c r="I21" i="58"/>
  <c r="N21" i="58"/>
  <c r="S21" i="58"/>
  <c r="M20" i="58"/>
  <c r="I20" i="58"/>
  <c r="N20" i="58"/>
  <c r="S20" i="58"/>
  <c r="M19" i="58"/>
  <c r="I19" i="58"/>
  <c r="N19" i="58"/>
  <c r="S19" i="58"/>
  <c r="M18" i="58"/>
  <c r="I18" i="58"/>
  <c r="N18" i="58"/>
  <c r="S18" i="58"/>
  <c r="M17" i="58"/>
  <c r="I17" i="58"/>
  <c r="N17" i="58"/>
  <c r="S17" i="58"/>
  <c r="R34" i="58"/>
  <c r="R33" i="58"/>
  <c r="R32" i="58"/>
  <c r="R31" i="58"/>
  <c r="R30" i="58"/>
  <c r="R29" i="58"/>
  <c r="R28" i="58"/>
  <c r="R27" i="58"/>
  <c r="R26" i="58"/>
  <c r="R25" i="58"/>
  <c r="R24" i="58"/>
  <c r="R23" i="58"/>
  <c r="R22" i="58"/>
  <c r="R21" i="58"/>
  <c r="R20" i="58"/>
  <c r="R19" i="58"/>
  <c r="R18" i="58"/>
  <c r="R17" i="58"/>
  <c r="T34" i="58"/>
  <c r="T33" i="58"/>
  <c r="T32" i="58"/>
  <c r="T31" i="58"/>
  <c r="T30" i="58"/>
  <c r="T29" i="58"/>
  <c r="T28" i="58"/>
  <c r="T27" i="58"/>
  <c r="T26" i="58"/>
  <c r="T25" i="58"/>
  <c r="T24" i="58"/>
  <c r="T23" i="58"/>
  <c r="T22" i="58"/>
  <c r="T21" i="58"/>
  <c r="T20" i="58"/>
  <c r="T19" i="58"/>
  <c r="T18" i="58"/>
  <c r="T17" i="58"/>
  <c r="D17" i="58"/>
  <c r="O17" i="58"/>
  <c r="P17" i="58"/>
  <c r="Q17" i="58"/>
  <c r="U17" i="58"/>
  <c r="V17" i="58"/>
  <c r="W17" i="58"/>
  <c r="X17" i="58"/>
  <c r="Y17" i="58"/>
  <c r="Z17" i="58"/>
  <c r="AA17" i="58"/>
  <c r="AB17" i="58"/>
  <c r="AC17" i="58"/>
  <c r="AD17" i="58"/>
  <c r="AE17" i="58"/>
  <c r="AF17" i="58"/>
  <c r="AG17" i="58"/>
  <c r="D18" i="58"/>
  <c r="O18" i="58"/>
  <c r="P18" i="58"/>
  <c r="Q18" i="58"/>
  <c r="U18" i="58"/>
  <c r="V18" i="58"/>
  <c r="W18" i="58"/>
  <c r="X18" i="58"/>
  <c r="Y18" i="58"/>
  <c r="Z18" i="58"/>
  <c r="AA18" i="58"/>
  <c r="AB18" i="58"/>
  <c r="AC18" i="58"/>
  <c r="AD18" i="58"/>
  <c r="AE18" i="58"/>
  <c r="AF18" i="58"/>
  <c r="AG18" i="58"/>
  <c r="D19" i="58"/>
  <c r="O19" i="58"/>
  <c r="P19" i="58"/>
  <c r="Q19" i="58"/>
  <c r="U19" i="58"/>
  <c r="V19" i="58"/>
  <c r="W19" i="58"/>
  <c r="X19" i="58"/>
  <c r="Y19" i="58"/>
  <c r="Z19" i="58"/>
  <c r="AA19" i="58"/>
  <c r="AB19" i="58"/>
  <c r="AC19" i="58"/>
  <c r="AD19" i="58"/>
  <c r="AE19" i="58"/>
  <c r="AF19" i="58"/>
  <c r="AG19" i="58"/>
  <c r="D20" i="58"/>
  <c r="O20" i="58"/>
  <c r="P20" i="58"/>
  <c r="Q20" i="58"/>
  <c r="U20" i="58"/>
  <c r="V20" i="58"/>
  <c r="W20" i="58"/>
  <c r="X20" i="58"/>
  <c r="Y20" i="58"/>
  <c r="Z20" i="58"/>
  <c r="AA20" i="58"/>
  <c r="AB20" i="58"/>
  <c r="AC20" i="58"/>
  <c r="AD20" i="58"/>
  <c r="AE20" i="58"/>
  <c r="AF20" i="58"/>
  <c r="AG20" i="58"/>
  <c r="D21" i="58"/>
  <c r="O21" i="58"/>
  <c r="P21" i="58"/>
  <c r="Q21" i="58"/>
  <c r="U21" i="58"/>
  <c r="V21" i="58"/>
  <c r="W21" i="58"/>
  <c r="X21" i="58"/>
  <c r="Y21" i="58"/>
  <c r="Z21" i="58"/>
  <c r="AA21" i="58"/>
  <c r="AB21" i="58"/>
  <c r="AC21" i="58"/>
  <c r="AD21" i="58"/>
  <c r="AE21" i="58"/>
  <c r="AF21" i="58"/>
  <c r="AG21" i="58"/>
  <c r="D22" i="58"/>
  <c r="O22" i="58"/>
  <c r="P22" i="58"/>
  <c r="Q22" i="58"/>
  <c r="U22" i="58"/>
  <c r="V22" i="58"/>
  <c r="W22" i="58"/>
  <c r="X22" i="58"/>
  <c r="Y22" i="58"/>
  <c r="Z22" i="58"/>
  <c r="AA22" i="58"/>
  <c r="AB22" i="58"/>
  <c r="AC22" i="58"/>
  <c r="AD22" i="58"/>
  <c r="AE22" i="58"/>
  <c r="AF22" i="58"/>
  <c r="AG22" i="58"/>
  <c r="D23" i="58"/>
  <c r="O23" i="58"/>
  <c r="P23" i="58"/>
  <c r="Q23" i="58"/>
  <c r="U23" i="58"/>
  <c r="V23" i="58"/>
  <c r="W23" i="58"/>
  <c r="X23" i="58"/>
  <c r="Y23" i="58"/>
  <c r="Z23" i="58"/>
  <c r="AA23" i="58"/>
  <c r="AB23" i="58"/>
  <c r="AC23" i="58"/>
  <c r="AD23" i="58"/>
  <c r="AE23" i="58"/>
  <c r="AF23" i="58"/>
  <c r="AG23" i="58"/>
  <c r="D24" i="58"/>
  <c r="O24" i="58"/>
  <c r="P24" i="58"/>
  <c r="Q24" i="58"/>
  <c r="U24" i="58"/>
  <c r="V24" i="58"/>
  <c r="W24" i="58"/>
  <c r="X24" i="58"/>
  <c r="Y24" i="58"/>
  <c r="Z24" i="58"/>
  <c r="AA24" i="58"/>
  <c r="AB24" i="58"/>
  <c r="AC24" i="58"/>
  <c r="AD24" i="58"/>
  <c r="AE24" i="58"/>
  <c r="AF24" i="58"/>
  <c r="AG24" i="58"/>
  <c r="D25" i="58"/>
  <c r="O25" i="58"/>
  <c r="P25" i="58"/>
  <c r="Q25" i="58"/>
  <c r="U25" i="58"/>
  <c r="V25" i="58"/>
  <c r="W25" i="58"/>
  <c r="X25" i="58"/>
  <c r="Y25" i="58"/>
  <c r="Z25" i="58"/>
  <c r="AA25" i="58"/>
  <c r="AB25" i="58"/>
  <c r="AC25" i="58"/>
  <c r="AD25" i="58"/>
  <c r="AE25" i="58"/>
  <c r="AF25" i="58"/>
  <c r="AG25" i="58"/>
  <c r="D26" i="58"/>
  <c r="O26" i="58"/>
  <c r="P26" i="58"/>
  <c r="Q26" i="58"/>
  <c r="U26" i="58"/>
  <c r="V26" i="58"/>
  <c r="W26" i="58"/>
  <c r="X26" i="58"/>
  <c r="Y26" i="58"/>
  <c r="Z26" i="58"/>
  <c r="AA26" i="58"/>
  <c r="AB26" i="58"/>
  <c r="AC26" i="58"/>
  <c r="AD26" i="58"/>
  <c r="AE26" i="58"/>
  <c r="AF26" i="58"/>
  <c r="AG26" i="58"/>
  <c r="D27" i="58"/>
  <c r="O27" i="58"/>
  <c r="P27" i="58"/>
  <c r="Q27" i="58"/>
  <c r="U27" i="58"/>
  <c r="V27" i="58"/>
  <c r="W27" i="58"/>
  <c r="X27" i="58"/>
  <c r="Y27" i="58"/>
  <c r="Z27" i="58"/>
  <c r="AA27" i="58"/>
  <c r="AB27" i="58"/>
  <c r="AC27" i="58"/>
  <c r="AD27" i="58"/>
  <c r="AE27" i="58"/>
  <c r="AF27" i="58"/>
  <c r="AG27" i="58"/>
  <c r="D28" i="58"/>
  <c r="O28" i="58"/>
  <c r="P28" i="58"/>
  <c r="Q28" i="58"/>
  <c r="U28" i="58"/>
  <c r="V28" i="58"/>
  <c r="W28" i="58"/>
  <c r="X28" i="58"/>
  <c r="Y28" i="58"/>
  <c r="Z28" i="58"/>
  <c r="AA28" i="58"/>
  <c r="AB28" i="58"/>
  <c r="AC28" i="58"/>
  <c r="AD28" i="58"/>
  <c r="AE28" i="58"/>
  <c r="AF28" i="58"/>
  <c r="AG28" i="58"/>
  <c r="D29" i="58"/>
  <c r="O29" i="58"/>
  <c r="P29" i="58"/>
  <c r="Q29" i="58"/>
  <c r="U29" i="58"/>
  <c r="V29" i="58"/>
  <c r="W29" i="58"/>
  <c r="X29" i="58"/>
  <c r="Y29" i="58"/>
  <c r="Z29" i="58"/>
  <c r="AA29" i="58"/>
  <c r="AB29" i="58"/>
  <c r="AC29" i="58"/>
  <c r="AD29" i="58"/>
  <c r="AE29" i="58"/>
  <c r="AF29" i="58"/>
  <c r="AG29" i="58"/>
  <c r="D30" i="58"/>
  <c r="O30" i="58"/>
  <c r="P30" i="58"/>
  <c r="Q30" i="58"/>
  <c r="U30" i="58"/>
  <c r="V30" i="58"/>
  <c r="W30" i="58"/>
  <c r="X30" i="58"/>
  <c r="Y30" i="58"/>
  <c r="Z30" i="58"/>
  <c r="AA30" i="58"/>
  <c r="AB30" i="58"/>
  <c r="AC30" i="58"/>
  <c r="AD30" i="58"/>
  <c r="AE30" i="58"/>
  <c r="AF30" i="58"/>
  <c r="AG30" i="58"/>
  <c r="D31" i="58"/>
  <c r="O31" i="58"/>
  <c r="P31" i="58"/>
  <c r="Q31" i="58"/>
  <c r="U31" i="58"/>
  <c r="V31" i="58"/>
  <c r="W31" i="58"/>
  <c r="X31" i="58"/>
  <c r="Y31" i="58"/>
  <c r="Z31" i="58"/>
  <c r="AA31" i="58"/>
  <c r="AB31" i="58"/>
  <c r="AC31" i="58"/>
  <c r="AD31" i="58"/>
  <c r="AE31" i="58"/>
  <c r="AF31" i="58"/>
  <c r="AG31" i="58"/>
  <c r="D32" i="58"/>
  <c r="O32" i="58"/>
  <c r="P32" i="58"/>
  <c r="Q32" i="58"/>
  <c r="U32" i="58"/>
  <c r="V32" i="58"/>
  <c r="W32" i="58"/>
  <c r="X32" i="58"/>
  <c r="Y32" i="58"/>
  <c r="Z32" i="58"/>
  <c r="AA32" i="58"/>
  <c r="AB32" i="58"/>
  <c r="AC32" i="58"/>
  <c r="AD32" i="58"/>
  <c r="AE32" i="58"/>
  <c r="AF32" i="58"/>
  <c r="AG32" i="58"/>
  <c r="D33" i="58"/>
  <c r="O33" i="58"/>
  <c r="P33" i="58"/>
  <c r="Q33" i="58"/>
  <c r="U33" i="58"/>
  <c r="V33" i="58"/>
  <c r="W33" i="58"/>
  <c r="X33" i="58"/>
  <c r="Y33" i="58"/>
  <c r="Z33" i="58"/>
  <c r="AA33" i="58"/>
  <c r="AB33" i="58"/>
  <c r="AC33" i="58"/>
  <c r="AD33" i="58"/>
  <c r="AE33" i="58"/>
  <c r="AF33" i="58"/>
  <c r="AG33" i="58"/>
  <c r="D34" i="58"/>
  <c r="O34" i="58"/>
  <c r="P34" i="58"/>
  <c r="Q34" i="58"/>
  <c r="U34" i="58"/>
  <c r="V34" i="58"/>
  <c r="W34" i="58"/>
  <c r="X34" i="58"/>
  <c r="Y34" i="58"/>
  <c r="Z34" i="58"/>
  <c r="AA34" i="58"/>
  <c r="AB34" i="58"/>
  <c r="AC34" i="58"/>
  <c r="AD34" i="58"/>
  <c r="AE34" i="58"/>
  <c r="AF34" i="58"/>
  <c r="AG34" i="58"/>
  <c r="M24" i="46"/>
  <c r="I24" i="46"/>
  <c r="N24" i="46"/>
  <c r="S24" i="46"/>
  <c r="M23" i="46"/>
  <c r="I23" i="46"/>
  <c r="N23" i="46"/>
  <c r="S23" i="46"/>
  <c r="M22" i="46"/>
  <c r="I22" i="46"/>
  <c r="N22" i="46"/>
  <c r="S22" i="46"/>
  <c r="M21" i="46"/>
  <c r="I21" i="46"/>
  <c r="N21" i="46"/>
  <c r="S21" i="46"/>
  <c r="M20" i="46"/>
  <c r="I20" i="46"/>
  <c r="N20" i="46"/>
  <c r="S20" i="46"/>
  <c r="M19" i="46"/>
  <c r="I19" i="46"/>
  <c r="N19" i="46"/>
  <c r="S19" i="46"/>
  <c r="M18" i="46"/>
  <c r="I18" i="46"/>
  <c r="N18" i="46"/>
  <c r="S18" i="46"/>
  <c r="M17" i="46"/>
  <c r="I17" i="46"/>
  <c r="N17" i="46"/>
  <c r="S17" i="46"/>
  <c r="R24" i="46"/>
  <c r="R23" i="46"/>
  <c r="R22" i="46"/>
  <c r="R21" i="46"/>
  <c r="R20" i="46"/>
  <c r="R19" i="46"/>
  <c r="R18" i="46"/>
  <c r="R17" i="46"/>
  <c r="T24" i="46"/>
  <c r="T23" i="46"/>
  <c r="T22" i="46"/>
  <c r="T21" i="46"/>
  <c r="T20" i="46"/>
  <c r="T19" i="46"/>
  <c r="T18" i="46"/>
  <c r="T17" i="46"/>
  <c r="D17" i="46"/>
  <c r="O17" i="46"/>
  <c r="P17" i="46"/>
  <c r="Q17" i="46"/>
  <c r="U17" i="46"/>
  <c r="V17" i="46"/>
  <c r="W17" i="46"/>
  <c r="X17" i="46"/>
  <c r="Y17" i="46"/>
  <c r="Z17" i="46"/>
  <c r="AA17" i="46"/>
  <c r="AB17" i="46"/>
  <c r="AC17" i="46"/>
  <c r="AD17" i="46"/>
  <c r="AE17" i="46"/>
  <c r="AF17" i="46"/>
  <c r="AG17" i="46"/>
  <c r="D18" i="46"/>
  <c r="O18" i="46"/>
  <c r="P18" i="46"/>
  <c r="Q18" i="46"/>
  <c r="U18" i="46"/>
  <c r="V18" i="46"/>
  <c r="W18" i="46"/>
  <c r="X18" i="46"/>
  <c r="Y18" i="46"/>
  <c r="Z18" i="46"/>
  <c r="AA18" i="46"/>
  <c r="AB18" i="46"/>
  <c r="AC18" i="46"/>
  <c r="AD18" i="46"/>
  <c r="AE18" i="46"/>
  <c r="AF18" i="46"/>
  <c r="AG18" i="46"/>
  <c r="D19" i="46"/>
  <c r="O19" i="46"/>
  <c r="P19" i="46"/>
  <c r="Q19" i="46"/>
  <c r="U19" i="46"/>
  <c r="V19" i="46"/>
  <c r="W19" i="46"/>
  <c r="X19" i="46"/>
  <c r="Y19" i="46"/>
  <c r="Z19" i="46"/>
  <c r="AA19" i="46"/>
  <c r="AB19" i="46"/>
  <c r="AC19" i="46"/>
  <c r="AD19" i="46"/>
  <c r="AE19" i="46"/>
  <c r="AF19" i="46"/>
  <c r="AG19" i="46"/>
  <c r="D20" i="46"/>
  <c r="O20" i="46"/>
  <c r="P20" i="46"/>
  <c r="Q20" i="46"/>
  <c r="U20" i="46"/>
  <c r="V20" i="46"/>
  <c r="W20" i="46"/>
  <c r="X20" i="46"/>
  <c r="Y20" i="46"/>
  <c r="Z20" i="46"/>
  <c r="AA20" i="46"/>
  <c r="AB20" i="46"/>
  <c r="AC20" i="46"/>
  <c r="AD20" i="46"/>
  <c r="AE20" i="46"/>
  <c r="AF20" i="46"/>
  <c r="AG20" i="46"/>
  <c r="D21" i="46"/>
  <c r="O21" i="46"/>
  <c r="P21" i="46"/>
  <c r="Q21" i="46"/>
  <c r="U21" i="46"/>
  <c r="V21" i="46"/>
  <c r="W21" i="46"/>
  <c r="X21" i="46"/>
  <c r="Y21" i="46"/>
  <c r="Z21" i="46"/>
  <c r="AA21" i="46"/>
  <c r="AB21" i="46"/>
  <c r="AC21" i="46"/>
  <c r="AD21" i="46"/>
  <c r="AE21" i="46"/>
  <c r="AF21" i="46"/>
  <c r="AG21" i="46"/>
  <c r="D22" i="46"/>
  <c r="O22" i="46"/>
  <c r="P22" i="46"/>
  <c r="Q22" i="46"/>
  <c r="U22" i="46"/>
  <c r="V22" i="46"/>
  <c r="W22" i="46"/>
  <c r="X22" i="46"/>
  <c r="Y22" i="46"/>
  <c r="Z22" i="46"/>
  <c r="AA22" i="46"/>
  <c r="AB22" i="46"/>
  <c r="AC22" i="46"/>
  <c r="AD22" i="46"/>
  <c r="AE22" i="46"/>
  <c r="AF22" i="46"/>
  <c r="AG22" i="46"/>
  <c r="D23" i="46"/>
  <c r="O23" i="46"/>
  <c r="P23" i="46"/>
  <c r="Q23" i="46"/>
  <c r="U23" i="46"/>
  <c r="V23" i="46"/>
  <c r="W23" i="46"/>
  <c r="X23" i="46"/>
  <c r="Y23" i="46"/>
  <c r="Z23" i="46"/>
  <c r="AA23" i="46"/>
  <c r="AB23" i="46"/>
  <c r="AC23" i="46"/>
  <c r="AD23" i="46"/>
  <c r="AE23" i="46"/>
  <c r="AF23" i="46"/>
  <c r="AG23" i="46"/>
  <c r="D24" i="46"/>
  <c r="O24" i="46"/>
  <c r="P24" i="46"/>
  <c r="Q24" i="46"/>
  <c r="U24" i="46"/>
  <c r="V24" i="46"/>
  <c r="W24" i="46"/>
  <c r="X24" i="46"/>
  <c r="Y24" i="46"/>
  <c r="Z24" i="46"/>
  <c r="AA24" i="46"/>
  <c r="AB24" i="46"/>
  <c r="AC24" i="46"/>
  <c r="AD24" i="46"/>
  <c r="AE24" i="46"/>
  <c r="AF24" i="46"/>
  <c r="AG24" i="46"/>
  <c r="M28" i="47"/>
  <c r="I28" i="47"/>
  <c r="N28" i="47"/>
  <c r="S28" i="47"/>
  <c r="M27" i="47"/>
  <c r="I27" i="47"/>
  <c r="N27" i="47"/>
  <c r="S27" i="47"/>
  <c r="M26" i="47"/>
  <c r="I26" i="47"/>
  <c r="N26" i="47"/>
  <c r="S26" i="47"/>
  <c r="M25" i="47"/>
  <c r="I25" i="47"/>
  <c r="N25" i="47"/>
  <c r="S25" i="47"/>
  <c r="M24" i="47"/>
  <c r="I24" i="47"/>
  <c r="N24" i="47"/>
  <c r="S24" i="47"/>
  <c r="M23" i="47"/>
  <c r="I23" i="47"/>
  <c r="N23" i="47"/>
  <c r="S23" i="47"/>
  <c r="M22" i="47"/>
  <c r="I22" i="47"/>
  <c r="N22" i="47"/>
  <c r="S22" i="47"/>
  <c r="M21" i="47"/>
  <c r="I21" i="47"/>
  <c r="N21" i="47"/>
  <c r="S21" i="47"/>
  <c r="M20" i="47"/>
  <c r="I20" i="47"/>
  <c r="N20" i="47"/>
  <c r="S20" i="47"/>
  <c r="M19" i="47"/>
  <c r="I19" i="47"/>
  <c r="N19" i="47"/>
  <c r="S19" i="47"/>
  <c r="M18" i="47"/>
  <c r="I18" i="47"/>
  <c r="N18" i="47"/>
  <c r="S18" i="47"/>
  <c r="M17" i="47"/>
  <c r="I17" i="47"/>
  <c r="N17" i="47"/>
  <c r="S17" i="47"/>
  <c r="R28" i="47"/>
  <c r="R27" i="47"/>
  <c r="R26" i="47"/>
  <c r="R25" i="47"/>
  <c r="R24" i="47"/>
  <c r="R23" i="47"/>
  <c r="R22" i="47"/>
  <c r="R21" i="47"/>
  <c r="R20" i="47"/>
  <c r="R19" i="47"/>
  <c r="R18" i="47"/>
  <c r="R17" i="47"/>
  <c r="T28" i="47"/>
  <c r="T27" i="47"/>
  <c r="T26" i="47"/>
  <c r="T25" i="47"/>
  <c r="T24" i="47"/>
  <c r="T23" i="47"/>
  <c r="T22" i="47"/>
  <c r="T21" i="47"/>
  <c r="T20" i="47"/>
  <c r="T19" i="47"/>
  <c r="T18" i="47"/>
  <c r="T17" i="47"/>
  <c r="D17" i="47"/>
  <c r="O17" i="47"/>
  <c r="P17" i="47"/>
  <c r="Q17" i="47"/>
  <c r="U17" i="47"/>
  <c r="V17" i="47"/>
  <c r="W17" i="47"/>
  <c r="X17" i="47"/>
  <c r="Y17" i="47"/>
  <c r="Z17" i="47"/>
  <c r="AA17" i="47"/>
  <c r="AB17" i="47"/>
  <c r="AC17" i="47"/>
  <c r="AD17" i="47"/>
  <c r="AE17" i="47"/>
  <c r="AF17" i="47"/>
  <c r="AG17" i="47"/>
  <c r="D18" i="47"/>
  <c r="O18" i="47"/>
  <c r="P18" i="47"/>
  <c r="Q18" i="47"/>
  <c r="U18" i="47"/>
  <c r="V18" i="47"/>
  <c r="W18" i="47"/>
  <c r="X18" i="47"/>
  <c r="Y18" i="47"/>
  <c r="Z18" i="47"/>
  <c r="AA18" i="47"/>
  <c r="AB18" i="47"/>
  <c r="AC18" i="47"/>
  <c r="AD18" i="47"/>
  <c r="AE18" i="47"/>
  <c r="AF18" i="47"/>
  <c r="AG18" i="47"/>
  <c r="D19" i="47"/>
  <c r="O19" i="47"/>
  <c r="P19" i="47"/>
  <c r="Q19" i="47"/>
  <c r="U19" i="47"/>
  <c r="V19" i="47"/>
  <c r="W19" i="47"/>
  <c r="X19" i="47"/>
  <c r="Y19" i="47"/>
  <c r="Z19" i="47"/>
  <c r="AA19" i="47"/>
  <c r="AB19" i="47"/>
  <c r="AC19" i="47"/>
  <c r="AD19" i="47"/>
  <c r="AE19" i="47"/>
  <c r="AF19" i="47"/>
  <c r="AG19" i="47"/>
  <c r="D20" i="47"/>
  <c r="O20" i="47"/>
  <c r="P20" i="47"/>
  <c r="Q20" i="47"/>
  <c r="U20" i="47"/>
  <c r="V20" i="47"/>
  <c r="W20" i="47"/>
  <c r="X20" i="47"/>
  <c r="Y20" i="47"/>
  <c r="Z20" i="47"/>
  <c r="AA20" i="47"/>
  <c r="AB20" i="47"/>
  <c r="AC20" i="47"/>
  <c r="AD20" i="47"/>
  <c r="AE20" i="47"/>
  <c r="AF20" i="47"/>
  <c r="AG20" i="47"/>
  <c r="D21" i="47"/>
  <c r="O21" i="47"/>
  <c r="P21" i="47"/>
  <c r="Q21" i="47"/>
  <c r="U21" i="47"/>
  <c r="V21" i="47"/>
  <c r="W21" i="47"/>
  <c r="X21" i="47"/>
  <c r="Y21" i="47"/>
  <c r="Z21" i="47"/>
  <c r="AA21" i="47"/>
  <c r="AB21" i="47"/>
  <c r="AC21" i="47"/>
  <c r="AD21" i="47"/>
  <c r="AE21" i="47"/>
  <c r="AF21" i="47"/>
  <c r="AG21" i="47"/>
  <c r="D22" i="47"/>
  <c r="O22" i="47"/>
  <c r="P22" i="47"/>
  <c r="Q22" i="47"/>
  <c r="U22" i="47"/>
  <c r="V22" i="47"/>
  <c r="W22" i="47"/>
  <c r="X22" i="47"/>
  <c r="Y22" i="47"/>
  <c r="Z22" i="47"/>
  <c r="AA22" i="47"/>
  <c r="AB22" i="47"/>
  <c r="AC22" i="47"/>
  <c r="AD22" i="47"/>
  <c r="AE22" i="47"/>
  <c r="AF22" i="47"/>
  <c r="AG22" i="47"/>
  <c r="D23" i="47"/>
  <c r="O23" i="47"/>
  <c r="P23" i="47"/>
  <c r="Q23" i="47"/>
  <c r="U23" i="47"/>
  <c r="V23" i="47"/>
  <c r="W23" i="47"/>
  <c r="X23" i="47"/>
  <c r="Y23" i="47"/>
  <c r="Z23" i="47"/>
  <c r="AA23" i="47"/>
  <c r="AB23" i="47"/>
  <c r="AC23" i="47"/>
  <c r="AD23" i="47"/>
  <c r="AE23" i="47"/>
  <c r="AF23" i="47"/>
  <c r="AG23" i="47"/>
  <c r="D24" i="47"/>
  <c r="O24" i="47"/>
  <c r="P24" i="47"/>
  <c r="Q24" i="47"/>
  <c r="U24" i="47"/>
  <c r="V24" i="47"/>
  <c r="W24" i="47"/>
  <c r="X24" i="47"/>
  <c r="Y24" i="47"/>
  <c r="Z24" i="47"/>
  <c r="AA24" i="47"/>
  <c r="AB24" i="47"/>
  <c r="AC24" i="47"/>
  <c r="AD24" i="47"/>
  <c r="AE24" i="47"/>
  <c r="AF24" i="47"/>
  <c r="AG24" i="47"/>
  <c r="D25" i="47"/>
  <c r="O25" i="47"/>
  <c r="P25" i="47"/>
  <c r="Q25" i="47"/>
  <c r="U25" i="47"/>
  <c r="V25" i="47"/>
  <c r="W25" i="47"/>
  <c r="X25" i="47"/>
  <c r="Y25" i="47"/>
  <c r="Z25" i="47"/>
  <c r="AA25" i="47"/>
  <c r="AB25" i="47"/>
  <c r="AC25" i="47"/>
  <c r="AD25" i="47"/>
  <c r="AE25" i="47"/>
  <c r="AF25" i="47"/>
  <c r="AG25" i="47"/>
  <c r="D26" i="47"/>
  <c r="O26" i="47"/>
  <c r="P26" i="47"/>
  <c r="Q26" i="47"/>
  <c r="U26" i="47"/>
  <c r="V26" i="47"/>
  <c r="W26" i="47"/>
  <c r="X26" i="47"/>
  <c r="Y26" i="47"/>
  <c r="Z26" i="47"/>
  <c r="AA26" i="47"/>
  <c r="AB26" i="47"/>
  <c r="AC26" i="47"/>
  <c r="AD26" i="47"/>
  <c r="AE26" i="47"/>
  <c r="AF26" i="47"/>
  <c r="AG26" i="47"/>
  <c r="D27" i="47"/>
  <c r="O27" i="47"/>
  <c r="P27" i="47"/>
  <c r="Q27" i="47"/>
  <c r="U27" i="47"/>
  <c r="V27" i="47"/>
  <c r="W27" i="47"/>
  <c r="X27" i="47"/>
  <c r="Y27" i="47"/>
  <c r="Z27" i="47"/>
  <c r="AA27" i="47"/>
  <c r="AB27" i="47"/>
  <c r="AC27" i="47"/>
  <c r="AD27" i="47"/>
  <c r="AE27" i="47"/>
  <c r="AF27" i="47"/>
  <c r="AG27" i="47"/>
  <c r="D28" i="47"/>
  <c r="O28" i="47"/>
  <c r="P28" i="47"/>
  <c r="Q28" i="47"/>
  <c r="U28" i="47"/>
  <c r="V28" i="47"/>
  <c r="W28" i="47"/>
  <c r="X28" i="47"/>
  <c r="Y28" i="47"/>
  <c r="Z28" i="47"/>
  <c r="AA28" i="47"/>
  <c r="AB28" i="47"/>
  <c r="AC28" i="47"/>
  <c r="AD28" i="47"/>
  <c r="AE28" i="47"/>
  <c r="AF28" i="47"/>
  <c r="AG28" i="47"/>
  <c r="M38" i="48"/>
  <c r="I38" i="48"/>
  <c r="N38" i="48"/>
  <c r="S38" i="48"/>
  <c r="M37" i="48"/>
  <c r="I37" i="48"/>
  <c r="N37" i="48"/>
  <c r="S37" i="48"/>
  <c r="M36" i="48"/>
  <c r="I36" i="48"/>
  <c r="N36" i="48"/>
  <c r="S36" i="48"/>
  <c r="M35" i="48"/>
  <c r="I35" i="48"/>
  <c r="N35" i="48"/>
  <c r="S35" i="48"/>
  <c r="M34" i="48"/>
  <c r="I34" i="48"/>
  <c r="N34" i="48"/>
  <c r="S34" i="48"/>
  <c r="M33" i="48"/>
  <c r="I33" i="48"/>
  <c r="N33" i="48"/>
  <c r="S33" i="48"/>
  <c r="M32" i="48"/>
  <c r="I32" i="48"/>
  <c r="N32" i="48"/>
  <c r="S32" i="48"/>
  <c r="M31" i="48"/>
  <c r="I31" i="48"/>
  <c r="N31" i="48"/>
  <c r="S31" i="48"/>
  <c r="M30" i="48"/>
  <c r="I30" i="48"/>
  <c r="N30" i="48"/>
  <c r="S30" i="48"/>
  <c r="M29" i="48"/>
  <c r="I29" i="48"/>
  <c r="N29" i="48"/>
  <c r="S29" i="48"/>
  <c r="M28" i="48"/>
  <c r="I28" i="48"/>
  <c r="N28" i="48"/>
  <c r="S28" i="48"/>
  <c r="M27" i="48"/>
  <c r="I27" i="48"/>
  <c r="N27" i="48"/>
  <c r="S27" i="48"/>
  <c r="M26" i="48"/>
  <c r="I26" i="48"/>
  <c r="N26" i="48"/>
  <c r="S26" i="48"/>
  <c r="M25" i="48"/>
  <c r="I25" i="48"/>
  <c r="N25" i="48"/>
  <c r="S25" i="48"/>
  <c r="M24" i="48"/>
  <c r="I24" i="48"/>
  <c r="N24" i="48"/>
  <c r="S24" i="48"/>
  <c r="M23" i="48"/>
  <c r="I23" i="48"/>
  <c r="N23" i="48"/>
  <c r="S23" i="48"/>
  <c r="M22" i="48"/>
  <c r="I22" i="48"/>
  <c r="N22" i="48"/>
  <c r="S22" i="48"/>
  <c r="M21" i="48"/>
  <c r="I21" i="48"/>
  <c r="N21" i="48"/>
  <c r="S21" i="48"/>
  <c r="M20" i="48"/>
  <c r="I20" i="48"/>
  <c r="N20" i="48"/>
  <c r="S20" i="48"/>
  <c r="M19" i="48"/>
  <c r="I19" i="48"/>
  <c r="N19" i="48"/>
  <c r="S19" i="48"/>
  <c r="M18" i="48"/>
  <c r="I18" i="48"/>
  <c r="N18" i="48"/>
  <c r="S18" i="48"/>
  <c r="M17" i="48"/>
  <c r="I17" i="48"/>
  <c r="N17" i="48"/>
  <c r="S17" i="48"/>
  <c r="R38" i="48"/>
  <c r="R37" i="48"/>
  <c r="R36" i="48"/>
  <c r="R35" i="48"/>
  <c r="R34" i="48"/>
  <c r="R33" i="48"/>
  <c r="R32" i="48"/>
  <c r="R31" i="48"/>
  <c r="R30" i="48"/>
  <c r="R29" i="48"/>
  <c r="R28" i="48"/>
  <c r="R27" i="48"/>
  <c r="R26" i="48"/>
  <c r="R25" i="48"/>
  <c r="R24" i="48"/>
  <c r="R23" i="48"/>
  <c r="R22" i="48"/>
  <c r="R21" i="48"/>
  <c r="R20" i="48"/>
  <c r="R19" i="48"/>
  <c r="R18" i="48"/>
  <c r="R17" i="48"/>
  <c r="T38" i="48"/>
  <c r="T37" i="48"/>
  <c r="T36" i="48"/>
  <c r="T35" i="48"/>
  <c r="T34" i="48"/>
  <c r="T33" i="48"/>
  <c r="T32" i="48"/>
  <c r="T31" i="48"/>
  <c r="T30" i="48"/>
  <c r="T29" i="48"/>
  <c r="T28" i="48"/>
  <c r="T27" i="48"/>
  <c r="T26" i="48"/>
  <c r="T25" i="48"/>
  <c r="T24" i="48"/>
  <c r="T23" i="48"/>
  <c r="T22" i="48"/>
  <c r="T21" i="48"/>
  <c r="T20" i="48"/>
  <c r="T19" i="48"/>
  <c r="T18" i="48"/>
  <c r="T17" i="48"/>
  <c r="D17" i="48"/>
  <c r="O17" i="48"/>
  <c r="P17" i="48"/>
  <c r="Q17" i="48"/>
  <c r="U17" i="48"/>
  <c r="V17" i="48"/>
  <c r="W17" i="48"/>
  <c r="X17" i="48"/>
  <c r="Y17" i="48"/>
  <c r="Z17" i="48"/>
  <c r="AA17" i="48"/>
  <c r="AB17" i="48"/>
  <c r="AC17" i="48"/>
  <c r="AD17" i="48"/>
  <c r="AE17" i="48"/>
  <c r="AF17" i="48"/>
  <c r="AG17" i="48"/>
  <c r="D18" i="48"/>
  <c r="O18" i="48"/>
  <c r="P18" i="48"/>
  <c r="Q18" i="48"/>
  <c r="U18" i="48"/>
  <c r="V18" i="48"/>
  <c r="W18" i="48"/>
  <c r="X18" i="48"/>
  <c r="Y18" i="48"/>
  <c r="Z18" i="48"/>
  <c r="AA18" i="48"/>
  <c r="AB18" i="48"/>
  <c r="AC18" i="48"/>
  <c r="AD18" i="48"/>
  <c r="AE18" i="48"/>
  <c r="AF18" i="48"/>
  <c r="AG18" i="48"/>
  <c r="D19" i="48"/>
  <c r="O19" i="48"/>
  <c r="P19" i="48"/>
  <c r="Q19" i="48"/>
  <c r="U19" i="48"/>
  <c r="V19" i="48"/>
  <c r="W19" i="48"/>
  <c r="X19" i="48"/>
  <c r="Y19" i="48"/>
  <c r="Z19" i="48"/>
  <c r="AA19" i="48"/>
  <c r="AB19" i="48"/>
  <c r="AC19" i="48"/>
  <c r="AD19" i="48"/>
  <c r="AE19" i="48"/>
  <c r="AF19" i="48"/>
  <c r="AG19" i="48"/>
  <c r="D20" i="48"/>
  <c r="O20" i="48"/>
  <c r="P20" i="48"/>
  <c r="Q20" i="48"/>
  <c r="U20" i="48"/>
  <c r="V20" i="48"/>
  <c r="W20" i="48"/>
  <c r="X20" i="48"/>
  <c r="Y20" i="48"/>
  <c r="Z20" i="48"/>
  <c r="AA20" i="48"/>
  <c r="AB20" i="48"/>
  <c r="AC20" i="48"/>
  <c r="AD20" i="48"/>
  <c r="AE20" i="48"/>
  <c r="AF20" i="48"/>
  <c r="AG20" i="48"/>
  <c r="D21" i="48"/>
  <c r="O21" i="48"/>
  <c r="P21" i="48"/>
  <c r="Q21" i="48"/>
  <c r="U21" i="48"/>
  <c r="V21" i="48"/>
  <c r="W21" i="48"/>
  <c r="X21" i="48"/>
  <c r="Y21" i="48"/>
  <c r="Z21" i="48"/>
  <c r="AA21" i="48"/>
  <c r="AB21" i="48"/>
  <c r="AC21" i="48"/>
  <c r="AD21" i="48"/>
  <c r="AE21" i="48"/>
  <c r="AF21" i="48"/>
  <c r="AG21" i="48"/>
  <c r="D22" i="48"/>
  <c r="O22" i="48"/>
  <c r="P22" i="48"/>
  <c r="Q22" i="48"/>
  <c r="U22" i="48"/>
  <c r="V22" i="48"/>
  <c r="W22" i="48"/>
  <c r="X22" i="48"/>
  <c r="Y22" i="48"/>
  <c r="Z22" i="48"/>
  <c r="AA22" i="48"/>
  <c r="AB22" i="48"/>
  <c r="AC22" i="48"/>
  <c r="AD22" i="48"/>
  <c r="AE22" i="48"/>
  <c r="AF22" i="48"/>
  <c r="AG22" i="48"/>
  <c r="D23" i="48"/>
  <c r="O23" i="48"/>
  <c r="P23" i="48"/>
  <c r="Q23" i="48"/>
  <c r="U23" i="48"/>
  <c r="V23" i="48"/>
  <c r="W23" i="48"/>
  <c r="X23" i="48"/>
  <c r="Y23" i="48"/>
  <c r="Z23" i="48"/>
  <c r="AA23" i="48"/>
  <c r="AB23" i="48"/>
  <c r="AC23" i="48"/>
  <c r="AD23" i="48"/>
  <c r="AE23" i="48"/>
  <c r="AF23" i="48"/>
  <c r="AG23" i="48"/>
  <c r="D24" i="48"/>
  <c r="O24" i="48"/>
  <c r="P24" i="48"/>
  <c r="Q24" i="48"/>
  <c r="U24" i="48"/>
  <c r="V24" i="48"/>
  <c r="W24" i="48"/>
  <c r="X24" i="48"/>
  <c r="Y24" i="48"/>
  <c r="Z24" i="48"/>
  <c r="AA24" i="48"/>
  <c r="AB24" i="48"/>
  <c r="AC24" i="48"/>
  <c r="AD24" i="48"/>
  <c r="AE24" i="48"/>
  <c r="AF24" i="48"/>
  <c r="AG24" i="48"/>
  <c r="D25" i="48"/>
  <c r="O25" i="48"/>
  <c r="P25" i="48"/>
  <c r="Q25" i="48"/>
  <c r="U25" i="48"/>
  <c r="V25" i="48"/>
  <c r="W25" i="48"/>
  <c r="X25" i="48"/>
  <c r="Y25" i="48"/>
  <c r="Z25" i="48"/>
  <c r="AA25" i="48"/>
  <c r="AB25" i="48"/>
  <c r="AC25" i="48"/>
  <c r="AD25" i="48"/>
  <c r="AE25" i="48"/>
  <c r="AF25" i="48"/>
  <c r="AG25" i="48"/>
  <c r="D26" i="48"/>
  <c r="O26" i="48"/>
  <c r="P26" i="48"/>
  <c r="Q26" i="48"/>
  <c r="U26" i="48"/>
  <c r="V26" i="48"/>
  <c r="W26" i="48"/>
  <c r="X26" i="48"/>
  <c r="Y26" i="48"/>
  <c r="Z26" i="48"/>
  <c r="AA26" i="48"/>
  <c r="AB26" i="48"/>
  <c r="AC26" i="48"/>
  <c r="AD26" i="48"/>
  <c r="AE26" i="48"/>
  <c r="AF26" i="48"/>
  <c r="AG26" i="48"/>
  <c r="D27" i="48"/>
  <c r="O27" i="48"/>
  <c r="P27" i="48"/>
  <c r="Q27" i="48"/>
  <c r="U27" i="48"/>
  <c r="V27" i="48"/>
  <c r="W27" i="48"/>
  <c r="X27" i="48"/>
  <c r="Y27" i="48"/>
  <c r="Z27" i="48"/>
  <c r="AA27" i="48"/>
  <c r="AB27" i="48"/>
  <c r="AC27" i="48"/>
  <c r="AD27" i="48"/>
  <c r="AE27" i="48"/>
  <c r="AF27" i="48"/>
  <c r="AG27" i="48"/>
  <c r="D28" i="48"/>
  <c r="O28" i="48"/>
  <c r="P28" i="48"/>
  <c r="Q28" i="48"/>
  <c r="U28" i="48"/>
  <c r="V28" i="48"/>
  <c r="W28" i="48"/>
  <c r="X28" i="48"/>
  <c r="Y28" i="48"/>
  <c r="Z28" i="48"/>
  <c r="AA28" i="48"/>
  <c r="AB28" i="48"/>
  <c r="AC28" i="48"/>
  <c r="AD28" i="48"/>
  <c r="AE28" i="48"/>
  <c r="AF28" i="48"/>
  <c r="AG28" i="48"/>
  <c r="D29" i="48"/>
  <c r="O29" i="48"/>
  <c r="P29" i="48"/>
  <c r="Q29" i="48"/>
  <c r="U29" i="48"/>
  <c r="V29" i="48"/>
  <c r="W29" i="48"/>
  <c r="X29" i="48"/>
  <c r="Y29" i="48"/>
  <c r="Z29" i="48"/>
  <c r="AA29" i="48"/>
  <c r="AB29" i="48"/>
  <c r="AC29" i="48"/>
  <c r="AD29" i="48"/>
  <c r="AE29" i="48"/>
  <c r="AF29" i="48"/>
  <c r="AG29" i="48"/>
  <c r="D30" i="48"/>
  <c r="O30" i="48"/>
  <c r="P30" i="48"/>
  <c r="Q30" i="48"/>
  <c r="U30" i="48"/>
  <c r="V30" i="48"/>
  <c r="W30" i="48"/>
  <c r="X30" i="48"/>
  <c r="Y30" i="48"/>
  <c r="Z30" i="48"/>
  <c r="AA30" i="48"/>
  <c r="AB30" i="48"/>
  <c r="AC30" i="48"/>
  <c r="AD30" i="48"/>
  <c r="AE30" i="48"/>
  <c r="AF30" i="48"/>
  <c r="AG30" i="48"/>
  <c r="D31" i="48"/>
  <c r="O31" i="48"/>
  <c r="P31" i="48"/>
  <c r="Q31" i="48"/>
  <c r="U31" i="48"/>
  <c r="V31" i="48"/>
  <c r="W31" i="48"/>
  <c r="X31" i="48"/>
  <c r="Y31" i="48"/>
  <c r="Z31" i="48"/>
  <c r="AA31" i="48"/>
  <c r="AB31" i="48"/>
  <c r="AC31" i="48"/>
  <c r="AD31" i="48"/>
  <c r="AE31" i="48"/>
  <c r="AF31" i="48"/>
  <c r="AG31" i="48"/>
  <c r="D32" i="48"/>
  <c r="O32" i="48"/>
  <c r="P32" i="48"/>
  <c r="Q32" i="48"/>
  <c r="U32" i="48"/>
  <c r="V32" i="48"/>
  <c r="W32" i="48"/>
  <c r="X32" i="48"/>
  <c r="Y32" i="48"/>
  <c r="Z32" i="48"/>
  <c r="AA32" i="48"/>
  <c r="AB32" i="48"/>
  <c r="AC32" i="48"/>
  <c r="AD32" i="48"/>
  <c r="AE32" i="48"/>
  <c r="AF32" i="48"/>
  <c r="AG32" i="48"/>
  <c r="D33" i="48"/>
  <c r="O33" i="48"/>
  <c r="P33" i="48"/>
  <c r="Q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D34" i="48"/>
  <c r="O34" i="48"/>
  <c r="P34" i="48"/>
  <c r="Q34" i="48"/>
  <c r="U34" i="48"/>
  <c r="V34" i="48"/>
  <c r="W34" i="48"/>
  <c r="X34" i="48"/>
  <c r="Y34" i="48"/>
  <c r="Z34" i="48"/>
  <c r="AA34" i="48"/>
  <c r="AB34" i="48"/>
  <c r="AC34" i="48"/>
  <c r="AD34" i="48"/>
  <c r="AE34" i="48"/>
  <c r="AF34" i="48"/>
  <c r="AG34" i="48"/>
  <c r="D35" i="48"/>
  <c r="O35" i="48"/>
  <c r="P35" i="48"/>
  <c r="Q35" i="48"/>
  <c r="U35" i="48"/>
  <c r="V35" i="48"/>
  <c r="W35" i="48"/>
  <c r="X35" i="48"/>
  <c r="Y35" i="48"/>
  <c r="Z35" i="48"/>
  <c r="AA35" i="48"/>
  <c r="AB35" i="48"/>
  <c r="AC35" i="48"/>
  <c r="AD35" i="48"/>
  <c r="AE35" i="48"/>
  <c r="AF35" i="48"/>
  <c r="AG35" i="48"/>
  <c r="D36" i="48"/>
  <c r="O36" i="48"/>
  <c r="P36" i="48"/>
  <c r="Q36" i="48"/>
  <c r="U36" i="48"/>
  <c r="V36" i="48"/>
  <c r="W36" i="48"/>
  <c r="X36" i="48"/>
  <c r="Y36" i="48"/>
  <c r="Z36" i="48"/>
  <c r="AA36" i="48"/>
  <c r="AB36" i="48"/>
  <c r="AC36" i="48"/>
  <c r="AD36" i="48"/>
  <c r="AE36" i="48"/>
  <c r="AF36" i="48"/>
  <c r="AG36" i="48"/>
  <c r="D37" i="48"/>
  <c r="O37" i="48"/>
  <c r="P37" i="48"/>
  <c r="Q37" i="48"/>
  <c r="U37" i="48"/>
  <c r="V37" i="48"/>
  <c r="W37" i="48"/>
  <c r="X37" i="48"/>
  <c r="Y37" i="48"/>
  <c r="Z37" i="48"/>
  <c r="AA37" i="48"/>
  <c r="AB37" i="48"/>
  <c r="AC37" i="48"/>
  <c r="AD37" i="48"/>
  <c r="AE37" i="48"/>
  <c r="AF37" i="48"/>
  <c r="AG37" i="48"/>
  <c r="D38" i="48"/>
  <c r="O38" i="48"/>
  <c r="P38" i="48"/>
  <c r="Q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D17" i="59"/>
  <c r="I17" i="59"/>
  <c r="M17" i="59"/>
  <c r="N17" i="59"/>
  <c r="O17" i="59"/>
  <c r="P17" i="59"/>
  <c r="Q17" i="59"/>
  <c r="M114" i="59"/>
  <c r="I114" i="59"/>
  <c r="N114" i="59"/>
  <c r="S114" i="59"/>
  <c r="M113" i="59"/>
  <c r="I113" i="59"/>
  <c r="N113" i="59"/>
  <c r="S113" i="59"/>
  <c r="M112" i="59"/>
  <c r="I112" i="59"/>
  <c r="N112" i="59"/>
  <c r="S112" i="59"/>
  <c r="M111" i="59"/>
  <c r="I111" i="59"/>
  <c r="N111" i="59"/>
  <c r="S111" i="59"/>
  <c r="M110" i="59"/>
  <c r="I110" i="59"/>
  <c r="N110" i="59"/>
  <c r="S110" i="59"/>
  <c r="M109" i="59"/>
  <c r="I109" i="59"/>
  <c r="N109" i="59"/>
  <c r="S109" i="59"/>
  <c r="M108" i="59"/>
  <c r="I108" i="59"/>
  <c r="N108" i="59"/>
  <c r="S108" i="59"/>
  <c r="M107" i="59"/>
  <c r="I107" i="59"/>
  <c r="N107" i="59"/>
  <c r="S107" i="59"/>
  <c r="M106" i="59"/>
  <c r="I106" i="59"/>
  <c r="N106" i="59"/>
  <c r="S106" i="59"/>
  <c r="M105" i="59"/>
  <c r="I105" i="59"/>
  <c r="N105" i="59"/>
  <c r="S105" i="59"/>
  <c r="M104" i="59"/>
  <c r="I104" i="59"/>
  <c r="N104" i="59"/>
  <c r="S104" i="59"/>
  <c r="M103" i="59"/>
  <c r="I103" i="59"/>
  <c r="N103" i="59"/>
  <c r="S103" i="59"/>
  <c r="M102" i="59"/>
  <c r="I102" i="59"/>
  <c r="N102" i="59"/>
  <c r="S102" i="59"/>
  <c r="M101" i="59"/>
  <c r="I101" i="59"/>
  <c r="N101" i="59"/>
  <c r="S101" i="59"/>
  <c r="M100" i="59"/>
  <c r="I100" i="59"/>
  <c r="N100" i="59"/>
  <c r="S100" i="59"/>
  <c r="M99" i="59"/>
  <c r="I99" i="59"/>
  <c r="N99" i="59"/>
  <c r="S99" i="59"/>
  <c r="M98" i="59"/>
  <c r="I98" i="59"/>
  <c r="N98" i="59"/>
  <c r="S98" i="59"/>
  <c r="M97" i="59"/>
  <c r="I97" i="59"/>
  <c r="N97" i="59"/>
  <c r="S97" i="59"/>
  <c r="M96" i="59"/>
  <c r="I96" i="59"/>
  <c r="N96" i="59"/>
  <c r="S96" i="59"/>
  <c r="M95" i="59"/>
  <c r="I95" i="59"/>
  <c r="N95" i="59"/>
  <c r="S95" i="59"/>
  <c r="M94" i="59"/>
  <c r="I94" i="59"/>
  <c r="N94" i="59"/>
  <c r="S94" i="59"/>
  <c r="M93" i="59"/>
  <c r="I93" i="59"/>
  <c r="N93" i="59"/>
  <c r="S93" i="59"/>
  <c r="M92" i="59"/>
  <c r="I92" i="59"/>
  <c r="N92" i="59"/>
  <c r="S92" i="59"/>
  <c r="M91" i="59"/>
  <c r="I91" i="59"/>
  <c r="N91" i="59"/>
  <c r="S91" i="59"/>
  <c r="M90" i="59"/>
  <c r="I90" i="59"/>
  <c r="N90" i="59"/>
  <c r="S90" i="59"/>
  <c r="M89" i="59"/>
  <c r="I89" i="59"/>
  <c r="N89" i="59"/>
  <c r="S89" i="59"/>
  <c r="M88" i="59"/>
  <c r="I88" i="59"/>
  <c r="N88" i="59"/>
  <c r="S88" i="59"/>
  <c r="M87" i="59"/>
  <c r="I87" i="59"/>
  <c r="N87" i="59"/>
  <c r="S87" i="59"/>
  <c r="M86" i="59"/>
  <c r="I86" i="59"/>
  <c r="N86" i="59"/>
  <c r="S86" i="59"/>
  <c r="M85" i="59"/>
  <c r="I85" i="59"/>
  <c r="N85" i="59"/>
  <c r="S85" i="59"/>
  <c r="M84" i="59"/>
  <c r="I84" i="59"/>
  <c r="N84" i="59"/>
  <c r="S84" i="59"/>
  <c r="M83" i="59"/>
  <c r="I83" i="59"/>
  <c r="N83" i="59"/>
  <c r="S83" i="59"/>
  <c r="M82" i="59"/>
  <c r="I82" i="59"/>
  <c r="N82" i="59"/>
  <c r="S82" i="59"/>
  <c r="M81" i="59"/>
  <c r="I81" i="59"/>
  <c r="N81" i="59"/>
  <c r="S81" i="59"/>
  <c r="M80" i="59"/>
  <c r="I80" i="59"/>
  <c r="N80" i="59"/>
  <c r="S80" i="59"/>
  <c r="M79" i="59"/>
  <c r="I79" i="59"/>
  <c r="N79" i="59"/>
  <c r="S79" i="59"/>
  <c r="M78" i="59"/>
  <c r="I78" i="59"/>
  <c r="N78" i="59"/>
  <c r="S78" i="59"/>
  <c r="M77" i="59"/>
  <c r="I77" i="59"/>
  <c r="N77" i="59"/>
  <c r="S77" i="59"/>
  <c r="M76" i="59"/>
  <c r="I76" i="59"/>
  <c r="N76" i="59"/>
  <c r="S76" i="59"/>
  <c r="M75" i="59"/>
  <c r="I75" i="59"/>
  <c r="N75" i="59"/>
  <c r="S75" i="59"/>
  <c r="M74" i="59"/>
  <c r="I74" i="59"/>
  <c r="N74" i="59"/>
  <c r="S74" i="59"/>
  <c r="M73" i="59"/>
  <c r="I73" i="59"/>
  <c r="N73" i="59"/>
  <c r="S73" i="59"/>
  <c r="M72" i="59"/>
  <c r="I72" i="59"/>
  <c r="N72" i="59"/>
  <c r="S72" i="59"/>
  <c r="M71" i="59"/>
  <c r="I71" i="59"/>
  <c r="N71" i="59"/>
  <c r="S71" i="59"/>
  <c r="M70" i="59"/>
  <c r="I70" i="59"/>
  <c r="N70" i="59"/>
  <c r="S70" i="59"/>
  <c r="M69" i="59"/>
  <c r="I69" i="59"/>
  <c r="N69" i="59"/>
  <c r="S69" i="59"/>
  <c r="M68" i="59"/>
  <c r="I68" i="59"/>
  <c r="N68" i="59"/>
  <c r="S68" i="59"/>
  <c r="M67" i="59"/>
  <c r="I67" i="59"/>
  <c r="N67" i="59"/>
  <c r="S67" i="59"/>
  <c r="M66" i="59"/>
  <c r="I66" i="59"/>
  <c r="N66" i="59"/>
  <c r="S66" i="59"/>
  <c r="M65" i="59"/>
  <c r="I65" i="59"/>
  <c r="N65" i="59"/>
  <c r="S65" i="59"/>
  <c r="M64" i="59"/>
  <c r="I64" i="59"/>
  <c r="N64" i="59"/>
  <c r="S64" i="59"/>
  <c r="M63" i="59"/>
  <c r="I63" i="59"/>
  <c r="N63" i="59"/>
  <c r="S63" i="59"/>
  <c r="M62" i="59"/>
  <c r="I62" i="59"/>
  <c r="N62" i="59"/>
  <c r="S62" i="59"/>
  <c r="M61" i="59"/>
  <c r="I61" i="59"/>
  <c r="N61" i="59"/>
  <c r="S61" i="59"/>
  <c r="M60" i="59"/>
  <c r="I60" i="59"/>
  <c r="N60" i="59"/>
  <c r="S60" i="59"/>
  <c r="M59" i="59"/>
  <c r="I59" i="59"/>
  <c r="N59" i="59"/>
  <c r="S59" i="59"/>
  <c r="M58" i="59"/>
  <c r="I58" i="59"/>
  <c r="N58" i="59"/>
  <c r="S58" i="59"/>
  <c r="M57" i="59"/>
  <c r="I57" i="59"/>
  <c r="N57" i="59"/>
  <c r="S57" i="59"/>
  <c r="M56" i="59"/>
  <c r="I56" i="59"/>
  <c r="N56" i="59"/>
  <c r="S56" i="59"/>
  <c r="M55" i="59"/>
  <c r="I55" i="59"/>
  <c r="N55" i="59"/>
  <c r="S55" i="59"/>
  <c r="M54" i="59"/>
  <c r="I54" i="59"/>
  <c r="N54" i="59"/>
  <c r="S54" i="59"/>
  <c r="M53" i="59"/>
  <c r="I53" i="59"/>
  <c r="N53" i="59"/>
  <c r="S53" i="59"/>
  <c r="M52" i="59"/>
  <c r="I52" i="59"/>
  <c r="N52" i="59"/>
  <c r="S52" i="59"/>
  <c r="M51" i="59"/>
  <c r="I51" i="59"/>
  <c r="N51" i="59"/>
  <c r="S51" i="59"/>
  <c r="M50" i="59"/>
  <c r="I50" i="59"/>
  <c r="N50" i="59"/>
  <c r="S50" i="59"/>
  <c r="M49" i="59"/>
  <c r="I49" i="59"/>
  <c r="N49" i="59"/>
  <c r="S49" i="59"/>
  <c r="M48" i="59"/>
  <c r="I48" i="59"/>
  <c r="N48" i="59"/>
  <c r="S48" i="59"/>
  <c r="M47" i="59"/>
  <c r="I47" i="59"/>
  <c r="N47" i="59"/>
  <c r="S47" i="59"/>
  <c r="M46" i="59"/>
  <c r="I46" i="59"/>
  <c r="N46" i="59"/>
  <c r="S46" i="59"/>
  <c r="M45" i="59"/>
  <c r="I45" i="59"/>
  <c r="N45" i="59"/>
  <c r="S45" i="59"/>
  <c r="M44" i="59"/>
  <c r="I44" i="59"/>
  <c r="N44" i="59"/>
  <c r="S44" i="59"/>
  <c r="M43" i="59"/>
  <c r="I43" i="59"/>
  <c r="N43" i="59"/>
  <c r="S43" i="59"/>
  <c r="M42" i="59"/>
  <c r="I42" i="59"/>
  <c r="N42" i="59"/>
  <c r="S42" i="59"/>
  <c r="M41" i="59"/>
  <c r="I41" i="59"/>
  <c r="N41" i="59"/>
  <c r="S41" i="59"/>
  <c r="M40" i="59"/>
  <c r="I40" i="59"/>
  <c r="N40" i="59"/>
  <c r="S40" i="59"/>
  <c r="M39" i="59"/>
  <c r="I39" i="59"/>
  <c r="N39" i="59"/>
  <c r="S39" i="59"/>
  <c r="M38" i="59"/>
  <c r="I38" i="59"/>
  <c r="N38" i="59"/>
  <c r="S38" i="59"/>
  <c r="M37" i="59"/>
  <c r="I37" i="59"/>
  <c r="N37" i="59"/>
  <c r="S37" i="59"/>
  <c r="M36" i="59"/>
  <c r="I36" i="59"/>
  <c r="N36" i="59"/>
  <c r="S36" i="59"/>
  <c r="M35" i="59"/>
  <c r="I35" i="59"/>
  <c r="N35" i="59"/>
  <c r="S35" i="59"/>
  <c r="M34" i="59"/>
  <c r="I34" i="59"/>
  <c r="N34" i="59"/>
  <c r="S34" i="59"/>
  <c r="M33" i="59"/>
  <c r="I33" i="59"/>
  <c r="N33" i="59"/>
  <c r="S33" i="59"/>
  <c r="M32" i="59"/>
  <c r="I32" i="59"/>
  <c r="N32" i="59"/>
  <c r="S32" i="59"/>
  <c r="M31" i="59"/>
  <c r="I31" i="59"/>
  <c r="N31" i="59"/>
  <c r="S31" i="59"/>
  <c r="M30" i="59"/>
  <c r="I30" i="59"/>
  <c r="N30" i="59"/>
  <c r="S30" i="59"/>
  <c r="M29" i="59"/>
  <c r="I29" i="59"/>
  <c r="N29" i="59"/>
  <c r="S29" i="59"/>
  <c r="M28" i="59"/>
  <c r="I28" i="59"/>
  <c r="N28" i="59"/>
  <c r="S28" i="59"/>
  <c r="M27" i="59"/>
  <c r="I27" i="59"/>
  <c r="N27" i="59"/>
  <c r="S27" i="59"/>
  <c r="M26" i="59"/>
  <c r="I26" i="59"/>
  <c r="N26" i="59"/>
  <c r="S26" i="59"/>
  <c r="M25" i="59"/>
  <c r="I25" i="59"/>
  <c r="N25" i="59"/>
  <c r="S25" i="59"/>
  <c r="M24" i="59"/>
  <c r="I24" i="59"/>
  <c r="N24" i="59"/>
  <c r="S24" i="59"/>
  <c r="M23" i="59"/>
  <c r="I23" i="59"/>
  <c r="N23" i="59"/>
  <c r="S23" i="59"/>
  <c r="M22" i="59"/>
  <c r="I22" i="59"/>
  <c r="N22" i="59"/>
  <c r="S22" i="59"/>
  <c r="M21" i="59"/>
  <c r="I21" i="59"/>
  <c r="N21" i="59"/>
  <c r="S21" i="59"/>
  <c r="M20" i="59"/>
  <c r="I20" i="59"/>
  <c r="N20" i="59"/>
  <c r="S20" i="59"/>
  <c r="M19" i="59"/>
  <c r="I19" i="59"/>
  <c r="N19" i="59"/>
  <c r="S19" i="59"/>
  <c r="M18" i="59"/>
  <c r="I18" i="59"/>
  <c r="N18" i="59"/>
  <c r="S18" i="59"/>
  <c r="R114" i="59"/>
  <c r="R113" i="59"/>
  <c r="R112" i="59"/>
  <c r="R111" i="59"/>
  <c r="R110" i="59"/>
  <c r="R109" i="59"/>
  <c r="R108" i="59"/>
  <c r="R107" i="59"/>
  <c r="R106" i="59"/>
  <c r="R105" i="59"/>
  <c r="R104" i="59"/>
  <c r="R103" i="59"/>
  <c r="R102" i="59"/>
  <c r="R101" i="59"/>
  <c r="R100" i="59"/>
  <c r="R99" i="59"/>
  <c r="R98" i="59"/>
  <c r="R97" i="59"/>
  <c r="R96" i="59"/>
  <c r="R95" i="59"/>
  <c r="R94" i="59"/>
  <c r="R93" i="59"/>
  <c r="R92" i="59"/>
  <c r="R91" i="59"/>
  <c r="R90" i="59"/>
  <c r="R89" i="59"/>
  <c r="R88" i="59"/>
  <c r="R87" i="59"/>
  <c r="R86" i="59"/>
  <c r="R85" i="59"/>
  <c r="R84" i="59"/>
  <c r="R83" i="59"/>
  <c r="R82" i="59"/>
  <c r="R81" i="59"/>
  <c r="R80" i="59"/>
  <c r="R79" i="59"/>
  <c r="R78" i="59"/>
  <c r="R77" i="59"/>
  <c r="R76" i="59"/>
  <c r="R75" i="59"/>
  <c r="R74" i="59"/>
  <c r="R73" i="59"/>
  <c r="R72" i="59"/>
  <c r="R71" i="59"/>
  <c r="R70" i="59"/>
  <c r="R69" i="59"/>
  <c r="R68" i="59"/>
  <c r="R67" i="59"/>
  <c r="R66" i="59"/>
  <c r="R65" i="59"/>
  <c r="R64" i="59"/>
  <c r="R63" i="59"/>
  <c r="R62" i="59"/>
  <c r="R61" i="59"/>
  <c r="R60" i="59"/>
  <c r="R59" i="59"/>
  <c r="R58" i="59"/>
  <c r="R57" i="59"/>
  <c r="R56" i="59"/>
  <c r="R55" i="59"/>
  <c r="R54" i="59"/>
  <c r="R53" i="59"/>
  <c r="R52" i="59"/>
  <c r="R51" i="59"/>
  <c r="R50" i="59"/>
  <c r="R49" i="59"/>
  <c r="R48" i="59"/>
  <c r="R47" i="59"/>
  <c r="R46" i="59"/>
  <c r="R45" i="59"/>
  <c r="R44" i="59"/>
  <c r="R43" i="59"/>
  <c r="R42" i="59"/>
  <c r="R41" i="59"/>
  <c r="R40" i="59"/>
  <c r="R39" i="59"/>
  <c r="R38" i="59"/>
  <c r="R37" i="59"/>
  <c r="R36" i="59"/>
  <c r="R35" i="59"/>
  <c r="R34" i="59"/>
  <c r="R33" i="59"/>
  <c r="R32" i="59"/>
  <c r="R31" i="59"/>
  <c r="R30" i="59"/>
  <c r="R29" i="59"/>
  <c r="R28" i="59"/>
  <c r="R27" i="59"/>
  <c r="R26" i="59"/>
  <c r="R25" i="59"/>
  <c r="R24" i="59"/>
  <c r="R23" i="59"/>
  <c r="R22" i="59"/>
  <c r="R21" i="59"/>
  <c r="R20" i="59"/>
  <c r="R19" i="59"/>
  <c r="R18" i="59"/>
  <c r="R17" i="59"/>
  <c r="S17" i="59"/>
  <c r="T114" i="59"/>
  <c r="T113" i="59"/>
  <c r="T112" i="59"/>
  <c r="T111" i="59"/>
  <c r="T110" i="59"/>
  <c r="T109" i="59"/>
  <c r="T108" i="59"/>
  <c r="T107" i="59"/>
  <c r="T106" i="59"/>
  <c r="T105" i="59"/>
  <c r="T104" i="59"/>
  <c r="T103" i="59"/>
  <c r="T102" i="59"/>
  <c r="T101" i="59"/>
  <c r="T100" i="59"/>
  <c r="T99" i="59"/>
  <c r="T98" i="59"/>
  <c r="T97" i="59"/>
  <c r="T96" i="59"/>
  <c r="T95" i="59"/>
  <c r="T94" i="59"/>
  <c r="T93" i="59"/>
  <c r="T92" i="59"/>
  <c r="T91" i="59"/>
  <c r="T90" i="59"/>
  <c r="T89" i="59"/>
  <c r="T88" i="59"/>
  <c r="T87" i="59"/>
  <c r="T86" i="59"/>
  <c r="T85" i="59"/>
  <c r="T84" i="59"/>
  <c r="T83" i="59"/>
  <c r="T82" i="59"/>
  <c r="T81" i="59"/>
  <c r="T80" i="59"/>
  <c r="T79" i="59"/>
  <c r="T78" i="59"/>
  <c r="T77" i="59"/>
  <c r="T76" i="59"/>
  <c r="T75" i="59"/>
  <c r="T74" i="59"/>
  <c r="T73" i="59"/>
  <c r="T72" i="59"/>
  <c r="T71" i="59"/>
  <c r="T70" i="59"/>
  <c r="T69" i="59"/>
  <c r="T68" i="59"/>
  <c r="T67" i="59"/>
  <c r="T66" i="59"/>
  <c r="T65" i="59"/>
  <c r="T64" i="59"/>
  <c r="T63" i="59"/>
  <c r="T62" i="59"/>
  <c r="T61" i="59"/>
  <c r="T60" i="59"/>
  <c r="T59" i="59"/>
  <c r="T58" i="59"/>
  <c r="T57" i="59"/>
  <c r="T56" i="59"/>
  <c r="T55" i="59"/>
  <c r="T54" i="59"/>
  <c r="T53" i="59"/>
  <c r="T52" i="59"/>
  <c r="T51" i="59"/>
  <c r="T50" i="59"/>
  <c r="T49" i="59"/>
  <c r="T48" i="59"/>
  <c r="T47" i="59"/>
  <c r="T46" i="59"/>
  <c r="T45" i="59"/>
  <c r="T44" i="59"/>
  <c r="T43" i="59"/>
  <c r="T42" i="59"/>
  <c r="T41" i="59"/>
  <c r="T40" i="59"/>
  <c r="T39" i="59"/>
  <c r="T38" i="59"/>
  <c r="T37" i="59"/>
  <c r="T36" i="59"/>
  <c r="T35" i="59"/>
  <c r="T34" i="59"/>
  <c r="T33" i="59"/>
  <c r="T32" i="59"/>
  <c r="T31" i="59"/>
  <c r="T30" i="59"/>
  <c r="T29" i="59"/>
  <c r="T28" i="59"/>
  <c r="T27" i="59"/>
  <c r="T26" i="59"/>
  <c r="T25" i="59"/>
  <c r="T24" i="59"/>
  <c r="T23" i="59"/>
  <c r="T22" i="59"/>
  <c r="T21" i="59"/>
  <c r="T20" i="59"/>
  <c r="T19" i="59"/>
  <c r="T18" i="59"/>
  <c r="T17" i="59"/>
  <c r="U17" i="59"/>
  <c r="V17" i="59"/>
  <c r="W17" i="59"/>
  <c r="X17" i="59"/>
  <c r="Y17" i="59"/>
  <c r="Z17" i="59"/>
  <c r="AA17" i="59"/>
  <c r="AB17" i="59"/>
  <c r="AC17" i="59"/>
  <c r="AD17" i="59"/>
  <c r="AE17" i="59"/>
  <c r="AF17" i="59"/>
  <c r="AG17" i="59"/>
  <c r="D18" i="59"/>
  <c r="O18" i="59"/>
  <c r="P18" i="59"/>
  <c r="Q18" i="59"/>
  <c r="U18" i="59"/>
  <c r="V18" i="59"/>
  <c r="W18" i="59"/>
  <c r="X18" i="59"/>
  <c r="Y18" i="59"/>
  <c r="Z18" i="59"/>
  <c r="AA18" i="59"/>
  <c r="AB18" i="59"/>
  <c r="AC18" i="59"/>
  <c r="AD18" i="59"/>
  <c r="AE18" i="59"/>
  <c r="AF18" i="59"/>
  <c r="AG18" i="59"/>
  <c r="D19" i="59"/>
  <c r="O19" i="59"/>
  <c r="P19" i="59"/>
  <c r="Q19" i="59"/>
  <c r="U19" i="59"/>
  <c r="V19" i="59"/>
  <c r="W19" i="59"/>
  <c r="X19" i="59"/>
  <c r="Y19" i="59"/>
  <c r="Z19" i="59"/>
  <c r="AA19" i="59"/>
  <c r="AB19" i="59"/>
  <c r="AC19" i="59"/>
  <c r="AD19" i="59"/>
  <c r="AE19" i="59"/>
  <c r="AF19" i="59"/>
  <c r="AG19" i="59"/>
  <c r="D20" i="59"/>
  <c r="O20" i="59"/>
  <c r="P20" i="59"/>
  <c r="Q20" i="59"/>
  <c r="U20" i="59"/>
  <c r="V20" i="59"/>
  <c r="W20" i="59"/>
  <c r="X20" i="59"/>
  <c r="Y20" i="59"/>
  <c r="Z20" i="59"/>
  <c r="AA20" i="59"/>
  <c r="AB20" i="59"/>
  <c r="AC20" i="59"/>
  <c r="AD20" i="59"/>
  <c r="AE20" i="59"/>
  <c r="AF20" i="59"/>
  <c r="AG20" i="59"/>
  <c r="D21" i="59"/>
  <c r="O21" i="59"/>
  <c r="P21" i="59"/>
  <c r="Q21" i="59"/>
  <c r="U21" i="59"/>
  <c r="V21" i="59"/>
  <c r="W21" i="59"/>
  <c r="X21" i="59"/>
  <c r="Y21" i="59"/>
  <c r="Z21" i="59"/>
  <c r="AA21" i="59"/>
  <c r="AB21" i="59"/>
  <c r="AC21" i="59"/>
  <c r="AD21" i="59"/>
  <c r="AE21" i="59"/>
  <c r="AF21" i="59"/>
  <c r="AG21" i="59"/>
  <c r="D22" i="59"/>
  <c r="O22" i="59"/>
  <c r="P22" i="59"/>
  <c r="Q22" i="59"/>
  <c r="U22" i="59"/>
  <c r="V22" i="59"/>
  <c r="W22" i="59"/>
  <c r="X22" i="59"/>
  <c r="Y22" i="59"/>
  <c r="Z22" i="59"/>
  <c r="AA22" i="59"/>
  <c r="AB22" i="59"/>
  <c r="AC22" i="59"/>
  <c r="AD22" i="59"/>
  <c r="AE22" i="59"/>
  <c r="AF22" i="59"/>
  <c r="AG22" i="59"/>
  <c r="D23" i="59"/>
  <c r="O23" i="59"/>
  <c r="P23" i="59"/>
  <c r="Q23" i="59"/>
  <c r="U23" i="59"/>
  <c r="V23" i="59"/>
  <c r="W23" i="59"/>
  <c r="X23" i="59"/>
  <c r="Y23" i="59"/>
  <c r="Z23" i="59"/>
  <c r="AA23" i="59"/>
  <c r="AB23" i="59"/>
  <c r="AC23" i="59"/>
  <c r="AD23" i="59"/>
  <c r="AE23" i="59"/>
  <c r="AF23" i="59"/>
  <c r="AG23" i="59"/>
  <c r="D24" i="59"/>
  <c r="O24" i="59"/>
  <c r="P24" i="59"/>
  <c r="Q24" i="59"/>
  <c r="U24" i="59"/>
  <c r="V24" i="59"/>
  <c r="W24" i="59"/>
  <c r="X24" i="59"/>
  <c r="Y24" i="59"/>
  <c r="Z24" i="59"/>
  <c r="AA24" i="59"/>
  <c r="AB24" i="59"/>
  <c r="AC24" i="59"/>
  <c r="AD24" i="59"/>
  <c r="AE24" i="59"/>
  <c r="AF24" i="59"/>
  <c r="AG24" i="59"/>
  <c r="D25" i="59"/>
  <c r="O25" i="59"/>
  <c r="P25" i="59"/>
  <c r="Q25" i="59"/>
  <c r="U25" i="59"/>
  <c r="V25" i="59"/>
  <c r="W25" i="59"/>
  <c r="X25" i="59"/>
  <c r="Y25" i="59"/>
  <c r="Z25" i="59"/>
  <c r="AA25" i="59"/>
  <c r="AB25" i="59"/>
  <c r="AC25" i="59"/>
  <c r="AD25" i="59"/>
  <c r="AE25" i="59"/>
  <c r="AF25" i="59"/>
  <c r="AG25" i="59"/>
  <c r="D26" i="59"/>
  <c r="O26" i="59"/>
  <c r="P26" i="59"/>
  <c r="Q26" i="59"/>
  <c r="U26" i="59"/>
  <c r="V26" i="59"/>
  <c r="W26" i="59"/>
  <c r="X26" i="59"/>
  <c r="Y26" i="59"/>
  <c r="Z26" i="59"/>
  <c r="AA26" i="59"/>
  <c r="AB26" i="59"/>
  <c r="AC26" i="59"/>
  <c r="AD26" i="59"/>
  <c r="AE26" i="59"/>
  <c r="AF26" i="59"/>
  <c r="AG26" i="59"/>
  <c r="D27" i="59"/>
  <c r="O27" i="59"/>
  <c r="P27" i="59"/>
  <c r="Q27" i="59"/>
  <c r="U27" i="59"/>
  <c r="V27" i="59"/>
  <c r="W27" i="59"/>
  <c r="X27" i="59"/>
  <c r="Y27" i="59"/>
  <c r="Z27" i="59"/>
  <c r="AA27" i="59"/>
  <c r="AB27" i="59"/>
  <c r="AC27" i="59"/>
  <c r="AD27" i="59"/>
  <c r="AE27" i="59"/>
  <c r="AF27" i="59"/>
  <c r="AG27" i="59"/>
  <c r="D28" i="59"/>
  <c r="O28" i="59"/>
  <c r="P28" i="59"/>
  <c r="Q28" i="59"/>
  <c r="U28" i="59"/>
  <c r="V28" i="59"/>
  <c r="W28" i="59"/>
  <c r="X28" i="59"/>
  <c r="Y28" i="59"/>
  <c r="Z28" i="59"/>
  <c r="AA28" i="59"/>
  <c r="AB28" i="59"/>
  <c r="AC28" i="59"/>
  <c r="AD28" i="59"/>
  <c r="AE28" i="59"/>
  <c r="AF28" i="59"/>
  <c r="AG28" i="59"/>
  <c r="D29" i="59"/>
  <c r="O29" i="59"/>
  <c r="P29" i="59"/>
  <c r="Q29" i="59"/>
  <c r="U29" i="59"/>
  <c r="V29" i="59"/>
  <c r="W29" i="59"/>
  <c r="X29" i="59"/>
  <c r="Y29" i="59"/>
  <c r="Z29" i="59"/>
  <c r="AA29" i="59"/>
  <c r="AB29" i="59"/>
  <c r="AC29" i="59"/>
  <c r="AD29" i="59"/>
  <c r="AE29" i="59"/>
  <c r="AF29" i="59"/>
  <c r="AG29" i="59"/>
  <c r="D30" i="59"/>
  <c r="O30" i="59"/>
  <c r="P30" i="59"/>
  <c r="Q30" i="59"/>
  <c r="U30" i="59"/>
  <c r="V30" i="59"/>
  <c r="W30" i="59"/>
  <c r="X30" i="59"/>
  <c r="Y30" i="59"/>
  <c r="Z30" i="59"/>
  <c r="AA30" i="59"/>
  <c r="AB30" i="59"/>
  <c r="AC30" i="59"/>
  <c r="AD30" i="59"/>
  <c r="AE30" i="59"/>
  <c r="AF30" i="59"/>
  <c r="AG30" i="59"/>
  <c r="D31" i="59"/>
  <c r="O31" i="59"/>
  <c r="P31" i="59"/>
  <c r="Q31" i="59"/>
  <c r="U31" i="59"/>
  <c r="V31" i="59"/>
  <c r="W31" i="59"/>
  <c r="X31" i="59"/>
  <c r="Y31" i="59"/>
  <c r="Z31" i="59"/>
  <c r="AA31" i="59"/>
  <c r="AB31" i="59"/>
  <c r="AC31" i="59"/>
  <c r="AD31" i="59"/>
  <c r="AE31" i="59"/>
  <c r="AF31" i="59"/>
  <c r="AG31" i="59"/>
  <c r="D32" i="59"/>
  <c r="O32" i="59"/>
  <c r="P32" i="59"/>
  <c r="Q32" i="59"/>
  <c r="U32" i="59"/>
  <c r="V32" i="59"/>
  <c r="W32" i="59"/>
  <c r="X32" i="59"/>
  <c r="Y32" i="59"/>
  <c r="Z32" i="59"/>
  <c r="AA32" i="59"/>
  <c r="AB32" i="59"/>
  <c r="AC32" i="59"/>
  <c r="AD32" i="59"/>
  <c r="AE32" i="59"/>
  <c r="AF32" i="59"/>
  <c r="AG32" i="59"/>
  <c r="D33" i="59"/>
  <c r="O33" i="59"/>
  <c r="P33" i="59"/>
  <c r="Q33" i="59"/>
  <c r="U33" i="59"/>
  <c r="V33" i="59"/>
  <c r="W33" i="59"/>
  <c r="X33" i="59"/>
  <c r="Y33" i="59"/>
  <c r="Z33" i="59"/>
  <c r="AA33" i="59"/>
  <c r="AB33" i="59"/>
  <c r="AC33" i="59"/>
  <c r="AD33" i="59"/>
  <c r="AE33" i="59"/>
  <c r="AF33" i="59"/>
  <c r="AG33" i="59"/>
  <c r="D34" i="59"/>
  <c r="O34" i="59"/>
  <c r="P34" i="59"/>
  <c r="Q34" i="59"/>
  <c r="U34" i="59"/>
  <c r="V34" i="59"/>
  <c r="W34" i="59"/>
  <c r="X34" i="59"/>
  <c r="Y34" i="59"/>
  <c r="Z34" i="59"/>
  <c r="AA34" i="59"/>
  <c r="AB34" i="59"/>
  <c r="AC34" i="59"/>
  <c r="AD34" i="59"/>
  <c r="AE34" i="59"/>
  <c r="AF34" i="59"/>
  <c r="AG34" i="59"/>
  <c r="D35" i="59"/>
  <c r="O35" i="59"/>
  <c r="P35" i="59"/>
  <c r="Q35" i="59"/>
  <c r="U35" i="59"/>
  <c r="V35" i="59"/>
  <c r="W35" i="59"/>
  <c r="X35" i="59"/>
  <c r="Y35" i="59"/>
  <c r="Z35" i="59"/>
  <c r="AA35" i="59"/>
  <c r="AB35" i="59"/>
  <c r="AC35" i="59"/>
  <c r="AD35" i="59"/>
  <c r="AE35" i="59"/>
  <c r="AF35" i="59"/>
  <c r="AG35" i="59"/>
  <c r="D36" i="59"/>
  <c r="O36" i="59"/>
  <c r="P36" i="59"/>
  <c r="Q36" i="59"/>
  <c r="U36" i="59"/>
  <c r="V36" i="59"/>
  <c r="W36" i="59"/>
  <c r="X36" i="59"/>
  <c r="Y36" i="59"/>
  <c r="Z36" i="59"/>
  <c r="AA36" i="59"/>
  <c r="AB36" i="59"/>
  <c r="AC36" i="59"/>
  <c r="AD36" i="59"/>
  <c r="AE36" i="59"/>
  <c r="AF36" i="59"/>
  <c r="AG36" i="59"/>
  <c r="D37" i="59"/>
  <c r="O37" i="59"/>
  <c r="P37" i="59"/>
  <c r="Q37" i="59"/>
  <c r="U37" i="59"/>
  <c r="V37" i="59"/>
  <c r="W37" i="59"/>
  <c r="X37" i="59"/>
  <c r="Y37" i="59"/>
  <c r="Z37" i="59"/>
  <c r="AA37" i="59"/>
  <c r="AB37" i="59"/>
  <c r="AC37" i="59"/>
  <c r="AD37" i="59"/>
  <c r="AE37" i="59"/>
  <c r="AF37" i="59"/>
  <c r="AG37" i="59"/>
  <c r="D38" i="59"/>
  <c r="O38" i="59"/>
  <c r="P38" i="59"/>
  <c r="Q38" i="59"/>
  <c r="U38" i="59"/>
  <c r="V38" i="59"/>
  <c r="W38" i="59"/>
  <c r="X38" i="59"/>
  <c r="Y38" i="59"/>
  <c r="Z38" i="59"/>
  <c r="AA38" i="59"/>
  <c r="AB38" i="59"/>
  <c r="AC38" i="59"/>
  <c r="AD38" i="59"/>
  <c r="AE38" i="59"/>
  <c r="AF38" i="59"/>
  <c r="AG38" i="59"/>
  <c r="D39" i="59"/>
  <c r="O39" i="59"/>
  <c r="P39" i="59"/>
  <c r="Q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D40" i="59"/>
  <c r="O40" i="59"/>
  <c r="P40" i="59"/>
  <c r="Q40" i="59"/>
  <c r="U40" i="59"/>
  <c r="V40" i="59"/>
  <c r="W40" i="59"/>
  <c r="X40" i="59"/>
  <c r="Y40" i="59"/>
  <c r="Z40" i="59"/>
  <c r="AA40" i="59"/>
  <c r="AB40" i="59"/>
  <c r="AC40" i="59"/>
  <c r="AD40" i="59"/>
  <c r="AE40" i="59"/>
  <c r="AF40" i="59"/>
  <c r="AG40" i="59"/>
  <c r="D41" i="59"/>
  <c r="O41" i="59"/>
  <c r="P41" i="59"/>
  <c r="Q41" i="59"/>
  <c r="U41" i="59"/>
  <c r="V41" i="59"/>
  <c r="W41" i="59"/>
  <c r="X41" i="59"/>
  <c r="Y41" i="59"/>
  <c r="Z41" i="59"/>
  <c r="AA41" i="59"/>
  <c r="AB41" i="59"/>
  <c r="AC41" i="59"/>
  <c r="AD41" i="59"/>
  <c r="AE41" i="59"/>
  <c r="AF41" i="59"/>
  <c r="AG41" i="59"/>
  <c r="D42" i="59"/>
  <c r="O42" i="59"/>
  <c r="P42" i="59"/>
  <c r="Q42" i="59"/>
  <c r="U42" i="59"/>
  <c r="V42" i="59"/>
  <c r="W42" i="59"/>
  <c r="X42" i="59"/>
  <c r="Y42" i="59"/>
  <c r="Z42" i="59"/>
  <c r="AA42" i="59"/>
  <c r="AB42" i="59"/>
  <c r="AC42" i="59"/>
  <c r="AD42" i="59"/>
  <c r="AE42" i="59"/>
  <c r="AF42" i="59"/>
  <c r="AG42" i="59"/>
  <c r="D43" i="59"/>
  <c r="O43" i="59"/>
  <c r="P43" i="59"/>
  <c r="Q43" i="59"/>
  <c r="U43" i="59"/>
  <c r="V43" i="59"/>
  <c r="W43" i="59"/>
  <c r="X43" i="59"/>
  <c r="Y43" i="59"/>
  <c r="Z43" i="59"/>
  <c r="AA43" i="59"/>
  <c r="AB43" i="59"/>
  <c r="AC43" i="59"/>
  <c r="AD43" i="59"/>
  <c r="AE43" i="59"/>
  <c r="AF43" i="59"/>
  <c r="AG43" i="59"/>
  <c r="D44" i="59"/>
  <c r="O44" i="59"/>
  <c r="P44" i="59"/>
  <c r="Q44" i="59"/>
  <c r="U44" i="59"/>
  <c r="V44" i="59"/>
  <c r="W44" i="59"/>
  <c r="X44" i="59"/>
  <c r="Y44" i="59"/>
  <c r="Z44" i="59"/>
  <c r="AA44" i="59"/>
  <c r="AB44" i="59"/>
  <c r="AC44" i="59"/>
  <c r="AD44" i="59"/>
  <c r="AE44" i="59"/>
  <c r="AF44" i="59"/>
  <c r="AG44" i="59"/>
  <c r="D45" i="59"/>
  <c r="O45" i="59"/>
  <c r="P45" i="59"/>
  <c r="Q45" i="59"/>
  <c r="U45" i="59"/>
  <c r="V45" i="59"/>
  <c r="W45" i="59"/>
  <c r="X45" i="59"/>
  <c r="Y45" i="59"/>
  <c r="Z45" i="59"/>
  <c r="AA45" i="59"/>
  <c r="AB45" i="59"/>
  <c r="AC45" i="59"/>
  <c r="AD45" i="59"/>
  <c r="AE45" i="59"/>
  <c r="AF45" i="59"/>
  <c r="AG45" i="59"/>
  <c r="D46" i="59"/>
  <c r="O46" i="59"/>
  <c r="P46" i="59"/>
  <c r="Q46" i="59"/>
  <c r="U46" i="59"/>
  <c r="V46" i="59"/>
  <c r="W46" i="59"/>
  <c r="X46" i="59"/>
  <c r="Y46" i="59"/>
  <c r="Z46" i="59"/>
  <c r="AA46" i="59"/>
  <c r="AB46" i="59"/>
  <c r="AC46" i="59"/>
  <c r="AD46" i="59"/>
  <c r="AE46" i="59"/>
  <c r="AF46" i="59"/>
  <c r="AG46" i="59"/>
  <c r="D47" i="59"/>
  <c r="O47" i="59"/>
  <c r="P47" i="59"/>
  <c r="Q47" i="59"/>
  <c r="U47" i="59"/>
  <c r="V47" i="59"/>
  <c r="W47" i="59"/>
  <c r="X47" i="59"/>
  <c r="Y47" i="59"/>
  <c r="Z47" i="59"/>
  <c r="AA47" i="59"/>
  <c r="AB47" i="59"/>
  <c r="AC47" i="59"/>
  <c r="AD47" i="59"/>
  <c r="AE47" i="59"/>
  <c r="AF47" i="59"/>
  <c r="AG47" i="59"/>
  <c r="D48" i="59"/>
  <c r="O48" i="59"/>
  <c r="P48" i="59"/>
  <c r="Q48" i="59"/>
  <c r="U48" i="59"/>
  <c r="V48" i="59"/>
  <c r="W48" i="59"/>
  <c r="X48" i="59"/>
  <c r="Y48" i="59"/>
  <c r="Z48" i="59"/>
  <c r="AA48" i="59"/>
  <c r="AB48" i="59"/>
  <c r="AC48" i="59"/>
  <c r="AD48" i="59"/>
  <c r="AE48" i="59"/>
  <c r="AF48" i="59"/>
  <c r="AG48" i="59"/>
  <c r="D49" i="59"/>
  <c r="O49" i="59"/>
  <c r="P49" i="59"/>
  <c r="Q49" i="59"/>
  <c r="U49" i="59"/>
  <c r="V49" i="59"/>
  <c r="W49" i="59"/>
  <c r="X49" i="59"/>
  <c r="Y49" i="59"/>
  <c r="Z49" i="59"/>
  <c r="AA49" i="59"/>
  <c r="AB49" i="59"/>
  <c r="AC49" i="59"/>
  <c r="AD49" i="59"/>
  <c r="AE49" i="59"/>
  <c r="AF49" i="59"/>
  <c r="AG49" i="59"/>
  <c r="D50" i="59"/>
  <c r="O50" i="59"/>
  <c r="P50" i="59"/>
  <c r="Q50" i="59"/>
  <c r="U50" i="59"/>
  <c r="V50" i="59"/>
  <c r="W50" i="59"/>
  <c r="X50" i="59"/>
  <c r="Y50" i="59"/>
  <c r="Z50" i="59"/>
  <c r="AA50" i="59"/>
  <c r="AB50" i="59"/>
  <c r="AC50" i="59"/>
  <c r="AD50" i="59"/>
  <c r="AE50" i="59"/>
  <c r="AF50" i="59"/>
  <c r="AG50" i="59"/>
  <c r="D51" i="59"/>
  <c r="O51" i="59"/>
  <c r="P51" i="59"/>
  <c r="Q51" i="59"/>
  <c r="U51" i="59"/>
  <c r="V51" i="59"/>
  <c r="W51" i="59"/>
  <c r="X51" i="59"/>
  <c r="Y51" i="59"/>
  <c r="Z51" i="59"/>
  <c r="AA51" i="59"/>
  <c r="AB51" i="59"/>
  <c r="AC51" i="59"/>
  <c r="AD51" i="59"/>
  <c r="AE51" i="59"/>
  <c r="AF51" i="59"/>
  <c r="AG51" i="59"/>
  <c r="D52" i="59"/>
  <c r="O52" i="59"/>
  <c r="P52" i="59"/>
  <c r="Q52" i="59"/>
  <c r="U52" i="59"/>
  <c r="V52" i="59"/>
  <c r="W52" i="59"/>
  <c r="X52" i="59"/>
  <c r="Y52" i="59"/>
  <c r="Z52" i="59"/>
  <c r="AA52" i="59"/>
  <c r="AB52" i="59"/>
  <c r="AC52" i="59"/>
  <c r="AD52" i="59"/>
  <c r="AE52" i="59"/>
  <c r="AF52" i="59"/>
  <c r="AG52" i="59"/>
  <c r="D53" i="59"/>
  <c r="O53" i="59"/>
  <c r="P53" i="59"/>
  <c r="Q53" i="59"/>
  <c r="U53" i="59"/>
  <c r="V53" i="59"/>
  <c r="W53" i="59"/>
  <c r="X53" i="59"/>
  <c r="Y53" i="59"/>
  <c r="Z53" i="59"/>
  <c r="AA53" i="59"/>
  <c r="AB53" i="59"/>
  <c r="AC53" i="59"/>
  <c r="AD53" i="59"/>
  <c r="AE53" i="59"/>
  <c r="AF53" i="59"/>
  <c r="AG53" i="59"/>
  <c r="D54" i="59"/>
  <c r="O54" i="59"/>
  <c r="P54" i="59"/>
  <c r="Q54" i="59"/>
  <c r="U54" i="59"/>
  <c r="V54" i="59"/>
  <c r="W54" i="59"/>
  <c r="X54" i="59"/>
  <c r="Y54" i="59"/>
  <c r="Z54" i="59"/>
  <c r="AA54" i="59"/>
  <c r="AB54" i="59"/>
  <c r="AC54" i="59"/>
  <c r="AD54" i="59"/>
  <c r="AE54" i="59"/>
  <c r="AF54" i="59"/>
  <c r="AG54" i="59"/>
  <c r="D55" i="59"/>
  <c r="O55" i="59"/>
  <c r="P55" i="59"/>
  <c r="Q55" i="59"/>
  <c r="U55" i="59"/>
  <c r="V55" i="59"/>
  <c r="W55" i="59"/>
  <c r="X55" i="59"/>
  <c r="Y55" i="59"/>
  <c r="Z55" i="59"/>
  <c r="AA55" i="59"/>
  <c r="AB55" i="59"/>
  <c r="AC55" i="59"/>
  <c r="AD55" i="59"/>
  <c r="AE55" i="59"/>
  <c r="AF55" i="59"/>
  <c r="AG55" i="59"/>
  <c r="D56" i="59"/>
  <c r="O56" i="59"/>
  <c r="P56" i="59"/>
  <c r="Q56" i="59"/>
  <c r="U56" i="59"/>
  <c r="V56" i="59"/>
  <c r="W56" i="59"/>
  <c r="X56" i="59"/>
  <c r="Y56" i="59"/>
  <c r="Z56" i="59"/>
  <c r="AA56" i="59"/>
  <c r="AB56" i="59"/>
  <c r="AC56" i="59"/>
  <c r="AD56" i="59"/>
  <c r="AE56" i="59"/>
  <c r="AF56" i="59"/>
  <c r="AG56" i="59"/>
  <c r="D57" i="59"/>
  <c r="O57" i="59"/>
  <c r="P57" i="59"/>
  <c r="Q57" i="59"/>
  <c r="U57" i="59"/>
  <c r="V57" i="59"/>
  <c r="W57" i="59"/>
  <c r="X57" i="59"/>
  <c r="Y57" i="59"/>
  <c r="Z57" i="59"/>
  <c r="AA57" i="59"/>
  <c r="AB57" i="59"/>
  <c r="AC57" i="59"/>
  <c r="AD57" i="59"/>
  <c r="AE57" i="59"/>
  <c r="AF57" i="59"/>
  <c r="AG57" i="59"/>
  <c r="D58" i="59"/>
  <c r="O58" i="59"/>
  <c r="P58" i="59"/>
  <c r="Q58" i="59"/>
  <c r="U58" i="59"/>
  <c r="V58" i="59"/>
  <c r="W58" i="59"/>
  <c r="X58" i="59"/>
  <c r="Y58" i="59"/>
  <c r="Z58" i="59"/>
  <c r="AA58" i="59"/>
  <c r="AB58" i="59"/>
  <c r="AC58" i="59"/>
  <c r="AD58" i="59"/>
  <c r="AE58" i="59"/>
  <c r="AF58" i="59"/>
  <c r="AG58" i="59"/>
  <c r="D59" i="59"/>
  <c r="O59" i="59"/>
  <c r="P59" i="59"/>
  <c r="Q59" i="59"/>
  <c r="U59" i="59"/>
  <c r="V59" i="59"/>
  <c r="W59" i="59"/>
  <c r="X59" i="59"/>
  <c r="Y59" i="59"/>
  <c r="Z59" i="59"/>
  <c r="AA59" i="59"/>
  <c r="AB59" i="59"/>
  <c r="AC59" i="59"/>
  <c r="AD59" i="59"/>
  <c r="AE59" i="59"/>
  <c r="AF59" i="59"/>
  <c r="AG59" i="59"/>
  <c r="D60" i="59"/>
  <c r="O60" i="59"/>
  <c r="P60" i="59"/>
  <c r="Q60" i="59"/>
  <c r="U60" i="59"/>
  <c r="V60" i="59"/>
  <c r="W60" i="59"/>
  <c r="X60" i="59"/>
  <c r="Y60" i="59"/>
  <c r="Z60" i="59"/>
  <c r="AA60" i="59"/>
  <c r="AB60" i="59"/>
  <c r="AC60" i="59"/>
  <c r="AD60" i="59"/>
  <c r="AE60" i="59"/>
  <c r="AF60" i="59"/>
  <c r="AG60" i="59"/>
  <c r="D61" i="59"/>
  <c r="O61" i="59"/>
  <c r="P61" i="59"/>
  <c r="Q61" i="59"/>
  <c r="U61" i="59"/>
  <c r="V61" i="59"/>
  <c r="W61" i="59"/>
  <c r="X61" i="59"/>
  <c r="Y61" i="59"/>
  <c r="Z61" i="59"/>
  <c r="AA61" i="59"/>
  <c r="AB61" i="59"/>
  <c r="AC61" i="59"/>
  <c r="AD61" i="59"/>
  <c r="AE61" i="59"/>
  <c r="AF61" i="59"/>
  <c r="AG61" i="59"/>
  <c r="D62" i="59"/>
  <c r="O62" i="59"/>
  <c r="P62" i="59"/>
  <c r="Q62" i="59"/>
  <c r="U62" i="59"/>
  <c r="V62" i="59"/>
  <c r="W62" i="59"/>
  <c r="X62" i="59"/>
  <c r="Y62" i="59"/>
  <c r="Z62" i="59"/>
  <c r="AA62" i="59"/>
  <c r="AB62" i="59"/>
  <c r="AC62" i="59"/>
  <c r="AD62" i="59"/>
  <c r="AE62" i="59"/>
  <c r="AF62" i="59"/>
  <c r="AG62" i="59"/>
  <c r="D63" i="59"/>
  <c r="O63" i="59"/>
  <c r="P63" i="59"/>
  <c r="Q63" i="59"/>
  <c r="U63" i="59"/>
  <c r="V63" i="59"/>
  <c r="W63" i="59"/>
  <c r="X63" i="59"/>
  <c r="Y63" i="59"/>
  <c r="Z63" i="59"/>
  <c r="AA63" i="59"/>
  <c r="AB63" i="59"/>
  <c r="AC63" i="59"/>
  <c r="AD63" i="59"/>
  <c r="AE63" i="59"/>
  <c r="AF63" i="59"/>
  <c r="AG63" i="59"/>
  <c r="D64" i="59"/>
  <c r="O64" i="59"/>
  <c r="P64" i="59"/>
  <c r="Q64" i="59"/>
  <c r="U64" i="59"/>
  <c r="V64" i="59"/>
  <c r="W64" i="59"/>
  <c r="X64" i="59"/>
  <c r="Y64" i="59"/>
  <c r="Z64" i="59"/>
  <c r="AA64" i="59"/>
  <c r="AB64" i="59"/>
  <c r="AC64" i="59"/>
  <c r="AD64" i="59"/>
  <c r="AE64" i="59"/>
  <c r="AF64" i="59"/>
  <c r="AG64" i="59"/>
  <c r="D65" i="59"/>
  <c r="O65" i="59"/>
  <c r="P65" i="59"/>
  <c r="Q65" i="59"/>
  <c r="U65" i="59"/>
  <c r="V65" i="59"/>
  <c r="W65" i="59"/>
  <c r="X65" i="59"/>
  <c r="Y65" i="59"/>
  <c r="Z65" i="59"/>
  <c r="AA65" i="59"/>
  <c r="AB65" i="59"/>
  <c r="AC65" i="59"/>
  <c r="AD65" i="59"/>
  <c r="AE65" i="59"/>
  <c r="AF65" i="59"/>
  <c r="AG65" i="59"/>
  <c r="D66" i="59"/>
  <c r="O66" i="59"/>
  <c r="P66" i="59"/>
  <c r="Q66" i="59"/>
  <c r="U66" i="59"/>
  <c r="V66" i="59"/>
  <c r="W66" i="59"/>
  <c r="X66" i="59"/>
  <c r="Y66" i="59"/>
  <c r="Z66" i="59"/>
  <c r="AA66" i="59"/>
  <c r="AB66" i="59"/>
  <c r="AC66" i="59"/>
  <c r="AD66" i="59"/>
  <c r="AE66" i="59"/>
  <c r="AF66" i="59"/>
  <c r="AG66" i="59"/>
  <c r="D67" i="59"/>
  <c r="O67" i="59"/>
  <c r="P67" i="59"/>
  <c r="Q67" i="59"/>
  <c r="U67" i="59"/>
  <c r="V67" i="59"/>
  <c r="W67" i="59"/>
  <c r="X67" i="59"/>
  <c r="Y67" i="59"/>
  <c r="Z67" i="59"/>
  <c r="AA67" i="59"/>
  <c r="AB67" i="59"/>
  <c r="AC67" i="59"/>
  <c r="AD67" i="59"/>
  <c r="AE67" i="59"/>
  <c r="AF67" i="59"/>
  <c r="AG67" i="59"/>
  <c r="D68" i="59"/>
  <c r="O68" i="59"/>
  <c r="P68" i="59"/>
  <c r="Q68" i="59"/>
  <c r="U68" i="59"/>
  <c r="V68" i="59"/>
  <c r="W68" i="59"/>
  <c r="X68" i="59"/>
  <c r="Y68" i="59"/>
  <c r="Z68" i="59"/>
  <c r="AA68" i="59"/>
  <c r="AB68" i="59"/>
  <c r="AC68" i="59"/>
  <c r="AD68" i="59"/>
  <c r="AE68" i="59"/>
  <c r="AF68" i="59"/>
  <c r="AG68" i="59"/>
  <c r="D69" i="59"/>
  <c r="O69" i="59"/>
  <c r="P69" i="59"/>
  <c r="Q69" i="59"/>
  <c r="U69" i="59"/>
  <c r="V69" i="59"/>
  <c r="W69" i="59"/>
  <c r="X69" i="59"/>
  <c r="Y69" i="59"/>
  <c r="Z69" i="59"/>
  <c r="AA69" i="59"/>
  <c r="AB69" i="59"/>
  <c r="AC69" i="59"/>
  <c r="AD69" i="59"/>
  <c r="AE69" i="59"/>
  <c r="AF69" i="59"/>
  <c r="AG69" i="59"/>
  <c r="D70" i="59"/>
  <c r="O70" i="59"/>
  <c r="P70" i="59"/>
  <c r="Q70" i="59"/>
  <c r="U70" i="59"/>
  <c r="V70" i="59"/>
  <c r="W70" i="59"/>
  <c r="X70" i="59"/>
  <c r="Y70" i="59"/>
  <c r="Z70" i="59"/>
  <c r="AA70" i="59"/>
  <c r="AB70" i="59"/>
  <c r="AC70" i="59"/>
  <c r="AD70" i="59"/>
  <c r="AE70" i="59"/>
  <c r="AF70" i="59"/>
  <c r="AG70" i="59"/>
  <c r="D71" i="59"/>
  <c r="O71" i="59"/>
  <c r="P71" i="59"/>
  <c r="Q71" i="59"/>
  <c r="U71" i="59"/>
  <c r="V71" i="59"/>
  <c r="W71" i="59"/>
  <c r="X71" i="59"/>
  <c r="Y71" i="59"/>
  <c r="Z71" i="59"/>
  <c r="AA71" i="59"/>
  <c r="AB71" i="59"/>
  <c r="AC71" i="59"/>
  <c r="AD71" i="59"/>
  <c r="AE71" i="59"/>
  <c r="AF71" i="59"/>
  <c r="AG71" i="59"/>
  <c r="D72" i="59"/>
  <c r="O72" i="59"/>
  <c r="P72" i="59"/>
  <c r="Q72" i="59"/>
  <c r="U72" i="59"/>
  <c r="V72" i="59"/>
  <c r="W72" i="59"/>
  <c r="X72" i="59"/>
  <c r="Y72" i="59"/>
  <c r="Z72" i="59"/>
  <c r="AA72" i="59"/>
  <c r="AB72" i="59"/>
  <c r="AC72" i="59"/>
  <c r="AD72" i="59"/>
  <c r="AE72" i="59"/>
  <c r="AF72" i="59"/>
  <c r="AG72" i="59"/>
  <c r="D73" i="59"/>
  <c r="O73" i="59"/>
  <c r="P73" i="59"/>
  <c r="Q73" i="59"/>
  <c r="U73" i="59"/>
  <c r="V73" i="59"/>
  <c r="W73" i="59"/>
  <c r="X73" i="59"/>
  <c r="Y73" i="59"/>
  <c r="Z73" i="59"/>
  <c r="AA73" i="59"/>
  <c r="AB73" i="59"/>
  <c r="AC73" i="59"/>
  <c r="AD73" i="59"/>
  <c r="AE73" i="59"/>
  <c r="AF73" i="59"/>
  <c r="AG73" i="59"/>
  <c r="D74" i="59"/>
  <c r="O74" i="59"/>
  <c r="P74" i="59"/>
  <c r="Q74" i="59"/>
  <c r="U74" i="59"/>
  <c r="V74" i="59"/>
  <c r="W74" i="59"/>
  <c r="X74" i="59"/>
  <c r="Y74" i="59"/>
  <c r="Z74" i="59"/>
  <c r="AA74" i="59"/>
  <c r="AB74" i="59"/>
  <c r="AC74" i="59"/>
  <c r="AD74" i="59"/>
  <c r="AE74" i="59"/>
  <c r="AF74" i="59"/>
  <c r="AG74" i="59"/>
  <c r="D75" i="59"/>
  <c r="O75" i="59"/>
  <c r="P75" i="59"/>
  <c r="Q75" i="59"/>
  <c r="U75" i="59"/>
  <c r="V75" i="59"/>
  <c r="W75" i="59"/>
  <c r="X75" i="59"/>
  <c r="Y75" i="59"/>
  <c r="Z75" i="59"/>
  <c r="AA75" i="59"/>
  <c r="AB75" i="59"/>
  <c r="AC75" i="59"/>
  <c r="AD75" i="59"/>
  <c r="AE75" i="59"/>
  <c r="AF75" i="59"/>
  <c r="AG75" i="59"/>
  <c r="D76" i="59"/>
  <c r="O76" i="59"/>
  <c r="P76" i="59"/>
  <c r="Q76" i="59"/>
  <c r="U76" i="59"/>
  <c r="V76" i="59"/>
  <c r="W76" i="59"/>
  <c r="X76" i="59"/>
  <c r="Y76" i="59"/>
  <c r="Z76" i="59"/>
  <c r="AA76" i="59"/>
  <c r="AB76" i="59"/>
  <c r="AC76" i="59"/>
  <c r="AD76" i="59"/>
  <c r="AE76" i="59"/>
  <c r="AF76" i="59"/>
  <c r="AG76" i="59"/>
  <c r="D77" i="59"/>
  <c r="O77" i="59"/>
  <c r="P77" i="59"/>
  <c r="Q77" i="59"/>
  <c r="U77" i="59"/>
  <c r="V77" i="59"/>
  <c r="W77" i="59"/>
  <c r="X77" i="59"/>
  <c r="Y77" i="59"/>
  <c r="Z77" i="59"/>
  <c r="AA77" i="59"/>
  <c r="AB77" i="59"/>
  <c r="AC77" i="59"/>
  <c r="AD77" i="59"/>
  <c r="AE77" i="59"/>
  <c r="AF77" i="59"/>
  <c r="AG77" i="59"/>
  <c r="D78" i="59"/>
  <c r="O78" i="59"/>
  <c r="P78" i="59"/>
  <c r="Q78" i="59"/>
  <c r="U78" i="59"/>
  <c r="V78" i="59"/>
  <c r="W78" i="59"/>
  <c r="X78" i="59"/>
  <c r="Y78" i="59"/>
  <c r="Z78" i="59"/>
  <c r="AA78" i="59"/>
  <c r="AB78" i="59"/>
  <c r="AC78" i="59"/>
  <c r="AD78" i="59"/>
  <c r="AE78" i="59"/>
  <c r="AF78" i="59"/>
  <c r="AG78" i="59"/>
  <c r="D79" i="59"/>
  <c r="O79" i="59"/>
  <c r="P79" i="59"/>
  <c r="Q79" i="59"/>
  <c r="U79" i="59"/>
  <c r="V79" i="59"/>
  <c r="W79" i="59"/>
  <c r="X79" i="59"/>
  <c r="Y79" i="59"/>
  <c r="Z79" i="59"/>
  <c r="AA79" i="59"/>
  <c r="AB79" i="59"/>
  <c r="AC79" i="59"/>
  <c r="AD79" i="59"/>
  <c r="AE79" i="59"/>
  <c r="AF79" i="59"/>
  <c r="AG79" i="59"/>
  <c r="D80" i="59"/>
  <c r="O80" i="59"/>
  <c r="P80" i="59"/>
  <c r="Q80" i="59"/>
  <c r="U80" i="59"/>
  <c r="V80" i="59"/>
  <c r="W80" i="59"/>
  <c r="X80" i="59"/>
  <c r="Y80" i="59"/>
  <c r="Z80" i="59"/>
  <c r="AA80" i="59"/>
  <c r="AB80" i="59"/>
  <c r="AC80" i="59"/>
  <c r="AD80" i="59"/>
  <c r="AE80" i="59"/>
  <c r="AF80" i="59"/>
  <c r="AG80" i="59"/>
  <c r="D81" i="59"/>
  <c r="O81" i="59"/>
  <c r="P81" i="59"/>
  <c r="Q81" i="59"/>
  <c r="U81" i="59"/>
  <c r="V81" i="59"/>
  <c r="W81" i="59"/>
  <c r="X81" i="59"/>
  <c r="Y81" i="59"/>
  <c r="Z81" i="59"/>
  <c r="AA81" i="59"/>
  <c r="AB81" i="59"/>
  <c r="AC81" i="59"/>
  <c r="AD81" i="59"/>
  <c r="AE81" i="59"/>
  <c r="AF81" i="59"/>
  <c r="AG81" i="59"/>
  <c r="D82" i="59"/>
  <c r="O82" i="59"/>
  <c r="P82" i="59"/>
  <c r="Q82" i="59"/>
  <c r="U82" i="59"/>
  <c r="V82" i="59"/>
  <c r="W82" i="59"/>
  <c r="X82" i="59"/>
  <c r="Y82" i="59"/>
  <c r="Z82" i="59"/>
  <c r="AA82" i="59"/>
  <c r="AB82" i="59"/>
  <c r="AC82" i="59"/>
  <c r="AD82" i="59"/>
  <c r="AE82" i="59"/>
  <c r="AF82" i="59"/>
  <c r="AG82" i="59"/>
  <c r="D83" i="59"/>
  <c r="O83" i="59"/>
  <c r="P83" i="59"/>
  <c r="Q83" i="59"/>
  <c r="U83" i="59"/>
  <c r="V83" i="59"/>
  <c r="W83" i="59"/>
  <c r="X83" i="59"/>
  <c r="Y83" i="59"/>
  <c r="Z83" i="59"/>
  <c r="AA83" i="59"/>
  <c r="AB83" i="59"/>
  <c r="AC83" i="59"/>
  <c r="AD83" i="59"/>
  <c r="AE83" i="59"/>
  <c r="AF83" i="59"/>
  <c r="AG83" i="59"/>
  <c r="D84" i="59"/>
  <c r="O84" i="59"/>
  <c r="P84" i="59"/>
  <c r="Q84" i="59"/>
  <c r="U84" i="59"/>
  <c r="V84" i="59"/>
  <c r="W84" i="59"/>
  <c r="X84" i="59"/>
  <c r="Y84" i="59"/>
  <c r="Z84" i="59"/>
  <c r="AA84" i="59"/>
  <c r="AB84" i="59"/>
  <c r="AC84" i="59"/>
  <c r="AD84" i="59"/>
  <c r="AE84" i="59"/>
  <c r="AF84" i="59"/>
  <c r="AG84" i="59"/>
  <c r="D85" i="59"/>
  <c r="O85" i="59"/>
  <c r="P85" i="59"/>
  <c r="Q85" i="59"/>
  <c r="U85" i="59"/>
  <c r="V85" i="59"/>
  <c r="W85" i="59"/>
  <c r="X85" i="59"/>
  <c r="Y85" i="59"/>
  <c r="Z85" i="59"/>
  <c r="AA85" i="59"/>
  <c r="AB85" i="59"/>
  <c r="AC85" i="59"/>
  <c r="AD85" i="59"/>
  <c r="AE85" i="59"/>
  <c r="AF85" i="59"/>
  <c r="AG85" i="59"/>
  <c r="D86" i="59"/>
  <c r="O86" i="59"/>
  <c r="P86" i="59"/>
  <c r="Q86" i="59"/>
  <c r="U86" i="59"/>
  <c r="V86" i="59"/>
  <c r="W86" i="59"/>
  <c r="X86" i="59"/>
  <c r="Y86" i="59"/>
  <c r="Z86" i="59"/>
  <c r="AA86" i="59"/>
  <c r="AB86" i="59"/>
  <c r="AC86" i="59"/>
  <c r="AD86" i="59"/>
  <c r="AE86" i="59"/>
  <c r="AF86" i="59"/>
  <c r="AG86" i="59"/>
  <c r="D87" i="59"/>
  <c r="O87" i="59"/>
  <c r="P87" i="59"/>
  <c r="Q87" i="59"/>
  <c r="U87" i="59"/>
  <c r="V87" i="59"/>
  <c r="W87" i="59"/>
  <c r="X87" i="59"/>
  <c r="Y87" i="59"/>
  <c r="Z87" i="59"/>
  <c r="AA87" i="59"/>
  <c r="AB87" i="59"/>
  <c r="AC87" i="59"/>
  <c r="AD87" i="59"/>
  <c r="AE87" i="59"/>
  <c r="AF87" i="59"/>
  <c r="AG87" i="59"/>
  <c r="D88" i="59"/>
  <c r="O88" i="59"/>
  <c r="P88" i="59"/>
  <c r="Q88" i="59"/>
  <c r="U88" i="59"/>
  <c r="V88" i="59"/>
  <c r="W88" i="59"/>
  <c r="X88" i="59"/>
  <c r="Y88" i="59"/>
  <c r="Z88" i="59"/>
  <c r="AA88" i="59"/>
  <c r="AB88" i="59"/>
  <c r="AC88" i="59"/>
  <c r="AD88" i="59"/>
  <c r="AE88" i="59"/>
  <c r="AF88" i="59"/>
  <c r="AG88" i="59"/>
  <c r="D89" i="59"/>
  <c r="O89" i="59"/>
  <c r="P89" i="59"/>
  <c r="Q89" i="59"/>
  <c r="U89" i="59"/>
  <c r="V89" i="59"/>
  <c r="W89" i="59"/>
  <c r="X89" i="59"/>
  <c r="Y89" i="59"/>
  <c r="Z89" i="59"/>
  <c r="AA89" i="59"/>
  <c r="AB89" i="59"/>
  <c r="AC89" i="59"/>
  <c r="AD89" i="59"/>
  <c r="AE89" i="59"/>
  <c r="AF89" i="59"/>
  <c r="AG89" i="59"/>
  <c r="D90" i="59"/>
  <c r="O90" i="59"/>
  <c r="P90" i="59"/>
  <c r="Q90" i="59"/>
  <c r="U90" i="59"/>
  <c r="V90" i="59"/>
  <c r="W90" i="59"/>
  <c r="X90" i="59"/>
  <c r="Y90" i="59"/>
  <c r="Z90" i="59"/>
  <c r="AA90" i="59"/>
  <c r="AB90" i="59"/>
  <c r="AC90" i="59"/>
  <c r="AD90" i="59"/>
  <c r="AE90" i="59"/>
  <c r="AF90" i="59"/>
  <c r="AG90" i="59"/>
  <c r="D91" i="59"/>
  <c r="O91" i="59"/>
  <c r="P91" i="59"/>
  <c r="Q91" i="59"/>
  <c r="U91" i="59"/>
  <c r="V91" i="59"/>
  <c r="W91" i="59"/>
  <c r="X91" i="59"/>
  <c r="Y91" i="59"/>
  <c r="Z91" i="59"/>
  <c r="AA91" i="59"/>
  <c r="AB91" i="59"/>
  <c r="AC91" i="59"/>
  <c r="AD91" i="59"/>
  <c r="AE91" i="59"/>
  <c r="AF91" i="59"/>
  <c r="AG91" i="59"/>
  <c r="D92" i="59"/>
  <c r="O92" i="59"/>
  <c r="P92" i="59"/>
  <c r="Q92" i="59"/>
  <c r="U92" i="59"/>
  <c r="V92" i="59"/>
  <c r="W92" i="59"/>
  <c r="X92" i="59"/>
  <c r="Y92" i="59"/>
  <c r="Z92" i="59"/>
  <c r="AA92" i="59"/>
  <c r="AB92" i="59"/>
  <c r="AC92" i="59"/>
  <c r="AD92" i="59"/>
  <c r="AE92" i="59"/>
  <c r="AF92" i="59"/>
  <c r="AG92" i="59"/>
  <c r="D93" i="59"/>
  <c r="O93" i="59"/>
  <c r="P93" i="59"/>
  <c r="Q93" i="59"/>
  <c r="U93" i="59"/>
  <c r="V93" i="59"/>
  <c r="W93" i="59"/>
  <c r="X93" i="59"/>
  <c r="Y93" i="59"/>
  <c r="Z93" i="59"/>
  <c r="AA93" i="59"/>
  <c r="AB93" i="59"/>
  <c r="AC93" i="59"/>
  <c r="AD93" i="59"/>
  <c r="AE93" i="59"/>
  <c r="AF93" i="59"/>
  <c r="AG93" i="59"/>
  <c r="D94" i="59"/>
  <c r="O94" i="59"/>
  <c r="P94" i="59"/>
  <c r="Q94" i="59"/>
  <c r="U94" i="59"/>
  <c r="V94" i="59"/>
  <c r="W94" i="59"/>
  <c r="X94" i="59"/>
  <c r="Y94" i="59"/>
  <c r="Z94" i="59"/>
  <c r="AA94" i="59"/>
  <c r="AB94" i="59"/>
  <c r="AC94" i="59"/>
  <c r="AD94" i="59"/>
  <c r="AE94" i="59"/>
  <c r="AF94" i="59"/>
  <c r="AG94" i="59"/>
  <c r="D95" i="59"/>
  <c r="O95" i="59"/>
  <c r="P95" i="59"/>
  <c r="Q95" i="59"/>
  <c r="U95" i="59"/>
  <c r="V95" i="59"/>
  <c r="W95" i="59"/>
  <c r="X95" i="59"/>
  <c r="Y95" i="59"/>
  <c r="Z95" i="59"/>
  <c r="AA95" i="59"/>
  <c r="AB95" i="59"/>
  <c r="AC95" i="59"/>
  <c r="AD95" i="59"/>
  <c r="AE95" i="59"/>
  <c r="AF95" i="59"/>
  <c r="AG95" i="59"/>
  <c r="D96" i="59"/>
  <c r="O96" i="59"/>
  <c r="P96" i="59"/>
  <c r="Q96" i="59"/>
  <c r="U96" i="59"/>
  <c r="V96" i="59"/>
  <c r="W96" i="59"/>
  <c r="X96" i="59"/>
  <c r="Y96" i="59"/>
  <c r="Z96" i="59"/>
  <c r="AA96" i="59"/>
  <c r="AB96" i="59"/>
  <c r="AC96" i="59"/>
  <c r="AD96" i="59"/>
  <c r="AE96" i="59"/>
  <c r="AF96" i="59"/>
  <c r="AG96" i="59"/>
  <c r="D97" i="59"/>
  <c r="O97" i="59"/>
  <c r="P97" i="59"/>
  <c r="Q97" i="59"/>
  <c r="U97" i="59"/>
  <c r="V97" i="59"/>
  <c r="W97" i="59"/>
  <c r="X97" i="59"/>
  <c r="Y97" i="59"/>
  <c r="Z97" i="59"/>
  <c r="AA97" i="59"/>
  <c r="AB97" i="59"/>
  <c r="AC97" i="59"/>
  <c r="AD97" i="59"/>
  <c r="AE97" i="59"/>
  <c r="AF97" i="59"/>
  <c r="AG97" i="59"/>
  <c r="D98" i="59"/>
  <c r="O98" i="59"/>
  <c r="P98" i="59"/>
  <c r="Q98" i="59"/>
  <c r="U98" i="59"/>
  <c r="V98" i="59"/>
  <c r="W98" i="59"/>
  <c r="X98" i="59"/>
  <c r="Y98" i="59"/>
  <c r="Z98" i="59"/>
  <c r="AA98" i="59"/>
  <c r="AB98" i="59"/>
  <c r="AC98" i="59"/>
  <c r="AD98" i="59"/>
  <c r="AE98" i="59"/>
  <c r="AF98" i="59"/>
  <c r="AG98" i="59"/>
  <c r="D99" i="59"/>
  <c r="O99" i="59"/>
  <c r="P99" i="59"/>
  <c r="Q99" i="59"/>
  <c r="U99" i="59"/>
  <c r="V99" i="59"/>
  <c r="W99" i="59"/>
  <c r="X99" i="59"/>
  <c r="Y99" i="59"/>
  <c r="Z99" i="59"/>
  <c r="AA99" i="59"/>
  <c r="AB99" i="59"/>
  <c r="AC99" i="59"/>
  <c r="AD99" i="59"/>
  <c r="AE99" i="59"/>
  <c r="AF99" i="59"/>
  <c r="AG99" i="59"/>
  <c r="D100" i="59"/>
  <c r="O100" i="59"/>
  <c r="P100" i="59"/>
  <c r="Q100" i="59"/>
  <c r="U100" i="59"/>
  <c r="V100" i="59"/>
  <c r="W100" i="59"/>
  <c r="X100" i="59"/>
  <c r="Y100" i="59"/>
  <c r="Z100" i="59"/>
  <c r="AA100" i="59"/>
  <c r="AB100" i="59"/>
  <c r="AC100" i="59"/>
  <c r="AD100" i="59"/>
  <c r="AE100" i="59"/>
  <c r="AF100" i="59"/>
  <c r="AG100" i="59"/>
  <c r="D101" i="59"/>
  <c r="O101" i="59"/>
  <c r="P101" i="59"/>
  <c r="Q101" i="59"/>
  <c r="U101" i="59"/>
  <c r="V101" i="59"/>
  <c r="W101" i="59"/>
  <c r="X101" i="59"/>
  <c r="Y101" i="59"/>
  <c r="Z101" i="59"/>
  <c r="AA101" i="59"/>
  <c r="AB101" i="59"/>
  <c r="AC101" i="59"/>
  <c r="AD101" i="59"/>
  <c r="AE101" i="59"/>
  <c r="AF101" i="59"/>
  <c r="AG101" i="59"/>
  <c r="D102" i="59"/>
  <c r="O102" i="59"/>
  <c r="P102" i="59"/>
  <c r="Q102" i="59"/>
  <c r="U102" i="59"/>
  <c r="V102" i="59"/>
  <c r="W102" i="59"/>
  <c r="X102" i="59"/>
  <c r="Y102" i="59"/>
  <c r="Z102" i="59"/>
  <c r="AA102" i="59"/>
  <c r="AB102" i="59"/>
  <c r="AC102" i="59"/>
  <c r="AD102" i="59"/>
  <c r="AE102" i="59"/>
  <c r="AF102" i="59"/>
  <c r="AG102" i="59"/>
  <c r="D103" i="59"/>
  <c r="O103" i="59"/>
  <c r="P103" i="59"/>
  <c r="Q103" i="59"/>
  <c r="U103" i="59"/>
  <c r="V103" i="59"/>
  <c r="W103" i="59"/>
  <c r="X103" i="59"/>
  <c r="Y103" i="59"/>
  <c r="Z103" i="59"/>
  <c r="AA103" i="59"/>
  <c r="AB103" i="59"/>
  <c r="AC103" i="59"/>
  <c r="AD103" i="59"/>
  <c r="AE103" i="59"/>
  <c r="AF103" i="59"/>
  <c r="AG103" i="59"/>
  <c r="D104" i="59"/>
  <c r="O104" i="59"/>
  <c r="P104" i="59"/>
  <c r="Q104" i="59"/>
  <c r="U104" i="59"/>
  <c r="V104" i="59"/>
  <c r="W104" i="59"/>
  <c r="X104" i="59"/>
  <c r="Y104" i="59"/>
  <c r="Z104" i="59"/>
  <c r="AA104" i="59"/>
  <c r="AB104" i="59"/>
  <c r="AC104" i="59"/>
  <c r="AD104" i="59"/>
  <c r="AE104" i="59"/>
  <c r="AF104" i="59"/>
  <c r="AG104" i="59"/>
  <c r="D105" i="59"/>
  <c r="O105" i="59"/>
  <c r="P105" i="59"/>
  <c r="Q105" i="59"/>
  <c r="U105" i="59"/>
  <c r="V105" i="59"/>
  <c r="W105" i="59"/>
  <c r="X105" i="59"/>
  <c r="Y105" i="59"/>
  <c r="Z105" i="59"/>
  <c r="AA105" i="59"/>
  <c r="AB105" i="59"/>
  <c r="AC105" i="59"/>
  <c r="AD105" i="59"/>
  <c r="AE105" i="59"/>
  <c r="AF105" i="59"/>
  <c r="AG105" i="59"/>
  <c r="D106" i="59"/>
  <c r="O106" i="59"/>
  <c r="P106" i="59"/>
  <c r="Q106" i="59"/>
  <c r="U106" i="59"/>
  <c r="V106" i="59"/>
  <c r="W106" i="59"/>
  <c r="X106" i="59"/>
  <c r="Y106" i="59"/>
  <c r="Z106" i="59"/>
  <c r="AA106" i="59"/>
  <c r="AB106" i="59"/>
  <c r="AC106" i="59"/>
  <c r="AD106" i="59"/>
  <c r="AE106" i="59"/>
  <c r="AF106" i="59"/>
  <c r="AG106" i="59"/>
  <c r="D107" i="59"/>
  <c r="O107" i="59"/>
  <c r="P107" i="59"/>
  <c r="Q107" i="59"/>
  <c r="U107" i="59"/>
  <c r="V107" i="59"/>
  <c r="W107" i="59"/>
  <c r="X107" i="59"/>
  <c r="Y107" i="59"/>
  <c r="Z107" i="59"/>
  <c r="AA107" i="59"/>
  <c r="AB107" i="59"/>
  <c r="AC107" i="59"/>
  <c r="AD107" i="59"/>
  <c r="AE107" i="59"/>
  <c r="AF107" i="59"/>
  <c r="AG107" i="59"/>
  <c r="D108" i="59"/>
  <c r="O108" i="59"/>
  <c r="P108" i="59"/>
  <c r="Q108" i="59"/>
  <c r="U108" i="59"/>
  <c r="V108" i="59"/>
  <c r="W108" i="59"/>
  <c r="X108" i="59"/>
  <c r="Y108" i="59"/>
  <c r="Z108" i="59"/>
  <c r="AA108" i="59"/>
  <c r="AB108" i="59"/>
  <c r="AC108" i="59"/>
  <c r="AD108" i="59"/>
  <c r="AE108" i="59"/>
  <c r="AF108" i="59"/>
  <c r="AG108" i="59"/>
  <c r="D109" i="59"/>
  <c r="O109" i="59"/>
  <c r="P109" i="59"/>
  <c r="Q109" i="59"/>
  <c r="U109" i="59"/>
  <c r="V109" i="59"/>
  <c r="W109" i="59"/>
  <c r="X109" i="59"/>
  <c r="Y109" i="59"/>
  <c r="Z109" i="59"/>
  <c r="AA109" i="59"/>
  <c r="AB109" i="59"/>
  <c r="AC109" i="59"/>
  <c r="AD109" i="59"/>
  <c r="AE109" i="59"/>
  <c r="AF109" i="59"/>
  <c r="AG109" i="59"/>
  <c r="D110" i="59"/>
  <c r="O110" i="59"/>
  <c r="P110" i="59"/>
  <c r="Q110" i="59"/>
  <c r="U110" i="59"/>
  <c r="V110" i="59"/>
  <c r="W110" i="59"/>
  <c r="X110" i="59"/>
  <c r="Y110" i="59"/>
  <c r="Z110" i="59"/>
  <c r="AA110" i="59"/>
  <c r="AB110" i="59"/>
  <c r="AC110" i="59"/>
  <c r="AD110" i="59"/>
  <c r="AE110" i="59"/>
  <c r="AF110" i="59"/>
  <c r="AG110" i="59"/>
  <c r="D111" i="59"/>
  <c r="O111" i="59"/>
  <c r="P111" i="59"/>
  <c r="Q111" i="59"/>
  <c r="U111" i="59"/>
  <c r="V111" i="59"/>
  <c r="W111" i="59"/>
  <c r="X111" i="59"/>
  <c r="Y111" i="59"/>
  <c r="Z111" i="59"/>
  <c r="AA111" i="59"/>
  <c r="AB111" i="59"/>
  <c r="AC111" i="59"/>
  <c r="AD111" i="59"/>
  <c r="AE111" i="59"/>
  <c r="AF111" i="59"/>
  <c r="AG111" i="59"/>
  <c r="D112" i="59"/>
  <c r="O112" i="59"/>
  <c r="P112" i="59"/>
  <c r="Q112" i="59"/>
  <c r="U112" i="59"/>
  <c r="V112" i="59"/>
  <c r="W112" i="59"/>
  <c r="X112" i="59"/>
  <c r="Y112" i="59"/>
  <c r="Z112" i="59"/>
  <c r="AA112" i="59"/>
  <c r="AB112" i="59"/>
  <c r="AC112" i="59"/>
  <c r="AD112" i="59"/>
  <c r="AE112" i="59"/>
  <c r="AF112" i="59"/>
  <c r="AG112" i="59"/>
  <c r="D113" i="59"/>
  <c r="O113" i="59"/>
  <c r="P113" i="59"/>
  <c r="Q113" i="59"/>
  <c r="U113" i="59"/>
  <c r="V113" i="59"/>
  <c r="W113" i="59"/>
  <c r="X113" i="59"/>
  <c r="Y113" i="59"/>
  <c r="Z113" i="59"/>
  <c r="AA113" i="59"/>
  <c r="AB113" i="59"/>
  <c r="AC113" i="59"/>
  <c r="AD113" i="59"/>
  <c r="AE113" i="59"/>
  <c r="AF113" i="59"/>
  <c r="AG113" i="59"/>
  <c r="D114" i="59"/>
  <c r="O114" i="59"/>
  <c r="P114" i="59"/>
  <c r="Q114" i="59"/>
  <c r="U114" i="59"/>
  <c r="V114" i="59"/>
  <c r="W114" i="59"/>
  <c r="X114" i="59"/>
  <c r="Y114" i="59"/>
  <c r="Z114" i="59"/>
  <c r="AA114" i="59"/>
  <c r="AB114" i="59"/>
  <c r="AC114" i="59"/>
  <c r="AD114" i="59"/>
  <c r="AE114" i="59"/>
  <c r="AF114" i="59"/>
  <c r="AG114" i="59"/>
  <c r="M39" i="60"/>
  <c r="I39" i="60"/>
  <c r="N39" i="60"/>
  <c r="S39" i="60"/>
  <c r="M38" i="60"/>
  <c r="I38" i="60"/>
  <c r="N38" i="60"/>
  <c r="S38" i="60"/>
  <c r="M37" i="60"/>
  <c r="I37" i="60"/>
  <c r="N37" i="60"/>
  <c r="S37" i="60"/>
  <c r="M36" i="60"/>
  <c r="I36" i="60"/>
  <c r="N36" i="60"/>
  <c r="S36" i="60"/>
  <c r="M35" i="60"/>
  <c r="I35" i="60"/>
  <c r="N35" i="60"/>
  <c r="S35" i="60"/>
  <c r="M34" i="60"/>
  <c r="I34" i="60"/>
  <c r="N34" i="60"/>
  <c r="S34" i="60"/>
  <c r="M33" i="60"/>
  <c r="I33" i="60"/>
  <c r="N33" i="60"/>
  <c r="S33" i="60"/>
  <c r="M32" i="60"/>
  <c r="I32" i="60"/>
  <c r="N32" i="60"/>
  <c r="S32" i="60"/>
  <c r="M31" i="60"/>
  <c r="I31" i="60"/>
  <c r="N31" i="60"/>
  <c r="S31" i="60"/>
  <c r="M30" i="60"/>
  <c r="I30" i="60"/>
  <c r="N30" i="60"/>
  <c r="S30" i="60"/>
  <c r="M29" i="60"/>
  <c r="I29" i="60"/>
  <c r="N29" i="60"/>
  <c r="S29" i="60"/>
  <c r="M28" i="60"/>
  <c r="I28" i="60"/>
  <c r="N28" i="60"/>
  <c r="S28" i="60"/>
  <c r="M27" i="60"/>
  <c r="I27" i="60"/>
  <c r="N27" i="60"/>
  <c r="S27" i="60"/>
  <c r="M26" i="60"/>
  <c r="I26" i="60"/>
  <c r="N26" i="60"/>
  <c r="S26" i="60"/>
  <c r="M25" i="60"/>
  <c r="I25" i="60"/>
  <c r="N25" i="60"/>
  <c r="S25" i="60"/>
  <c r="M24" i="60"/>
  <c r="I24" i="60"/>
  <c r="N24" i="60"/>
  <c r="S24" i="60"/>
  <c r="M23" i="60"/>
  <c r="I23" i="60"/>
  <c r="N23" i="60"/>
  <c r="S23" i="60"/>
  <c r="M22" i="60"/>
  <c r="I22" i="60"/>
  <c r="N22" i="60"/>
  <c r="S22" i="60"/>
  <c r="M21" i="60"/>
  <c r="I21" i="60"/>
  <c r="N21" i="60"/>
  <c r="S21" i="60"/>
  <c r="M20" i="60"/>
  <c r="I20" i="60"/>
  <c r="N20" i="60"/>
  <c r="S20" i="60"/>
  <c r="M19" i="60"/>
  <c r="I19" i="60"/>
  <c r="N19" i="60"/>
  <c r="S19" i="60"/>
  <c r="M18" i="60"/>
  <c r="I18" i="60"/>
  <c r="N18" i="60"/>
  <c r="S18" i="60"/>
  <c r="M17" i="60"/>
  <c r="I17" i="60"/>
  <c r="N17" i="60"/>
  <c r="S17" i="60"/>
  <c r="R39" i="60"/>
  <c r="R38" i="60"/>
  <c r="R37" i="60"/>
  <c r="R36" i="60"/>
  <c r="R35" i="60"/>
  <c r="R34" i="60"/>
  <c r="R33" i="60"/>
  <c r="R32" i="60"/>
  <c r="R31" i="60"/>
  <c r="R30" i="60"/>
  <c r="R29" i="60"/>
  <c r="R28" i="60"/>
  <c r="R27" i="60"/>
  <c r="R26" i="60"/>
  <c r="R25" i="60"/>
  <c r="R24" i="60"/>
  <c r="R23" i="60"/>
  <c r="R22" i="60"/>
  <c r="R21" i="60"/>
  <c r="R20" i="60"/>
  <c r="R19" i="60"/>
  <c r="R18" i="60"/>
  <c r="R17" i="60"/>
  <c r="T39" i="60"/>
  <c r="T38" i="60"/>
  <c r="T37" i="60"/>
  <c r="T36" i="60"/>
  <c r="T35" i="60"/>
  <c r="T34" i="60"/>
  <c r="T33" i="60"/>
  <c r="T32" i="60"/>
  <c r="T31" i="60"/>
  <c r="T30" i="60"/>
  <c r="T29" i="60"/>
  <c r="T28" i="60"/>
  <c r="T27" i="60"/>
  <c r="T26" i="60"/>
  <c r="T25" i="60"/>
  <c r="T24" i="60"/>
  <c r="T23" i="60"/>
  <c r="T22" i="60"/>
  <c r="T21" i="60"/>
  <c r="T20" i="60"/>
  <c r="T19" i="60"/>
  <c r="T18" i="60"/>
  <c r="T17" i="60"/>
  <c r="D17" i="60"/>
  <c r="O17" i="60"/>
  <c r="P17" i="60"/>
  <c r="Q17" i="60"/>
  <c r="U17" i="60"/>
  <c r="V17" i="60"/>
  <c r="W17" i="60"/>
  <c r="X17" i="60"/>
  <c r="Y17" i="60"/>
  <c r="Z17" i="60"/>
  <c r="AA17" i="60"/>
  <c r="AB17" i="60"/>
  <c r="AC17" i="60"/>
  <c r="AD17" i="60"/>
  <c r="AE17" i="60"/>
  <c r="AF17" i="60"/>
  <c r="AG17" i="60"/>
  <c r="D18" i="60"/>
  <c r="O18" i="60"/>
  <c r="P18" i="60"/>
  <c r="Q18" i="60"/>
  <c r="U18" i="60"/>
  <c r="V18" i="60"/>
  <c r="W18" i="60"/>
  <c r="X18" i="60"/>
  <c r="Y18" i="60"/>
  <c r="Z18" i="60"/>
  <c r="AA18" i="60"/>
  <c r="AB18" i="60"/>
  <c r="AC18" i="60"/>
  <c r="AD18" i="60"/>
  <c r="AE18" i="60"/>
  <c r="AF18" i="60"/>
  <c r="AG18" i="60"/>
  <c r="D19" i="60"/>
  <c r="O19" i="60"/>
  <c r="P19" i="60"/>
  <c r="Q19" i="60"/>
  <c r="U19" i="60"/>
  <c r="V19" i="60"/>
  <c r="W19" i="60"/>
  <c r="X19" i="60"/>
  <c r="Y19" i="60"/>
  <c r="Z19" i="60"/>
  <c r="AA19" i="60"/>
  <c r="AB19" i="60"/>
  <c r="AC19" i="60"/>
  <c r="AD19" i="60"/>
  <c r="AE19" i="60"/>
  <c r="AF19" i="60"/>
  <c r="AG19" i="60"/>
  <c r="D20" i="60"/>
  <c r="O20" i="60"/>
  <c r="P20" i="60"/>
  <c r="Q20" i="60"/>
  <c r="U20" i="60"/>
  <c r="V20" i="60"/>
  <c r="W20" i="60"/>
  <c r="X20" i="60"/>
  <c r="Y20" i="60"/>
  <c r="Z20" i="60"/>
  <c r="AA20" i="60"/>
  <c r="AB20" i="60"/>
  <c r="AC20" i="60"/>
  <c r="AD20" i="60"/>
  <c r="AE20" i="60"/>
  <c r="AF20" i="60"/>
  <c r="AG20" i="60"/>
  <c r="D21" i="60"/>
  <c r="O21" i="60"/>
  <c r="P21" i="60"/>
  <c r="Q21" i="60"/>
  <c r="U21" i="60"/>
  <c r="V21" i="60"/>
  <c r="W21" i="60"/>
  <c r="X21" i="60"/>
  <c r="Y21" i="60"/>
  <c r="Z21" i="60"/>
  <c r="AA21" i="60"/>
  <c r="AB21" i="60"/>
  <c r="AC21" i="60"/>
  <c r="AD21" i="60"/>
  <c r="AE21" i="60"/>
  <c r="AF21" i="60"/>
  <c r="AG21" i="60"/>
  <c r="D22" i="60"/>
  <c r="O22" i="60"/>
  <c r="P22" i="60"/>
  <c r="Q22" i="60"/>
  <c r="U22" i="60"/>
  <c r="V22" i="60"/>
  <c r="W22" i="60"/>
  <c r="X22" i="60"/>
  <c r="Y22" i="60"/>
  <c r="Z22" i="60"/>
  <c r="AA22" i="60"/>
  <c r="AB22" i="60"/>
  <c r="AC22" i="60"/>
  <c r="AD22" i="60"/>
  <c r="AE22" i="60"/>
  <c r="AF22" i="60"/>
  <c r="AG22" i="60"/>
  <c r="D23" i="60"/>
  <c r="O23" i="60"/>
  <c r="P23" i="60"/>
  <c r="Q23" i="60"/>
  <c r="U23" i="60"/>
  <c r="V23" i="60"/>
  <c r="W23" i="60"/>
  <c r="X23" i="60"/>
  <c r="Y23" i="60"/>
  <c r="Z23" i="60"/>
  <c r="AA23" i="60"/>
  <c r="AB23" i="60"/>
  <c r="AC23" i="60"/>
  <c r="AD23" i="60"/>
  <c r="AE23" i="60"/>
  <c r="AF23" i="60"/>
  <c r="AG23" i="60"/>
  <c r="D24" i="60"/>
  <c r="O24" i="60"/>
  <c r="P24" i="60"/>
  <c r="Q24" i="60"/>
  <c r="U24" i="60"/>
  <c r="V24" i="60"/>
  <c r="W24" i="60"/>
  <c r="X24" i="60"/>
  <c r="Y24" i="60"/>
  <c r="Z24" i="60"/>
  <c r="AA24" i="60"/>
  <c r="AB24" i="60"/>
  <c r="AC24" i="60"/>
  <c r="AD24" i="60"/>
  <c r="AE24" i="60"/>
  <c r="AF24" i="60"/>
  <c r="AG24" i="60"/>
  <c r="D25" i="60"/>
  <c r="O25" i="60"/>
  <c r="P25" i="60"/>
  <c r="Q25" i="60"/>
  <c r="U25" i="60"/>
  <c r="V25" i="60"/>
  <c r="W25" i="60"/>
  <c r="X25" i="60"/>
  <c r="Y25" i="60"/>
  <c r="Z25" i="60"/>
  <c r="AA25" i="60"/>
  <c r="AB25" i="60"/>
  <c r="AC25" i="60"/>
  <c r="AD25" i="60"/>
  <c r="AE25" i="60"/>
  <c r="AF25" i="60"/>
  <c r="AG25" i="60"/>
  <c r="D26" i="60"/>
  <c r="O26" i="60"/>
  <c r="P26" i="60"/>
  <c r="Q26" i="60"/>
  <c r="U26" i="60"/>
  <c r="V26" i="60"/>
  <c r="W26" i="60"/>
  <c r="X26" i="60"/>
  <c r="Y26" i="60"/>
  <c r="Z26" i="60"/>
  <c r="AA26" i="60"/>
  <c r="AB26" i="60"/>
  <c r="AC26" i="60"/>
  <c r="AD26" i="60"/>
  <c r="AE26" i="60"/>
  <c r="AF26" i="60"/>
  <c r="AG26" i="60"/>
  <c r="D27" i="60"/>
  <c r="O27" i="60"/>
  <c r="P27" i="60"/>
  <c r="Q27" i="60"/>
  <c r="U27" i="60"/>
  <c r="V27" i="60"/>
  <c r="W27" i="60"/>
  <c r="X27" i="60"/>
  <c r="Y27" i="60"/>
  <c r="Z27" i="60"/>
  <c r="AA27" i="60"/>
  <c r="AB27" i="60"/>
  <c r="AC27" i="60"/>
  <c r="AD27" i="60"/>
  <c r="AE27" i="60"/>
  <c r="AF27" i="60"/>
  <c r="AG27" i="60"/>
  <c r="D28" i="60"/>
  <c r="O28" i="60"/>
  <c r="P28" i="60"/>
  <c r="Q28" i="60"/>
  <c r="U28" i="60"/>
  <c r="V28" i="60"/>
  <c r="W28" i="60"/>
  <c r="X28" i="60"/>
  <c r="Y28" i="60"/>
  <c r="Z28" i="60"/>
  <c r="AA28" i="60"/>
  <c r="AB28" i="60"/>
  <c r="AC28" i="60"/>
  <c r="AD28" i="60"/>
  <c r="AE28" i="60"/>
  <c r="AF28" i="60"/>
  <c r="AG28" i="60"/>
  <c r="D29" i="60"/>
  <c r="O29" i="60"/>
  <c r="P29" i="60"/>
  <c r="Q29" i="60"/>
  <c r="U29" i="60"/>
  <c r="V29" i="60"/>
  <c r="W29" i="60"/>
  <c r="X29" i="60"/>
  <c r="Y29" i="60"/>
  <c r="Z29" i="60"/>
  <c r="AA29" i="60"/>
  <c r="AB29" i="60"/>
  <c r="AC29" i="60"/>
  <c r="AD29" i="60"/>
  <c r="AE29" i="60"/>
  <c r="AF29" i="60"/>
  <c r="AG29" i="60"/>
  <c r="D30" i="60"/>
  <c r="O30" i="60"/>
  <c r="P30" i="60"/>
  <c r="Q30" i="60"/>
  <c r="U30" i="60"/>
  <c r="V30" i="60"/>
  <c r="W30" i="60"/>
  <c r="X30" i="60"/>
  <c r="Y30" i="60"/>
  <c r="Z30" i="60"/>
  <c r="AA30" i="60"/>
  <c r="AB30" i="60"/>
  <c r="AC30" i="60"/>
  <c r="AD30" i="60"/>
  <c r="AE30" i="60"/>
  <c r="AF30" i="60"/>
  <c r="AG30" i="60"/>
  <c r="D31" i="60"/>
  <c r="O31" i="60"/>
  <c r="P31" i="60"/>
  <c r="Q31" i="60"/>
  <c r="U31" i="60"/>
  <c r="V31" i="60"/>
  <c r="W31" i="60"/>
  <c r="X31" i="60"/>
  <c r="Y31" i="60"/>
  <c r="Z31" i="60"/>
  <c r="AA31" i="60"/>
  <c r="AB31" i="60"/>
  <c r="AC31" i="60"/>
  <c r="AD31" i="60"/>
  <c r="AE31" i="60"/>
  <c r="AF31" i="60"/>
  <c r="AG31" i="60"/>
  <c r="D32" i="60"/>
  <c r="O32" i="60"/>
  <c r="P32" i="60"/>
  <c r="Q32" i="60"/>
  <c r="U32" i="60"/>
  <c r="V32" i="60"/>
  <c r="W32" i="60"/>
  <c r="X32" i="60"/>
  <c r="Y32" i="60"/>
  <c r="Z32" i="60"/>
  <c r="AA32" i="60"/>
  <c r="AB32" i="60"/>
  <c r="AC32" i="60"/>
  <c r="AD32" i="60"/>
  <c r="AE32" i="60"/>
  <c r="AF32" i="60"/>
  <c r="AG32" i="60"/>
  <c r="D33" i="60"/>
  <c r="O33" i="60"/>
  <c r="P33" i="60"/>
  <c r="Q33" i="60"/>
  <c r="U33" i="60"/>
  <c r="V33" i="60"/>
  <c r="W33" i="60"/>
  <c r="X33" i="60"/>
  <c r="Y33" i="60"/>
  <c r="Z33" i="60"/>
  <c r="AA33" i="60"/>
  <c r="AB33" i="60"/>
  <c r="AC33" i="60"/>
  <c r="AD33" i="60"/>
  <c r="AE33" i="60"/>
  <c r="AF33" i="60"/>
  <c r="AG33" i="60"/>
  <c r="D34" i="60"/>
  <c r="O34" i="60"/>
  <c r="P34" i="60"/>
  <c r="Q34" i="60"/>
  <c r="U34" i="60"/>
  <c r="V34" i="60"/>
  <c r="W34" i="60"/>
  <c r="X34" i="60"/>
  <c r="Y34" i="60"/>
  <c r="Z34" i="60"/>
  <c r="AA34" i="60"/>
  <c r="AB34" i="60"/>
  <c r="AC34" i="60"/>
  <c r="AD34" i="60"/>
  <c r="AE34" i="60"/>
  <c r="AF34" i="60"/>
  <c r="AG34" i="60"/>
  <c r="D35" i="60"/>
  <c r="O35" i="60"/>
  <c r="P35" i="60"/>
  <c r="Q35" i="60"/>
  <c r="U35" i="60"/>
  <c r="V35" i="60"/>
  <c r="W35" i="60"/>
  <c r="X35" i="60"/>
  <c r="Y35" i="60"/>
  <c r="Z35" i="60"/>
  <c r="AA35" i="60"/>
  <c r="AB35" i="60"/>
  <c r="AC35" i="60"/>
  <c r="AD35" i="60"/>
  <c r="AE35" i="60"/>
  <c r="AF35" i="60"/>
  <c r="AG35" i="60"/>
  <c r="D36" i="60"/>
  <c r="O36" i="60"/>
  <c r="P36" i="60"/>
  <c r="Q36" i="60"/>
  <c r="U36" i="60"/>
  <c r="V36" i="60"/>
  <c r="W36" i="60"/>
  <c r="X36" i="60"/>
  <c r="Y36" i="60"/>
  <c r="Z36" i="60"/>
  <c r="AA36" i="60"/>
  <c r="AB36" i="60"/>
  <c r="AC36" i="60"/>
  <c r="AD36" i="60"/>
  <c r="AE36" i="60"/>
  <c r="AF36" i="60"/>
  <c r="AG36" i="60"/>
  <c r="D37" i="60"/>
  <c r="O37" i="60"/>
  <c r="P37" i="60"/>
  <c r="Q37" i="60"/>
  <c r="U37" i="60"/>
  <c r="V37" i="60"/>
  <c r="W37" i="60"/>
  <c r="X37" i="60"/>
  <c r="Y37" i="60"/>
  <c r="Z37" i="60"/>
  <c r="AA37" i="60"/>
  <c r="AB37" i="60"/>
  <c r="AC37" i="60"/>
  <c r="AD37" i="60"/>
  <c r="AE37" i="60"/>
  <c r="AF37" i="60"/>
  <c r="AG37" i="60"/>
  <c r="D38" i="60"/>
  <c r="O38" i="60"/>
  <c r="P38" i="60"/>
  <c r="Q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D39" i="60"/>
  <c r="O39" i="60"/>
  <c r="P39" i="60"/>
  <c r="Q39" i="60"/>
  <c r="U39" i="60"/>
  <c r="V39" i="60"/>
  <c r="W39" i="60"/>
  <c r="X39" i="60"/>
  <c r="Y39" i="60"/>
  <c r="Z39" i="60"/>
  <c r="AA39" i="60"/>
  <c r="AB39" i="60"/>
  <c r="AC39" i="60"/>
  <c r="AD39" i="60"/>
  <c r="AE39" i="60"/>
  <c r="AF39" i="60"/>
  <c r="AG39" i="60"/>
  <c r="M37" i="61"/>
  <c r="I37" i="61"/>
  <c r="N37" i="61"/>
  <c r="S37" i="61"/>
  <c r="M36" i="61"/>
  <c r="I36" i="61"/>
  <c r="N36" i="61"/>
  <c r="S36" i="61"/>
  <c r="M35" i="61"/>
  <c r="I35" i="61"/>
  <c r="N35" i="61"/>
  <c r="S35" i="61"/>
  <c r="M34" i="61"/>
  <c r="I34" i="61"/>
  <c r="N34" i="61"/>
  <c r="S34" i="61"/>
  <c r="M33" i="61"/>
  <c r="I33" i="61"/>
  <c r="N33" i="61"/>
  <c r="S33" i="61"/>
  <c r="M32" i="61"/>
  <c r="I32" i="61"/>
  <c r="N32" i="61"/>
  <c r="S32" i="61"/>
  <c r="M31" i="61"/>
  <c r="I31" i="61"/>
  <c r="N31" i="61"/>
  <c r="S31" i="61"/>
  <c r="M30" i="61"/>
  <c r="I30" i="61"/>
  <c r="N30" i="61"/>
  <c r="S30" i="61"/>
  <c r="M29" i="61"/>
  <c r="I29" i="61"/>
  <c r="N29" i="61"/>
  <c r="S29" i="61"/>
  <c r="M28" i="61"/>
  <c r="I28" i="61"/>
  <c r="N28" i="61"/>
  <c r="S28" i="61"/>
  <c r="M27" i="61"/>
  <c r="I27" i="61"/>
  <c r="N27" i="61"/>
  <c r="S27" i="61"/>
  <c r="M26" i="61"/>
  <c r="I26" i="61"/>
  <c r="N26" i="61"/>
  <c r="S26" i="61"/>
  <c r="M25" i="61"/>
  <c r="I25" i="61"/>
  <c r="N25" i="61"/>
  <c r="S25" i="61"/>
  <c r="M24" i="61"/>
  <c r="I24" i="61"/>
  <c r="N24" i="61"/>
  <c r="S24" i="61"/>
  <c r="M23" i="61"/>
  <c r="I23" i="61"/>
  <c r="N23" i="61"/>
  <c r="S23" i="61"/>
  <c r="M22" i="61"/>
  <c r="I22" i="61"/>
  <c r="N22" i="61"/>
  <c r="S22" i="61"/>
  <c r="M21" i="61"/>
  <c r="I21" i="61"/>
  <c r="N21" i="61"/>
  <c r="S21" i="61"/>
  <c r="M20" i="61"/>
  <c r="I20" i="61"/>
  <c r="N20" i="61"/>
  <c r="S20" i="61"/>
  <c r="M19" i="61"/>
  <c r="I19" i="61"/>
  <c r="N19" i="61"/>
  <c r="S19" i="61"/>
  <c r="M18" i="61"/>
  <c r="I18" i="61"/>
  <c r="N18" i="61"/>
  <c r="S18" i="61"/>
  <c r="M17" i="61"/>
  <c r="I17" i="61"/>
  <c r="N17" i="61"/>
  <c r="S17" i="61"/>
  <c r="R37" i="61"/>
  <c r="R36" i="61"/>
  <c r="R35" i="61"/>
  <c r="R34" i="61"/>
  <c r="R33" i="61"/>
  <c r="R32" i="61"/>
  <c r="R31" i="61"/>
  <c r="R30" i="61"/>
  <c r="R29" i="61"/>
  <c r="R28" i="61"/>
  <c r="R27" i="61"/>
  <c r="R26" i="61"/>
  <c r="R25" i="61"/>
  <c r="R24" i="61"/>
  <c r="R23" i="61"/>
  <c r="R22" i="61"/>
  <c r="R21" i="61"/>
  <c r="R20" i="61"/>
  <c r="R19" i="61"/>
  <c r="R18" i="61"/>
  <c r="R17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D17" i="61"/>
  <c r="O17" i="61"/>
  <c r="P17" i="61"/>
  <c r="Q17" i="61"/>
  <c r="U17" i="61"/>
  <c r="V17" i="61"/>
  <c r="W17" i="61"/>
  <c r="X17" i="61"/>
  <c r="Y17" i="61"/>
  <c r="Z17" i="61"/>
  <c r="AA17" i="61"/>
  <c r="AB17" i="61"/>
  <c r="AC17" i="61"/>
  <c r="AD17" i="61"/>
  <c r="AE17" i="61"/>
  <c r="AF17" i="61"/>
  <c r="AG17" i="61"/>
  <c r="D18" i="61"/>
  <c r="O18" i="61"/>
  <c r="P18" i="61"/>
  <c r="Q18" i="61"/>
  <c r="U18" i="61"/>
  <c r="V18" i="61"/>
  <c r="W18" i="61"/>
  <c r="X18" i="61"/>
  <c r="Y18" i="61"/>
  <c r="Z18" i="61"/>
  <c r="AA18" i="61"/>
  <c r="AB18" i="61"/>
  <c r="AC18" i="61"/>
  <c r="AD18" i="61"/>
  <c r="AE18" i="61"/>
  <c r="AF18" i="61"/>
  <c r="AG18" i="61"/>
  <c r="D19" i="61"/>
  <c r="O19" i="61"/>
  <c r="P19" i="61"/>
  <c r="Q19" i="61"/>
  <c r="U19" i="61"/>
  <c r="V19" i="61"/>
  <c r="W19" i="61"/>
  <c r="X19" i="61"/>
  <c r="Y19" i="61"/>
  <c r="Z19" i="61"/>
  <c r="AA19" i="61"/>
  <c r="AB19" i="61"/>
  <c r="AC19" i="61"/>
  <c r="AD19" i="61"/>
  <c r="AE19" i="61"/>
  <c r="AF19" i="61"/>
  <c r="AG19" i="61"/>
  <c r="D20" i="61"/>
  <c r="O20" i="61"/>
  <c r="P20" i="61"/>
  <c r="Q20" i="61"/>
  <c r="U20" i="61"/>
  <c r="V20" i="61"/>
  <c r="W20" i="61"/>
  <c r="X20" i="61"/>
  <c r="Y20" i="61"/>
  <c r="Z20" i="61"/>
  <c r="AA20" i="61"/>
  <c r="AB20" i="61"/>
  <c r="AC20" i="61"/>
  <c r="AD20" i="61"/>
  <c r="AE20" i="61"/>
  <c r="AF20" i="61"/>
  <c r="AG20" i="61"/>
  <c r="D21" i="61"/>
  <c r="O21" i="61"/>
  <c r="P21" i="61"/>
  <c r="Q21" i="61"/>
  <c r="U21" i="61"/>
  <c r="V21" i="61"/>
  <c r="W21" i="61"/>
  <c r="X21" i="61"/>
  <c r="Y21" i="61"/>
  <c r="Z21" i="61"/>
  <c r="AA21" i="61"/>
  <c r="AB21" i="61"/>
  <c r="AC21" i="61"/>
  <c r="AD21" i="61"/>
  <c r="AE21" i="61"/>
  <c r="AF21" i="61"/>
  <c r="AG21" i="61"/>
  <c r="D22" i="61"/>
  <c r="O22" i="61"/>
  <c r="P22" i="61"/>
  <c r="Q22" i="61"/>
  <c r="U22" i="61"/>
  <c r="V22" i="61"/>
  <c r="W22" i="61"/>
  <c r="X22" i="61"/>
  <c r="Y22" i="61"/>
  <c r="Z22" i="61"/>
  <c r="AA22" i="61"/>
  <c r="AB22" i="61"/>
  <c r="AC22" i="61"/>
  <c r="AD22" i="61"/>
  <c r="AE22" i="61"/>
  <c r="AF22" i="61"/>
  <c r="AG22" i="61"/>
  <c r="D23" i="61"/>
  <c r="O23" i="61"/>
  <c r="P23" i="61"/>
  <c r="Q23" i="61"/>
  <c r="U23" i="61"/>
  <c r="V23" i="61"/>
  <c r="W23" i="61"/>
  <c r="X23" i="61"/>
  <c r="Y23" i="61"/>
  <c r="Z23" i="61"/>
  <c r="AA23" i="61"/>
  <c r="AB23" i="61"/>
  <c r="AC23" i="61"/>
  <c r="AD23" i="61"/>
  <c r="AE23" i="61"/>
  <c r="AF23" i="61"/>
  <c r="AG23" i="61"/>
  <c r="D24" i="61"/>
  <c r="O24" i="61"/>
  <c r="P24" i="61"/>
  <c r="Q24" i="61"/>
  <c r="U24" i="61"/>
  <c r="V24" i="61"/>
  <c r="W24" i="61"/>
  <c r="X24" i="61"/>
  <c r="Y24" i="61"/>
  <c r="Z24" i="61"/>
  <c r="AA24" i="61"/>
  <c r="AB24" i="61"/>
  <c r="AC24" i="61"/>
  <c r="AD24" i="61"/>
  <c r="AE24" i="61"/>
  <c r="AF24" i="61"/>
  <c r="AG24" i="61"/>
  <c r="D25" i="61"/>
  <c r="O25" i="61"/>
  <c r="P25" i="61"/>
  <c r="Q25" i="61"/>
  <c r="U25" i="61"/>
  <c r="V25" i="61"/>
  <c r="W25" i="61"/>
  <c r="X25" i="61"/>
  <c r="Y25" i="61"/>
  <c r="Z25" i="61"/>
  <c r="AA25" i="61"/>
  <c r="AB25" i="61"/>
  <c r="AC25" i="61"/>
  <c r="AD25" i="61"/>
  <c r="AE25" i="61"/>
  <c r="AF25" i="61"/>
  <c r="AG25" i="61"/>
  <c r="D26" i="61"/>
  <c r="O26" i="61"/>
  <c r="P26" i="61"/>
  <c r="Q26" i="61"/>
  <c r="U26" i="61"/>
  <c r="V26" i="61"/>
  <c r="W26" i="61"/>
  <c r="X26" i="61"/>
  <c r="Y26" i="61"/>
  <c r="Z26" i="61"/>
  <c r="AA26" i="61"/>
  <c r="AB26" i="61"/>
  <c r="AC26" i="61"/>
  <c r="AD26" i="61"/>
  <c r="AE26" i="61"/>
  <c r="AF26" i="61"/>
  <c r="AG26" i="61"/>
  <c r="D27" i="61"/>
  <c r="O27" i="61"/>
  <c r="P27" i="61"/>
  <c r="Q27" i="61"/>
  <c r="U27" i="61"/>
  <c r="V27" i="61"/>
  <c r="W27" i="61"/>
  <c r="X27" i="61"/>
  <c r="Y27" i="61"/>
  <c r="Z27" i="61"/>
  <c r="AA27" i="61"/>
  <c r="AB27" i="61"/>
  <c r="AC27" i="61"/>
  <c r="AD27" i="61"/>
  <c r="AE27" i="61"/>
  <c r="AF27" i="61"/>
  <c r="AG27" i="61"/>
  <c r="D28" i="61"/>
  <c r="O28" i="61"/>
  <c r="P28" i="61"/>
  <c r="Q28" i="61"/>
  <c r="U28" i="61"/>
  <c r="V28" i="61"/>
  <c r="W28" i="61"/>
  <c r="X28" i="61"/>
  <c r="Y28" i="61"/>
  <c r="Z28" i="61"/>
  <c r="AA28" i="61"/>
  <c r="AB28" i="61"/>
  <c r="AC28" i="61"/>
  <c r="AD28" i="61"/>
  <c r="AE28" i="61"/>
  <c r="AF28" i="61"/>
  <c r="AG28" i="61"/>
  <c r="D29" i="61"/>
  <c r="O29" i="61"/>
  <c r="P29" i="61"/>
  <c r="Q29" i="61"/>
  <c r="U29" i="61"/>
  <c r="V29" i="61"/>
  <c r="W29" i="61"/>
  <c r="X29" i="61"/>
  <c r="Y29" i="61"/>
  <c r="Z29" i="61"/>
  <c r="AA29" i="61"/>
  <c r="AB29" i="61"/>
  <c r="AC29" i="61"/>
  <c r="AD29" i="61"/>
  <c r="AE29" i="61"/>
  <c r="AF29" i="61"/>
  <c r="AG29" i="61"/>
  <c r="D30" i="61"/>
  <c r="O30" i="61"/>
  <c r="P30" i="61"/>
  <c r="Q30" i="61"/>
  <c r="U30" i="61"/>
  <c r="V30" i="61"/>
  <c r="W30" i="61"/>
  <c r="X30" i="61"/>
  <c r="Y30" i="61"/>
  <c r="Z30" i="61"/>
  <c r="AA30" i="61"/>
  <c r="AB30" i="61"/>
  <c r="AC30" i="61"/>
  <c r="AD30" i="61"/>
  <c r="AE30" i="61"/>
  <c r="AF30" i="61"/>
  <c r="AG30" i="61"/>
  <c r="D31" i="61"/>
  <c r="O31" i="61"/>
  <c r="P31" i="61"/>
  <c r="Q31" i="61"/>
  <c r="U31" i="61"/>
  <c r="V31" i="61"/>
  <c r="W31" i="61"/>
  <c r="X31" i="61"/>
  <c r="Y31" i="61"/>
  <c r="Z31" i="61"/>
  <c r="AA31" i="61"/>
  <c r="AB31" i="61"/>
  <c r="AC31" i="61"/>
  <c r="AD31" i="61"/>
  <c r="AE31" i="61"/>
  <c r="AF31" i="61"/>
  <c r="AG31" i="61"/>
  <c r="D32" i="61"/>
  <c r="O32" i="61"/>
  <c r="P32" i="61"/>
  <c r="Q32" i="61"/>
  <c r="U32" i="61"/>
  <c r="V32" i="61"/>
  <c r="W32" i="61"/>
  <c r="X32" i="61"/>
  <c r="Y32" i="61"/>
  <c r="Z32" i="61"/>
  <c r="AA32" i="61"/>
  <c r="AB32" i="61"/>
  <c r="AC32" i="61"/>
  <c r="AD32" i="61"/>
  <c r="AE32" i="61"/>
  <c r="AF32" i="61"/>
  <c r="AG32" i="61"/>
  <c r="D33" i="61"/>
  <c r="O33" i="61"/>
  <c r="P33" i="61"/>
  <c r="Q33" i="61"/>
  <c r="U33" i="61"/>
  <c r="V33" i="61"/>
  <c r="W33" i="61"/>
  <c r="X33" i="61"/>
  <c r="Y33" i="61"/>
  <c r="Z33" i="61"/>
  <c r="AA33" i="61"/>
  <c r="AB33" i="61"/>
  <c r="AC33" i="61"/>
  <c r="AD33" i="61"/>
  <c r="AE33" i="61"/>
  <c r="AF33" i="61"/>
  <c r="AG33" i="61"/>
  <c r="D34" i="61"/>
  <c r="O34" i="61"/>
  <c r="P34" i="61"/>
  <c r="Q34" i="61"/>
  <c r="U34" i="61"/>
  <c r="V34" i="61"/>
  <c r="W34" i="61"/>
  <c r="X34" i="61"/>
  <c r="Y34" i="61"/>
  <c r="Z34" i="61"/>
  <c r="AA34" i="61"/>
  <c r="AB34" i="61"/>
  <c r="AC34" i="61"/>
  <c r="AD34" i="61"/>
  <c r="AE34" i="61"/>
  <c r="AF34" i="61"/>
  <c r="AG34" i="61"/>
  <c r="D35" i="61"/>
  <c r="O35" i="61"/>
  <c r="P35" i="61"/>
  <c r="Q35" i="61"/>
  <c r="U35" i="61"/>
  <c r="V35" i="61"/>
  <c r="W35" i="61"/>
  <c r="X35" i="61"/>
  <c r="Y35" i="61"/>
  <c r="Z35" i="61"/>
  <c r="AA35" i="61"/>
  <c r="AB35" i="61"/>
  <c r="AC35" i="61"/>
  <c r="AD35" i="61"/>
  <c r="AE35" i="61"/>
  <c r="AF35" i="61"/>
  <c r="AG35" i="61"/>
  <c r="D36" i="61"/>
  <c r="O36" i="61"/>
  <c r="P36" i="61"/>
  <c r="Q36" i="61"/>
  <c r="U36" i="61"/>
  <c r="V36" i="61"/>
  <c r="W36" i="61"/>
  <c r="X36" i="61"/>
  <c r="Y36" i="61"/>
  <c r="Z36" i="61"/>
  <c r="AA36" i="61"/>
  <c r="AB36" i="61"/>
  <c r="AC36" i="61"/>
  <c r="AD36" i="61"/>
  <c r="AE36" i="61"/>
  <c r="AF36" i="61"/>
  <c r="AG36" i="61"/>
  <c r="D37" i="61"/>
  <c r="O37" i="61"/>
  <c r="P37" i="61"/>
  <c r="Q37" i="61"/>
  <c r="U37" i="61"/>
  <c r="V37" i="61"/>
  <c r="W37" i="61"/>
  <c r="X37" i="61"/>
  <c r="Y37" i="61"/>
  <c r="Z37" i="61"/>
  <c r="AA37" i="61"/>
  <c r="AB37" i="61"/>
  <c r="AC37" i="61"/>
  <c r="AD37" i="61"/>
  <c r="AE37" i="61"/>
  <c r="AF37" i="61"/>
  <c r="AG37" i="61"/>
  <c r="M45" i="62"/>
  <c r="I45" i="62"/>
  <c r="N45" i="62"/>
  <c r="S45" i="62"/>
  <c r="M44" i="62"/>
  <c r="I44" i="62"/>
  <c r="N44" i="62"/>
  <c r="S44" i="62"/>
  <c r="M43" i="62"/>
  <c r="I43" i="62"/>
  <c r="N43" i="62"/>
  <c r="S43" i="62"/>
  <c r="M42" i="62"/>
  <c r="I42" i="62"/>
  <c r="N42" i="62"/>
  <c r="S42" i="62"/>
  <c r="M41" i="62"/>
  <c r="I41" i="62"/>
  <c r="N41" i="62"/>
  <c r="S41" i="62"/>
  <c r="M40" i="62"/>
  <c r="I40" i="62"/>
  <c r="N40" i="62"/>
  <c r="S40" i="62"/>
  <c r="M39" i="62"/>
  <c r="I39" i="62"/>
  <c r="N39" i="62"/>
  <c r="S39" i="62"/>
  <c r="M38" i="62"/>
  <c r="I38" i="62"/>
  <c r="N38" i="62"/>
  <c r="S38" i="62"/>
  <c r="M37" i="62"/>
  <c r="I37" i="62"/>
  <c r="N37" i="62"/>
  <c r="S37" i="62"/>
  <c r="M36" i="62"/>
  <c r="I36" i="62"/>
  <c r="N36" i="62"/>
  <c r="S36" i="62"/>
  <c r="M35" i="62"/>
  <c r="I35" i="62"/>
  <c r="N35" i="62"/>
  <c r="S35" i="62"/>
  <c r="M34" i="62"/>
  <c r="I34" i="62"/>
  <c r="N34" i="62"/>
  <c r="S34" i="62"/>
  <c r="M33" i="62"/>
  <c r="I33" i="62"/>
  <c r="N33" i="62"/>
  <c r="S33" i="62"/>
  <c r="M32" i="62"/>
  <c r="I32" i="62"/>
  <c r="N32" i="62"/>
  <c r="S32" i="62"/>
  <c r="M31" i="62"/>
  <c r="I31" i="62"/>
  <c r="N31" i="62"/>
  <c r="S31" i="62"/>
  <c r="M30" i="62"/>
  <c r="I30" i="62"/>
  <c r="N30" i="62"/>
  <c r="S30" i="62"/>
  <c r="M29" i="62"/>
  <c r="I29" i="62"/>
  <c r="N29" i="62"/>
  <c r="S29" i="62"/>
  <c r="M28" i="62"/>
  <c r="I28" i="62"/>
  <c r="N28" i="62"/>
  <c r="S28" i="62"/>
  <c r="M27" i="62"/>
  <c r="I27" i="62"/>
  <c r="N27" i="62"/>
  <c r="S27" i="62"/>
  <c r="M26" i="62"/>
  <c r="I26" i="62"/>
  <c r="N26" i="62"/>
  <c r="S26" i="62"/>
  <c r="M25" i="62"/>
  <c r="I25" i="62"/>
  <c r="N25" i="62"/>
  <c r="S25" i="62"/>
  <c r="M24" i="62"/>
  <c r="I24" i="62"/>
  <c r="N24" i="62"/>
  <c r="S24" i="62"/>
  <c r="M23" i="62"/>
  <c r="I23" i="62"/>
  <c r="N23" i="62"/>
  <c r="S23" i="62"/>
  <c r="M22" i="62"/>
  <c r="I22" i="62"/>
  <c r="N22" i="62"/>
  <c r="S22" i="62"/>
  <c r="M21" i="62"/>
  <c r="I21" i="62"/>
  <c r="N21" i="62"/>
  <c r="S21" i="62"/>
  <c r="M20" i="62"/>
  <c r="I20" i="62"/>
  <c r="N20" i="62"/>
  <c r="S20" i="62"/>
  <c r="M19" i="62"/>
  <c r="I19" i="62"/>
  <c r="N19" i="62"/>
  <c r="S19" i="62"/>
  <c r="M18" i="62"/>
  <c r="I18" i="62"/>
  <c r="N18" i="62"/>
  <c r="S18" i="62"/>
  <c r="M17" i="62"/>
  <c r="I17" i="62"/>
  <c r="N17" i="62"/>
  <c r="S17" i="62"/>
  <c r="R45" i="62"/>
  <c r="R44" i="62"/>
  <c r="R43" i="62"/>
  <c r="R42" i="62"/>
  <c r="R41" i="62"/>
  <c r="R40" i="62"/>
  <c r="R39" i="62"/>
  <c r="R38" i="62"/>
  <c r="R37" i="62"/>
  <c r="R36" i="62"/>
  <c r="R35" i="62"/>
  <c r="R34" i="62"/>
  <c r="R33" i="62"/>
  <c r="R32" i="62"/>
  <c r="R31" i="62"/>
  <c r="R30" i="62"/>
  <c r="R29" i="62"/>
  <c r="R28" i="62"/>
  <c r="R27" i="62"/>
  <c r="R26" i="62"/>
  <c r="R25" i="62"/>
  <c r="R24" i="62"/>
  <c r="R23" i="62"/>
  <c r="R22" i="62"/>
  <c r="R21" i="62"/>
  <c r="R20" i="62"/>
  <c r="R19" i="62"/>
  <c r="R18" i="62"/>
  <c r="R17" i="62"/>
  <c r="T45" i="62"/>
  <c r="T44" i="62"/>
  <c r="T43" i="62"/>
  <c r="T42" i="62"/>
  <c r="T41" i="62"/>
  <c r="T40" i="62"/>
  <c r="T39" i="62"/>
  <c r="T38" i="62"/>
  <c r="T37" i="62"/>
  <c r="T36" i="62"/>
  <c r="T35" i="62"/>
  <c r="T34" i="62"/>
  <c r="T33" i="62"/>
  <c r="T32" i="62"/>
  <c r="T31" i="62"/>
  <c r="T30" i="62"/>
  <c r="T29" i="62"/>
  <c r="T28" i="62"/>
  <c r="T27" i="62"/>
  <c r="T26" i="62"/>
  <c r="T25" i="62"/>
  <c r="T24" i="62"/>
  <c r="T23" i="62"/>
  <c r="T22" i="62"/>
  <c r="T21" i="62"/>
  <c r="T20" i="62"/>
  <c r="T19" i="62"/>
  <c r="T18" i="62"/>
  <c r="T17" i="62"/>
  <c r="D17" i="62"/>
  <c r="O17" i="62"/>
  <c r="P17" i="62"/>
  <c r="Q17" i="62"/>
  <c r="U17" i="62"/>
  <c r="V17" i="62"/>
  <c r="W17" i="62"/>
  <c r="X17" i="62"/>
  <c r="Y17" i="62"/>
  <c r="Z17" i="62"/>
  <c r="AA17" i="62"/>
  <c r="AB17" i="62"/>
  <c r="AC17" i="62"/>
  <c r="AD17" i="62"/>
  <c r="AE17" i="62"/>
  <c r="AF17" i="62"/>
  <c r="AG17" i="62"/>
  <c r="D18" i="62"/>
  <c r="O18" i="62"/>
  <c r="P18" i="62"/>
  <c r="Q18" i="62"/>
  <c r="U18" i="62"/>
  <c r="V18" i="62"/>
  <c r="W18" i="62"/>
  <c r="X18" i="62"/>
  <c r="Y18" i="62"/>
  <c r="Z18" i="62"/>
  <c r="AA18" i="62"/>
  <c r="AB18" i="62"/>
  <c r="AC18" i="62"/>
  <c r="AD18" i="62"/>
  <c r="AE18" i="62"/>
  <c r="AF18" i="62"/>
  <c r="AG18" i="62"/>
  <c r="D19" i="62"/>
  <c r="O19" i="62"/>
  <c r="P19" i="62"/>
  <c r="Q19" i="62"/>
  <c r="U19" i="62"/>
  <c r="V19" i="62"/>
  <c r="W19" i="62"/>
  <c r="X19" i="62"/>
  <c r="Y19" i="62"/>
  <c r="Z19" i="62"/>
  <c r="AA19" i="62"/>
  <c r="AB19" i="62"/>
  <c r="AC19" i="62"/>
  <c r="AD19" i="62"/>
  <c r="AE19" i="62"/>
  <c r="AF19" i="62"/>
  <c r="AG19" i="62"/>
  <c r="D20" i="62"/>
  <c r="O20" i="62"/>
  <c r="P20" i="62"/>
  <c r="Q20" i="62"/>
  <c r="U20" i="62"/>
  <c r="V20" i="62"/>
  <c r="W20" i="62"/>
  <c r="X20" i="62"/>
  <c r="Y20" i="62"/>
  <c r="Z20" i="62"/>
  <c r="AA20" i="62"/>
  <c r="AB20" i="62"/>
  <c r="AC20" i="62"/>
  <c r="AD20" i="62"/>
  <c r="AE20" i="62"/>
  <c r="AF20" i="62"/>
  <c r="AG20" i="62"/>
  <c r="D21" i="62"/>
  <c r="O21" i="62"/>
  <c r="P21" i="62"/>
  <c r="Q21" i="62"/>
  <c r="U21" i="62"/>
  <c r="V21" i="62"/>
  <c r="W21" i="62"/>
  <c r="X21" i="62"/>
  <c r="Y21" i="62"/>
  <c r="Z21" i="62"/>
  <c r="AA21" i="62"/>
  <c r="AB21" i="62"/>
  <c r="AC21" i="62"/>
  <c r="AD21" i="62"/>
  <c r="AE21" i="62"/>
  <c r="AF21" i="62"/>
  <c r="AG21" i="62"/>
  <c r="D22" i="62"/>
  <c r="O22" i="62"/>
  <c r="P22" i="62"/>
  <c r="Q22" i="62"/>
  <c r="U22" i="62"/>
  <c r="V22" i="62"/>
  <c r="W22" i="62"/>
  <c r="X22" i="62"/>
  <c r="Y22" i="62"/>
  <c r="Z22" i="62"/>
  <c r="AA22" i="62"/>
  <c r="AB22" i="62"/>
  <c r="AC22" i="62"/>
  <c r="AD22" i="62"/>
  <c r="AE22" i="62"/>
  <c r="AF22" i="62"/>
  <c r="AG22" i="62"/>
  <c r="D23" i="62"/>
  <c r="O23" i="62"/>
  <c r="P23" i="62"/>
  <c r="Q23" i="62"/>
  <c r="U23" i="62"/>
  <c r="V23" i="62"/>
  <c r="W23" i="62"/>
  <c r="X23" i="62"/>
  <c r="Y23" i="62"/>
  <c r="Z23" i="62"/>
  <c r="AA23" i="62"/>
  <c r="AB23" i="62"/>
  <c r="AC23" i="62"/>
  <c r="AD23" i="62"/>
  <c r="AE23" i="62"/>
  <c r="AF23" i="62"/>
  <c r="AG23" i="62"/>
  <c r="D24" i="62"/>
  <c r="O24" i="62"/>
  <c r="P24" i="62"/>
  <c r="Q24" i="62"/>
  <c r="U24" i="62"/>
  <c r="V24" i="62"/>
  <c r="W24" i="62"/>
  <c r="X24" i="62"/>
  <c r="Y24" i="62"/>
  <c r="Z24" i="62"/>
  <c r="AA24" i="62"/>
  <c r="AB24" i="62"/>
  <c r="AC24" i="62"/>
  <c r="AD24" i="62"/>
  <c r="AE24" i="62"/>
  <c r="AF24" i="62"/>
  <c r="AG24" i="62"/>
  <c r="D25" i="62"/>
  <c r="O25" i="62"/>
  <c r="P25" i="62"/>
  <c r="Q25" i="62"/>
  <c r="U25" i="62"/>
  <c r="V25" i="62"/>
  <c r="W25" i="62"/>
  <c r="X25" i="62"/>
  <c r="Y25" i="62"/>
  <c r="Z25" i="62"/>
  <c r="AA25" i="62"/>
  <c r="AB25" i="62"/>
  <c r="AC25" i="62"/>
  <c r="AD25" i="62"/>
  <c r="AE25" i="62"/>
  <c r="AF25" i="62"/>
  <c r="AG25" i="62"/>
  <c r="D26" i="62"/>
  <c r="O26" i="62"/>
  <c r="P26" i="62"/>
  <c r="Q26" i="62"/>
  <c r="U26" i="62"/>
  <c r="V26" i="62"/>
  <c r="W26" i="62"/>
  <c r="X26" i="62"/>
  <c r="Y26" i="62"/>
  <c r="Z26" i="62"/>
  <c r="AA26" i="62"/>
  <c r="AB26" i="62"/>
  <c r="AC26" i="62"/>
  <c r="AD26" i="62"/>
  <c r="AE26" i="62"/>
  <c r="AF26" i="62"/>
  <c r="AG26" i="62"/>
  <c r="D27" i="62"/>
  <c r="O27" i="62"/>
  <c r="P27" i="62"/>
  <c r="Q27" i="62"/>
  <c r="U27" i="62"/>
  <c r="V27" i="62"/>
  <c r="W27" i="62"/>
  <c r="X27" i="62"/>
  <c r="Y27" i="62"/>
  <c r="Z27" i="62"/>
  <c r="AA27" i="62"/>
  <c r="AB27" i="62"/>
  <c r="AC27" i="62"/>
  <c r="AD27" i="62"/>
  <c r="AE27" i="62"/>
  <c r="AF27" i="62"/>
  <c r="AG27" i="62"/>
  <c r="D28" i="62"/>
  <c r="O28" i="62"/>
  <c r="P28" i="62"/>
  <c r="Q28" i="62"/>
  <c r="U28" i="62"/>
  <c r="V28" i="62"/>
  <c r="W28" i="62"/>
  <c r="X28" i="62"/>
  <c r="Y28" i="62"/>
  <c r="Z28" i="62"/>
  <c r="AA28" i="62"/>
  <c r="AB28" i="62"/>
  <c r="AC28" i="62"/>
  <c r="AD28" i="62"/>
  <c r="AE28" i="62"/>
  <c r="AF28" i="62"/>
  <c r="AG28" i="62"/>
  <c r="D29" i="62"/>
  <c r="O29" i="62"/>
  <c r="P29" i="62"/>
  <c r="Q29" i="62"/>
  <c r="U29" i="62"/>
  <c r="V29" i="62"/>
  <c r="W29" i="62"/>
  <c r="X29" i="62"/>
  <c r="Y29" i="62"/>
  <c r="Z29" i="62"/>
  <c r="AA29" i="62"/>
  <c r="AB29" i="62"/>
  <c r="AC29" i="62"/>
  <c r="AD29" i="62"/>
  <c r="AE29" i="62"/>
  <c r="AF29" i="62"/>
  <c r="AG29" i="62"/>
  <c r="D30" i="62"/>
  <c r="O30" i="62"/>
  <c r="P30" i="62"/>
  <c r="Q30" i="62"/>
  <c r="U30" i="62"/>
  <c r="V30" i="62"/>
  <c r="W30" i="62"/>
  <c r="X30" i="62"/>
  <c r="Y30" i="62"/>
  <c r="Z30" i="62"/>
  <c r="AA30" i="62"/>
  <c r="AB30" i="62"/>
  <c r="AC30" i="62"/>
  <c r="AD30" i="62"/>
  <c r="AE30" i="62"/>
  <c r="AF30" i="62"/>
  <c r="AG30" i="62"/>
  <c r="D31" i="62"/>
  <c r="O31" i="62"/>
  <c r="P31" i="62"/>
  <c r="Q31" i="62"/>
  <c r="U31" i="62"/>
  <c r="V31" i="62"/>
  <c r="W31" i="62"/>
  <c r="X31" i="62"/>
  <c r="Y31" i="62"/>
  <c r="Z31" i="62"/>
  <c r="AA31" i="62"/>
  <c r="AB31" i="62"/>
  <c r="AC31" i="62"/>
  <c r="AD31" i="62"/>
  <c r="AE31" i="62"/>
  <c r="AF31" i="62"/>
  <c r="AG31" i="62"/>
  <c r="D32" i="62"/>
  <c r="O32" i="62"/>
  <c r="P32" i="62"/>
  <c r="Q32" i="62"/>
  <c r="U32" i="62"/>
  <c r="V32" i="62"/>
  <c r="W32" i="62"/>
  <c r="X32" i="62"/>
  <c r="Y32" i="62"/>
  <c r="Z32" i="62"/>
  <c r="AA32" i="62"/>
  <c r="AB32" i="62"/>
  <c r="AC32" i="62"/>
  <c r="AD32" i="62"/>
  <c r="AE32" i="62"/>
  <c r="AF32" i="62"/>
  <c r="AG32" i="62"/>
  <c r="D33" i="62"/>
  <c r="O33" i="62"/>
  <c r="P33" i="62"/>
  <c r="Q33" i="62"/>
  <c r="U33" i="62"/>
  <c r="V33" i="62"/>
  <c r="W33" i="62"/>
  <c r="X33" i="62"/>
  <c r="Y33" i="62"/>
  <c r="Z33" i="62"/>
  <c r="AA33" i="62"/>
  <c r="AB33" i="62"/>
  <c r="AC33" i="62"/>
  <c r="AD33" i="62"/>
  <c r="AE33" i="62"/>
  <c r="AF33" i="62"/>
  <c r="AG33" i="62"/>
  <c r="D34" i="62"/>
  <c r="O34" i="62"/>
  <c r="P34" i="62"/>
  <c r="Q34" i="62"/>
  <c r="U34" i="62"/>
  <c r="V34" i="62"/>
  <c r="W34" i="62"/>
  <c r="X34" i="62"/>
  <c r="Y34" i="62"/>
  <c r="Z34" i="62"/>
  <c r="AA34" i="62"/>
  <c r="AB34" i="62"/>
  <c r="AC34" i="62"/>
  <c r="AD34" i="62"/>
  <c r="AE34" i="62"/>
  <c r="AF34" i="62"/>
  <c r="AG34" i="62"/>
  <c r="D35" i="62"/>
  <c r="O35" i="62"/>
  <c r="P35" i="62"/>
  <c r="Q35" i="62"/>
  <c r="U35" i="62"/>
  <c r="V35" i="62"/>
  <c r="W35" i="62"/>
  <c r="X35" i="62"/>
  <c r="Y35" i="62"/>
  <c r="Z35" i="62"/>
  <c r="AA35" i="62"/>
  <c r="AB35" i="62"/>
  <c r="AC35" i="62"/>
  <c r="AD35" i="62"/>
  <c r="AE35" i="62"/>
  <c r="AF35" i="62"/>
  <c r="AG35" i="62"/>
  <c r="D36" i="62"/>
  <c r="O36" i="62"/>
  <c r="P36" i="62"/>
  <c r="Q36" i="62"/>
  <c r="U36" i="62"/>
  <c r="V36" i="62"/>
  <c r="W36" i="62"/>
  <c r="X36" i="62"/>
  <c r="Y36" i="62"/>
  <c r="Z36" i="62"/>
  <c r="AA36" i="62"/>
  <c r="AB36" i="62"/>
  <c r="AC36" i="62"/>
  <c r="AD36" i="62"/>
  <c r="AE36" i="62"/>
  <c r="AF36" i="62"/>
  <c r="AG36" i="62"/>
  <c r="D37" i="62"/>
  <c r="O37" i="62"/>
  <c r="P37" i="62"/>
  <c r="Q37" i="62"/>
  <c r="U37" i="62"/>
  <c r="V37" i="62"/>
  <c r="W37" i="62"/>
  <c r="X37" i="62"/>
  <c r="Y37" i="62"/>
  <c r="Z37" i="62"/>
  <c r="AA37" i="62"/>
  <c r="AB37" i="62"/>
  <c r="AC37" i="62"/>
  <c r="AD37" i="62"/>
  <c r="AE37" i="62"/>
  <c r="AF37" i="62"/>
  <c r="AG37" i="62"/>
  <c r="D38" i="62"/>
  <c r="O38" i="62"/>
  <c r="P38" i="62"/>
  <c r="Q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D39" i="62"/>
  <c r="O39" i="62"/>
  <c r="P39" i="62"/>
  <c r="Q39" i="62"/>
  <c r="U39" i="62"/>
  <c r="V39" i="62"/>
  <c r="W39" i="62"/>
  <c r="X39" i="62"/>
  <c r="Y39" i="62"/>
  <c r="Z39" i="62"/>
  <c r="AA39" i="62"/>
  <c r="AB39" i="62"/>
  <c r="AC39" i="62"/>
  <c r="AD39" i="62"/>
  <c r="AE39" i="62"/>
  <c r="AF39" i="62"/>
  <c r="AG39" i="62"/>
  <c r="D40" i="62"/>
  <c r="O40" i="62"/>
  <c r="P40" i="62"/>
  <c r="Q40" i="62"/>
  <c r="U40" i="62"/>
  <c r="V40" i="62"/>
  <c r="W40" i="62"/>
  <c r="X40" i="62"/>
  <c r="Y40" i="62"/>
  <c r="Z40" i="62"/>
  <c r="AA40" i="62"/>
  <c r="AB40" i="62"/>
  <c r="AC40" i="62"/>
  <c r="AD40" i="62"/>
  <c r="AE40" i="62"/>
  <c r="AF40" i="62"/>
  <c r="AG40" i="62"/>
  <c r="D41" i="62"/>
  <c r="O41" i="62"/>
  <c r="P41" i="62"/>
  <c r="Q41" i="62"/>
  <c r="U41" i="62"/>
  <c r="V41" i="62"/>
  <c r="W41" i="62"/>
  <c r="X41" i="62"/>
  <c r="Y41" i="62"/>
  <c r="Z41" i="62"/>
  <c r="AA41" i="62"/>
  <c r="AB41" i="62"/>
  <c r="AC41" i="62"/>
  <c r="AD41" i="62"/>
  <c r="AE41" i="62"/>
  <c r="AF41" i="62"/>
  <c r="AG41" i="62"/>
  <c r="D42" i="62"/>
  <c r="O42" i="62"/>
  <c r="P42" i="62"/>
  <c r="Q42" i="62"/>
  <c r="U42" i="62"/>
  <c r="V42" i="62"/>
  <c r="W42" i="62"/>
  <c r="X42" i="62"/>
  <c r="Y42" i="62"/>
  <c r="Z42" i="62"/>
  <c r="AA42" i="62"/>
  <c r="AB42" i="62"/>
  <c r="AC42" i="62"/>
  <c r="AD42" i="62"/>
  <c r="AE42" i="62"/>
  <c r="AF42" i="62"/>
  <c r="AG42" i="62"/>
  <c r="D43" i="62"/>
  <c r="O43" i="62"/>
  <c r="P43" i="62"/>
  <c r="Q43" i="62"/>
  <c r="U43" i="62"/>
  <c r="V43" i="62"/>
  <c r="W43" i="62"/>
  <c r="X43" i="62"/>
  <c r="Y43" i="62"/>
  <c r="Z43" i="62"/>
  <c r="AA43" i="62"/>
  <c r="AB43" i="62"/>
  <c r="AC43" i="62"/>
  <c r="AD43" i="62"/>
  <c r="AE43" i="62"/>
  <c r="AF43" i="62"/>
  <c r="AG43" i="62"/>
  <c r="D44" i="62"/>
  <c r="O44" i="62"/>
  <c r="P44" i="62"/>
  <c r="Q44" i="62"/>
  <c r="U44" i="62"/>
  <c r="V44" i="62"/>
  <c r="W44" i="62"/>
  <c r="X44" i="62"/>
  <c r="Y44" i="62"/>
  <c r="Z44" i="62"/>
  <c r="AA44" i="62"/>
  <c r="AB44" i="62"/>
  <c r="AC44" i="62"/>
  <c r="AD44" i="62"/>
  <c r="AE44" i="62"/>
  <c r="AF44" i="62"/>
  <c r="AG44" i="62"/>
  <c r="D45" i="62"/>
  <c r="O45" i="62"/>
  <c r="P45" i="62"/>
  <c r="Q45" i="62"/>
  <c r="U45" i="62"/>
  <c r="V45" i="62"/>
  <c r="W45" i="62"/>
  <c r="X45" i="62"/>
  <c r="Y45" i="62"/>
  <c r="Z45" i="62"/>
  <c r="AA45" i="62"/>
  <c r="AB45" i="62"/>
  <c r="AC45" i="62"/>
  <c r="AD45" i="62"/>
  <c r="AE45" i="62"/>
  <c r="AF45" i="62"/>
  <c r="AG45" i="62"/>
  <c r="AG13" i="62"/>
  <c r="AF13" i="62"/>
  <c r="AE13" i="62"/>
  <c r="AD13" i="62"/>
  <c r="AC13" i="62"/>
  <c r="AB13" i="62"/>
  <c r="AA13" i="62"/>
  <c r="Z13" i="62"/>
  <c r="Y13" i="62"/>
  <c r="X13" i="62"/>
  <c r="W13" i="62"/>
  <c r="V13" i="62"/>
  <c r="Q13" i="62"/>
  <c r="P13" i="62"/>
  <c r="O13" i="62"/>
  <c r="N13" i="62"/>
  <c r="F6" i="62"/>
  <c r="F7" i="62"/>
  <c r="F8" i="62"/>
  <c r="F9" i="62"/>
  <c r="F13" i="62"/>
  <c r="J12" i="62"/>
  <c r="X10" i="62"/>
  <c r="N10" i="62"/>
  <c r="V9" i="62"/>
  <c r="X9" i="62"/>
  <c r="N9" i="62"/>
  <c r="H9" i="62"/>
  <c r="G9" i="62"/>
  <c r="AB8" i="62"/>
  <c r="Z8" i="62"/>
  <c r="X8" i="62"/>
  <c r="V8" i="62"/>
  <c r="N8" i="62"/>
  <c r="G8" i="62"/>
  <c r="AB6" i="62"/>
  <c r="N6" i="62"/>
  <c r="AB7" i="62"/>
  <c r="Z6" i="62"/>
  <c r="Z7" i="62"/>
  <c r="X6" i="62"/>
  <c r="X7" i="62"/>
  <c r="V6" i="62"/>
  <c r="V7" i="62"/>
  <c r="J7" i="62"/>
  <c r="H7" i="62"/>
  <c r="I7" i="62"/>
  <c r="G7" i="62"/>
  <c r="AS4" i="62"/>
  <c r="AS5" i="62"/>
  <c r="AG13" i="61"/>
  <c r="AF13" i="61"/>
  <c r="AE13" i="61"/>
  <c r="AD13" i="61"/>
  <c r="AC13" i="61"/>
  <c r="AB13" i="61"/>
  <c r="AA13" i="61"/>
  <c r="Z13" i="61"/>
  <c r="Y13" i="61"/>
  <c r="X13" i="61"/>
  <c r="W13" i="61"/>
  <c r="V13" i="61"/>
  <c r="Q13" i="61"/>
  <c r="P13" i="61"/>
  <c r="O13" i="61"/>
  <c r="N13" i="61"/>
  <c r="F6" i="61"/>
  <c r="F7" i="61"/>
  <c r="F8" i="61"/>
  <c r="F9" i="61"/>
  <c r="F13" i="61"/>
  <c r="J12" i="61"/>
  <c r="X10" i="61"/>
  <c r="N10" i="61"/>
  <c r="V9" i="61"/>
  <c r="X9" i="61"/>
  <c r="N9" i="61"/>
  <c r="H9" i="61"/>
  <c r="G9" i="61"/>
  <c r="AB8" i="61"/>
  <c r="Z8" i="61"/>
  <c r="X8" i="61"/>
  <c r="V8" i="61"/>
  <c r="N8" i="61"/>
  <c r="G8" i="61"/>
  <c r="AB6" i="61"/>
  <c r="N6" i="61"/>
  <c r="AB7" i="61"/>
  <c r="Z6" i="61"/>
  <c r="Z7" i="61"/>
  <c r="X6" i="61"/>
  <c r="X7" i="61"/>
  <c r="V6" i="61"/>
  <c r="V7" i="61"/>
  <c r="J7" i="61"/>
  <c r="H7" i="61"/>
  <c r="I7" i="61"/>
  <c r="G7" i="61"/>
  <c r="AS4" i="61"/>
  <c r="AS5" i="61"/>
  <c r="AG13" i="60"/>
  <c r="AF13" i="60"/>
  <c r="AE13" i="60"/>
  <c r="AD13" i="60"/>
  <c r="AC13" i="60"/>
  <c r="AB13" i="60"/>
  <c r="AA13" i="60"/>
  <c r="Z13" i="60"/>
  <c r="Y13" i="60"/>
  <c r="X13" i="60"/>
  <c r="W13" i="60"/>
  <c r="V13" i="60"/>
  <c r="Q13" i="60"/>
  <c r="P13" i="60"/>
  <c r="O13" i="60"/>
  <c r="N13" i="60"/>
  <c r="F6" i="60"/>
  <c r="F7" i="60"/>
  <c r="F8" i="60"/>
  <c r="F9" i="60"/>
  <c r="F13" i="60"/>
  <c r="J12" i="60"/>
  <c r="X10" i="60"/>
  <c r="N10" i="60"/>
  <c r="V9" i="60"/>
  <c r="X9" i="60"/>
  <c r="N9" i="60"/>
  <c r="H9" i="60"/>
  <c r="G9" i="60"/>
  <c r="AB8" i="60"/>
  <c r="Z8" i="60"/>
  <c r="X8" i="60"/>
  <c r="V8" i="60"/>
  <c r="N8" i="60"/>
  <c r="G8" i="60"/>
  <c r="AB6" i="60"/>
  <c r="N6" i="60"/>
  <c r="AB7" i="60"/>
  <c r="Z6" i="60"/>
  <c r="Z7" i="60"/>
  <c r="X6" i="60"/>
  <c r="X7" i="60"/>
  <c r="V6" i="60"/>
  <c r="V7" i="60"/>
  <c r="J7" i="60"/>
  <c r="H7" i="60"/>
  <c r="I7" i="60"/>
  <c r="G7" i="60"/>
  <c r="AS4" i="60"/>
  <c r="AS5" i="60"/>
  <c r="AG13" i="59"/>
  <c r="AF13" i="59"/>
  <c r="AE13" i="59"/>
  <c r="AD13" i="59"/>
  <c r="AC13" i="59"/>
  <c r="AB13" i="59"/>
  <c r="AA13" i="59"/>
  <c r="Z13" i="59"/>
  <c r="Y13" i="59"/>
  <c r="X13" i="59"/>
  <c r="W13" i="59"/>
  <c r="V13" i="59"/>
  <c r="Q13" i="59"/>
  <c r="P13" i="59"/>
  <c r="O13" i="59"/>
  <c r="N13" i="59"/>
  <c r="F6" i="59"/>
  <c r="F7" i="59"/>
  <c r="F8" i="59"/>
  <c r="F9" i="59"/>
  <c r="F13" i="59"/>
  <c r="J12" i="59"/>
  <c r="X10" i="59"/>
  <c r="N10" i="59"/>
  <c r="V9" i="59"/>
  <c r="X9" i="59"/>
  <c r="N9" i="59"/>
  <c r="H9" i="59"/>
  <c r="G9" i="59"/>
  <c r="AB8" i="59"/>
  <c r="Z8" i="59"/>
  <c r="X8" i="59"/>
  <c r="V8" i="59"/>
  <c r="N8" i="59"/>
  <c r="G8" i="59"/>
  <c r="AB6" i="59"/>
  <c r="N6" i="59"/>
  <c r="AB7" i="59"/>
  <c r="Z6" i="59"/>
  <c r="Z7" i="59"/>
  <c r="X6" i="59"/>
  <c r="X7" i="59"/>
  <c r="V6" i="59"/>
  <c r="V7" i="59"/>
  <c r="J7" i="59"/>
  <c r="H7" i="59"/>
  <c r="I7" i="59"/>
  <c r="G7" i="59"/>
  <c r="AS4" i="59"/>
  <c r="AS5" i="59"/>
  <c r="AG13" i="58"/>
  <c r="AF13" i="58"/>
  <c r="AE13" i="58"/>
  <c r="AD13" i="58"/>
  <c r="AC13" i="58"/>
  <c r="AB13" i="58"/>
  <c r="AA13" i="58"/>
  <c r="Z13" i="58"/>
  <c r="Y13" i="58"/>
  <c r="X13" i="58"/>
  <c r="W13" i="58"/>
  <c r="V13" i="58"/>
  <c r="Q13" i="58"/>
  <c r="P13" i="58"/>
  <c r="O13" i="58"/>
  <c r="N13" i="58"/>
  <c r="F6" i="58"/>
  <c r="F7" i="58"/>
  <c r="F8" i="58"/>
  <c r="F9" i="58"/>
  <c r="F13" i="58"/>
  <c r="J12" i="58"/>
  <c r="X10" i="58"/>
  <c r="N10" i="58"/>
  <c r="V9" i="58"/>
  <c r="X9" i="58"/>
  <c r="N9" i="58"/>
  <c r="H9" i="58"/>
  <c r="G9" i="58"/>
  <c r="AB8" i="58"/>
  <c r="Z8" i="58"/>
  <c r="X8" i="58"/>
  <c r="V8" i="58"/>
  <c r="N8" i="58"/>
  <c r="G8" i="58"/>
  <c r="AB6" i="58"/>
  <c r="N6" i="58"/>
  <c r="AB7" i="58"/>
  <c r="Z6" i="58"/>
  <c r="Z7" i="58"/>
  <c r="X6" i="58"/>
  <c r="X7" i="58"/>
  <c r="V6" i="58"/>
  <c r="V7" i="58"/>
  <c r="J7" i="58"/>
  <c r="H7" i="58"/>
  <c r="I7" i="58"/>
  <c r="G7" i="58"/>
  <c r="AS4" i="58"/>
  <c r="AS5" i="58"/>
  <c r="AG13" i="57"/>
  <c r="AF13" i="57"/>
  <c r="AE13" i="57"/>
  <c r="AD13" i="57"/>
  <c r="AC13" i="57"/>
  <c r="AB13" i="57"/>
  <c r="AA13" i="57"/>
  <c r="Z13" i="57"/>
  <c r="Y13" i="57"/>
  <c r="X13" i="57"/>
  <c r="W13" i="57"/>
  <c r="V13" i="57"/>
  <c r="Q13" i="57"/>
  <c r="P13" i="57"/>
  <c r="O13" i="57"/>
  <c r="N13" i="57"/>
  <c r="F6" i="57"/>
  <c r="F7" i="57"/>
  <c r="F8" i="57"/>
  <c r="F9" i="57"/>
  <c r="F13" i="57"/>
  <c r="J12" i="57"/>
  <c r="X10" i="57"/>
  <c r="N10" i="57"/>
  <c r="V9" i="57"/>
  <c r="X9" i="57"/>
  <c r="N9" i="57"/>
  <c r="H9" i="57"/>
  <c r="G9" i="57"/>
  <c r="AB8" i="57"/>
  <c r="Z8" i="57"/>
  <c r="X8" i="57"/>
  <c r="V8" i="57"/>
  <c r="N8" i="57"/>
  <c r="G8" i="57"/>
  <c r="AB6" i="57"/>
  <c r="N6" i="57"/>
  <c r="AB7" i="57"/>
  <c r="Z6" i="57"/>
  <c r="Z7" i="57"/>
  <c r="X6" i="57"/>
  <c r="X7" i="57"/>
  <c r="V6" i="57"/>
  <c r="V7" i="57"/>
  <c r="J7" i="57"/>
  <c r="H7" i="57"/>
  <c r="I7" i="57"/>
  <c r="G7" i="57"/>
  <c r="AS4" i="57"/>
  <c r="AS5" i="57"/>
  <c r="AG13" i="56"/>
  <c r="AF13" i="56"/>
  <c r="AE13" i="56"/>
  <c r="AD13" i="56"/>
  <c r="AC13" i="56"/>
  <c r="AB13" i="56"/>
  <c r="AA13" i="56"/>
  <c r="Z13" i="56"/>
  <c r="Y13" i="56"/>
  <c r="X13" i="56"/>
  <c r="W13" i="56"/>
  <c r="V13" i="56"/>
  <c r="Q13" i="56"/>
  <c r="P13" i="56"/>
  <c r="O13" i="56"/>
  <c r="N13" i="56"/>
  <c r="F6" i="56"/>
  <c r="F7" i="56"/>
  <c r="F8" i="56"/>
  <c r="F9" i="56"/>
  <c r="F13" i="56"/>
  <c r="J12" i="56"/>
  <c r="X10" i="56"/>
  <c r="N10" i="56"/>
  <c r="V9" i="56"/>
  <c r="X9" i="56"/>
  <c r="N9" i="56"/>
  <c r="H9" i="56"/>
  <c r="G9" i="56"/>
  <c r="AB8" i="56"/>
  <c r="Z8" i="56"/>
  <c r="X8" i="56"/>
  <c r="V8" i="56"/>
  <c r="N8" i="56"/>
  <c r="G8" i="56"/>
  <c r="AB6" i="56"/>
  <c r="N6" i="56"/>
  <c r="AB7" i="56"/>
  <c r="Z6" i="56"/>
  <c r="Z7" i="56"/>
  <c r="X6" i="56"/>
  <c r="X7" i="56"/>
  <c r="V6" i="56"/>
  <c r="V7" i="56"/>
  <c r="J7" i="56"/>
  <c r="H7" i="56"/>
  <c r="I7" i="56"/>
  <c r="G7" i="56"/>
  <c r="AS4" i="56"/>
  <c r="AS5" i="56"/>
  <c r="AG13" i="55"/>
  <c r="AF13" i="55"/>
  <c r="AE13" i="55"/>
  <c r="AD13" i="55"/>
  <c r="AC13" i="55"/>
  <c r="AB13" i="55"/>
  <c r="AA13" i="55"/>
  <c r="Z13" i="55"/>
  <c r="Y13" i="55"/>
  <c r="X13" i="55"/>
  <c r="W13" i="55"/>
  <c r="V13" i="55"/>
  <c r="Q13" i="55"/>
  <c r="P13" i="55"/>
  <c r="O13" i="55"/>
  <c r="N13" i="55"/>
  <c r="F6" i="55"/>
  <c r="F7" i="55"/>
  <c r="F8" i="55"/>
  <c r="F9" i="55"/>
  <c r="F13" i="55"/>
  <c r="J12" i="55"/>
  <c r="X10" i="55"/>
  <c r="N10" i="55"/>
  <c r="V9" i="55"/>
  <c r="X9" i="55"/>
  <c r="N9" i="55"/>
  <c r="H9" i="55"/>
  <c r="G9" i="55"/>
  <c r="AB8" i="55"/>
  <c r="Z8" i="55"/>
  <c r="X8" i="55"/>
  <c r="V8" i="55"/>
  <c r="N8" i="55"/>
  <c r="G8" i="55"/>
  <c r="AB6" i="55"/>
  <c r="N6" i="55"/>
  <c r="AB7" i="55"/>
  <c r="Z6" i="55"/>
  <c r="Z7" i="55"/>
  <c r="X6" i="55"/>
  <c r="X7" i="55"/>
  <c r="V6" i="55"/>
  <c r="V7" i="55"/>
  <c r="J7" i="55"/>
  <c r="H7" i="55"/>
  <c r="I7" i="55"/>
  <c r="G7" i="55"/>
  <c r="AS4" i="55"/>
  <c r="AS5" i="55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Q13" i="54"/>
  <c r="P13" i="54"/>
  <c r="O13" i="54"/>
  <c r="N13" i="54"/>
  <c r="F6" i="54"/>
  <c r="F7" i="54"/>
  <c r="F8" i="54"/>
  <c r="F9" i="54"/>
  <c r="F13" i="54"/>
  <c r="J12" i="54"/>
  <c r="X10" i="54"/>
  <c r="N10" i="54"/>
  <c r="V9" i="54"/>
  <c r="X9" i="54"/>
  <c r="N9" i="54"/>
  <c r="H9" i="54"/>
  <c r="G9" i="54"/>
  <c r="AB8" i="54"/>
  <c r="Z8" i="54"/>
  <c r="X8" i="54"/>
  <c r="V8" i="54"/>
  <c r="N8" i="54"/>
  <c r="G8" i="54"/>
  <c r="AB6" i="54"/>
  <c r="N6" i="54"/>
  <c r="AB7" i="54"/>
  <c r="Z6" i="54"/>
  <c r="Z7" i="54"/>
  <c r="X6" i="54"/>
  <c r="X7" i="54"/>
  <c r="V6" i="54"/>
  <c r="V7" i="54"/>
  <c r="J7" i="54"/>
  <c r="H7" i="54"/>
  <c r="I7" i="54"/>
  <c r="G7" i="54"/>
  <c r="AS4" i="54"/>
  <c r="AS5" i="54"/>
  <c r="AG13" i="53"/>
  <c r="AF13" i="53"/>
  <c r="AE13" i="53"/>
  <c r="AD13" i="53"/>
  <c r="AC13" i="53"/>
  <c r="AB13" i="53"/>
  <c r="AA13" i="53"/>
  <c r="Z13" i="53"/>
  <c r="Y13" i="53"/>
  <c r="X13" i="53"/>
  <c r="W13" i="53"/>
  <c r="V13" i="53"/>
  <c r="Q13" i="53"/>
  <c r="P13" i="53"/>
  <c r="O13" i="53"/>
  <c r="N13" i="53"/>
  <c r="F6" i="53"/>
  <c r="F7" i="53"/>
  <c r="F8" i="53"/>
  <c r="F9" i="53"/>
  <c r="F13" i="53"/>
  <c r="J12" i="53"/>
  <c r="X10" i="53"/>
  <c r="N10" i="53"/>
  <c r="V9" i="53"/>
  <c r="X9" i="53"/>
  <c r="N9" i="53"/>
  <c r="H9" i="53"/>
  <c r="G9" i="53"/>
  <c r="AB8" i="53"/>
  <c r="Z8" i="53"/>
  <c r="X8" i="53"/>
  <c r="V8" i="53"/>
  <c r="N8" i="53"/>
  <c r="G8" i="53"/>
  <c r="AB6" i="53"/>
  <c r="N6" i="53"/>
  <c r="AB7" i="53"/>
  <c r="Z6" i="53"/>
  <c r="Z7" i="53"/>
  <c r="X6" i="53"/>
  <c r="X7" i="53"/>
  <c r="V6" i="53"/>
  <c r="V7" i="53"/>
  <c r="J7" i="53"/>
  <c r="H7" i="53"/>
  <c r="I7" i="53"/>
  <c r="G7" i="53"/>
  <c r="AS4" i="53"/>
  <c r="AS5" i="53"/>
  <c r="AG13" i="52"/>
  <c r="AF13" i="52"/>
  <c r="AE13" i="52"/>
  <c r="AD13" i="52"/>
  <c r="AC13" i="52"/>
  <c r="AB13" i="52"/>
  <c r="AA13" i="52"/>
  <c r="Z13" i="52"/>
  <c r="Y13" i="52"/>
  <c r="X13" i="52"/>
  <c r="W13" i="52"/>
  <c r="V13" i="52"/>
  <c r="Q13" i="52"/>
  <c r="P13" i="52"/>
  <c r="O13" i="52"/>
  <c r="N13" i="52"/>
  <c r="F6" i="52"/>
  <c r="F7" i="52"/>
  <c r="F8" i="52"/>
  <c r="F9" i="52"/>
  <c r="F13" i="52"/>
  <c r="J12" i="52"/>
  <c r="X10" i="52"/>
  <c r="N10" i="52"/>
  <c r="V9" i="52"/>
  <c r="X9" i="52"/>
  <c r="N9" i="52"/>
  <c r="H9" i="52"/>
  <c r="G9" i="52"/>
  <c r="AB8" i="52"/>
  <c r="Z8" i="52"/>
  <c r="X8" i="52"/>
  <c r="V8" i="52"/>
  <c r="N8" i="52"/>
  <c r="G8" i="52"/>
  <c r="AB6" i="52"/>
  <c r="N6" i="52"/>
  <c r="AB7" i="52"/>
  <c r="Z6" i="52"/>
  <c r="Z7" i="52"/>
  <c r="X6" i="52"/>
  <c r="X7" i="52"/>
  <c r="V6" i="52"/>
  <c r="V7" i="52"/>
  <c r="J7" i="52"/>
  <c r="H7" i="52"/>
  <c r="I7" i="52"/>
  <c r="G7" i="52"/>
  <c r="AS4" i="52"/>
  <c r="AS5" i="52"/>
  <c r="AG13" i="51"/>
  <c r="AF13" i="51"/>
  <c r="AE13" i="51"/>
  <c r="AD13" i="51"/>
  <c r="AC13" i="51"/>
  <c r="AB13" i="51"/>
  <c r="AA13" i="51"/>
  <c r="Z13" i="51"/>
  <c r="Y13" i="51"/>
  <c r="X13" i="51"/>
  <c r="W13" i="51"/>
  <c r="V13" i="51"/>
  <c r="Q13" i="51"/>
  <c r="P13" i="51"/>
  <c r="O13" i="51"/>
  <c r="N13" i="51"/>
  <c r="F6" i="51"/>
  <c r="F7" i="51"/>
  <c r="F8" i="51"/>
  <c r="F9" i="51"/>
  <c r="F13" i="51"/>
  <c r="J12" i="51"/>
  <c r="X10" i="51"/>
  <c r="N10" i="51"/>
  <c r="V9" i="51"/>
  <c r="X9" i="51"/>
  <c r="N9" i="51"/>
  <c r="H9" i="51"/>
  <c r="G9" i="51"/>
  <c r="AB8" i="51"/>
  <c r="Z8" i="51"/>
  <c r="X8" i="51"/>
  <c r="V8" i="51"/>
  <c r="N8" i="51"/>
  <c r="G8" i="51"/>
  <c r="AB6" i="51"/>
  <c r="N6" i="51"/>
  <c r="AB7" i="51"/>
  <c r="Z6" i="51"/>
  <c r="Z7" i="51"/>
  <c r="X6" i="51"/>
  <c r="X7" i="51"/>
  <c r="V6" i="51"/>
  <c r="V7" i="51"/>
  <c r="J7" i="51"/>
  <c r="H7" i="51"/>
  <c r="I7" i="51"/>
  <c r="G7" i="51"/>
  <c r="AS4" i="51"/>
  <c r="AS5" i="51"/>
  <c r="AG13" i="50"/>
  <c r="AF13" i="50"/>
  <c r="AE13" i="50"/>
  <c r="AD13" i="50"/>
  <c r="AC13" i="50"/>
  <c r="AB13" i="50"/>
  <c r="AA13" i="50"/>
  <c r="Z13" i="50"/>
  <c r="Y13" i="50"/>
  <c r="X13" i="50"/>
  <c r="W13" i="50"/>
  <c r="V13" i="50"/>
  <c r="Q13" i="50"/>
  <c r="P13" i="50"/>
  <c r="O13" i="50"/>
  <c r="N13" i="50"/>
  <c r="F6" i="50"/>
  <c r="F7" i="50"/>
  <c r="F8" i="50"/>
  <c r="F9" i="50"/>
  <c r="F13" i="50"/>
  <c r="J12" i="50"/>
  <c r="X10" i="50"/>
  <c r="N10" i="50"/>
  <c r="V9" i="50"/>
  <c r="X9" i="50"/>
  <c r="N9" i="50"/>
  <c r="H9" i="50"/>
  <c r="G9" i="50"/>
  <c r="AB8" i="50"/>
  <c r="Z8" i="50"/>
  <c r="X8" i="50"/>
  <c r="V8" i="50"/>
  <c r="N8" i="50"/>
  <c r="G8" i="50"/>
  <c r="AB6" i="50"/>
  <c r="N6" i="50"/>
  <c r="AB7" i="50"/>
  <c r="Z6" i="50"/>
  <c r="Z7" i="50"/>
  <c r="X6" i="50"/>
  <c r="X7" i="50"/>
  <c r="V6" i="50"/>
  <c r="V7" i="50"/>
  <c r="J7" i="50"/>
  <c r="H7" i="50"/>
  <c r="I7" i="50"/>
  <c r="G7" i="50"/>
  <c r="AS4" i="50"/>
  <c r="AS5" i="50"/>
  <c r="AG13" i="49"/>
  <c r="AF13" i="49"/>
  <c r="AE13" i="49"/>
  <c r="AD13" i="49"/>
  <c r="AC13" i="49"/>
  <c r="AB13" i="49"/>
  <c r="AA13" i="49"/>
  <c r="Z13" i="49"/>
  <c r="Y13" i="49"/>
  <c r="X13" i="49"/>
  <c r="W13" i="49"/>
  <c r="V13" i="49"/>
  <c r="Q13" i="49"/>
  <c r="P13" i="49"/>
  <c r="O13" i="49"/>
  <c r="N13" i="49"/>
  <c r="F6" i="49"/>
  <c r="F7" i="49"/>
  <c r="F8" i="49"/>
  <c r="F9" i="49"/>
  <c r="F13" i="49"/>
  <c r="J12" i="49"/>
  <c r="X10" i="49"/>
  <c r="N10" i="49"/>
  <c r="V9" i="49"/>
  <c r="X9" i="49"/>
  <c r="N9" i="49"/>
  <c r="H9" i="49"/>
  <c r="G9" i="49"/>
  <c r="AB8" i="49"/>
  <c r="Z8" i="49"/>
  <c r="X8" i="49"/>
  <c r="V8" i="49"/>
  <c r="N8" i="49"/>
  <c r="G8" i="49"/>
  <c r="AB6" i="49"/>
  <c r="N6" i="49"/>
  <c r="AB7" i="49"/>
  <c r="Z6" i="49"/>
  <c r="Z7" i="49"/>
  <c r="X6" i="49"/>
  <c r="X7" i="49"/>
  <c r="V6" i="49"/>
  <c r="V7" i="49"/>
  <c r="J7" i="49"/>
  <c r="H7" i="49"/>
  <c r="I7" i="49"/>
  <c r="G7" i="49"/>
  <c r="AS4" i="49"/>
  <c r="AS5" i="49"/>
  <c r="AG13" i="48"/>
  <c r="AF13" i="48"/>
  <c r="AE13" i="48"/>
  <c r="AD13" i="48"/>
  <c r="AC13" i="48"/>
  <c r="AB13" i="48"/>
  <c r="AA13" i="48"/>
  <c r="Z13" i="48"/>
  <c r="Y13" i="48"/>
  <c r="X13" i="48"/>
  <c r="W13" i="48"/>
  <c r="V13" i="48"/>
  <c r="Q13" i="48"/>
  <c r="P13" i="48"/>
  <c r="O13" i="48"/>
  <c r="N13" i="48"/>
  <c r="F6" i="48"/>
  <c r="F7" i="48"/>
  <c r="F8" i="48"/>
  <c r="F9" i="48"/>
  <c r="F13" i="48"/>
  <c r="J12" i="48"/>
  <c r="X10" i="48"/>
  <c r="N10" i="48"/>
  <c r="V9" i="48"/>
  <c r="X9" i="48"/>
  <c r="N9" i="48"/>
  <c r="H9" i="48"/>
  <c r="G9" i="48"/>
  <c r="AB8" i="48"/>
  <c r="Z8" i="48"/>
  <c r="X8" i="48"/>
  <c r="V8" i="48"/>
  <c r="N8" i="48"/>
  <c r="G8" i="48"/>
  <c r="AB6" i="48"/>
  <c r="N6" i="48"/>
  <c r="AB7" i="48"/>
  <c r="Z6" i="48"/>
  <c r="Z7" i="48"/>
  <c r="X6" i="48"/>
  <c r="X7" i="48"/>
  <c r="V6" i="48"/>
  <c r="V7" i="48"/>
  <c r="J7" i="48"/>
  <c r="H7" i="48"/>
  <c r="I7" i="48"/>
  <c r="G7" i="48"/>
  <c r="AS4" i="48"/>
  <c r="AS5" i="48"/>
  <c r="AG13" i="47"/>
  <c r="AF13" i="47"/>
  <c r="AE13" i="47"/>
  <c r="AD13" i="47"/>
  <c r="AC13" i="47"/>
  <c r="AB13" i="47"/>
  <c r="AA13" i="47"/>
  <c r="Z13" i="47"/>
  <c r="Y13" i="47"/>
  <c r="X13" i="47"/>
  <c r="W13" i="47"/>
  <c r="V13" i="47"/>
  <c r="Q13" i="47"/>
  <c r="P13" i="47"/>
  <c r="O13" i="47"/>
  <c r="N13" i="47"/>
  <c r="F6" i="47"/>
  <c r="F7" i="47"/>
  <c r="F8" i="47"/>
  <c r="F9" i="47"/>
  <c r="F13" i="47"/>
  <c r="J12" i="47"/>
  <c r="X10" i="47"/>
  <c r="N10" i="47"/>
  <c r="V9" i="47"/>
  <c r="X9" i="47"/>
  <c r="N9" i="47"/>
  <c r="H9" i="47"/>
  <c r="G9" i="47"/>
  <c r="AB8" i="47"/>
  <c r="Z8" i="47"/>
  <c r="X8" i="47"/>
  <c r="V8" i="47"/>
  <c r="N8" i="47"/>
  <c r="G8" i="47"/>
  <c r="AB6" i="47"/>
  <c r="N6" i="47"/>
  <c r="AB7" i="47"/>
  <c r="Z6" i="47"/>
  <c r="Z7" i="47"/>
  <c r="X6" i="47"/>
  <c r="X7" i="47"/>
  <c r="V6" i="47"/>
  <c r="V7" i="47"/>
  <c r="J7" i="47"/>
  <c r="H7" i="47"/>
  <c r="I7" i="47"/>
  <c r="G7" i="47"/>
  <c r="AS4" i="47"/>
  <c r="AS5" i="47"/>
  <c r="AG13" i="46"/>
  <c r="AF13" i="46"/>
  <c r="AE13" i="46"/>
  <c r="AD13" i="46"/>
  <c r="AC13" i="46"/>
  <c r="AB13" i="46"/>
  <c r="AA13" i="46"/>
  <c r="Z13" i="46"/>
  <c r="Y13" i="46"/>
  <c r="X13" i="46"/>
  <c r="W13" i="46"/>
  <c r="V13" i="46"/>
  <c r="Q13" i="46"/>
  <c r="P13" i="46"/>
  <c r="O13" i="46"/>
  <c r="N13" i="46"/>
  <c r="F6" i="46"/>
  <c r="F7" i="46"/>
  <c r="F8" i="46"/>
  <c r="F9" i="46"/>
  <c r="F13" i="46"/>
  <c r="J12" i="46"/>
  <c r="X10" i="46"/>
  <c r="N10" i="46"/>
  <c r="V9" i="46"/>
  <c r="X9" i="46"/>
  <c r="N9" i="46"/>
  <c r="H9" i="46"/>
  <c r="G9" i="46"/>
  <c r="AB8" i="46"/>
  <c r="Z8" i="46"/>
  <c r="X8" i="46"/>
  <c r="V8" i="46"/>
  <c r="N8" i="46"/>
  <c r="G8" i="46"/>
  <c r="AB6" i="46"/>
  <c r="N6" i="46"/>
  <c r="AB7" i="46"/>
  <c r="Z6" i="46"/>
  <c r="Z7" i="46"/>
  <c r="X6" i="46"/>
  <c r="X7" i="46"/>
  <c r="V6" i="46"/>
  <c r="V7" i="46"/>
  <c r="J7" i="46"/>
  <c r="H7" i="46"/>
  <c r="I7" i="46"/>
  <c r="G7" i="46"/>
  <c r="AS4" i="46"/>
  <c r="AS5" i="46"/>
  <c r="AG13" i="45"/>
  <c r="AF13" i="45"/>
  <c r="AE13" i="45"/>
  <c r="AD13" i="45"/>
  <c r="AC13" i="45"/>
  <c r="AB13" i="45"/>
  <c r="AA13" i="45"/>
  <c r="Z13" i="45"/>
  <c r="Y13" i="45"/>
  <c r="X13" i="45"/>
  <c r="W13" i="45"/>
  <c r="V13" i="45"/>
  <c r="Q13" i="45"/>
  <c r="P13" i="45"/>
  <c r="O13" i="45"/>
  <c r="N13" i="45"/>
  <c r="F6" i="45"/>
  <c r="F7" i="45"/>
  <c r="F8" i="45"/>
  <c r="F9" i="45"/>
  <c r="F13" i="45"/>
  <c r="J12" i="45"/>
  <c r="X10" i="45"/>
  <c r="N10" i="45"/>
  <c r="V9" i="45"/>
  <c r="X9" i="45"/>
  <c r="N9" i="45"/>
  <c r="H9" i="45"/>
  <c r="G9" i="45"/>
  <c r="AB8" i="45"/>
  <c r="Z8" i="45"/>
  <c r="X8" i="45"/>
  <c r="V8" i="45"/>
  <c r="N8" i="45"/>
  <c r="G8" i="45"/>
  <c r="AB6" i="45"/>
  <c r="N6" i="45"/>
  <c r="AB7" i="45"/>
  <c r="Z6" i="45"/>
  <c r="Z7" i="45"/>
  <c r="X6" i="45"/>
  <c r="X7" i="45"/>
  <c r="V6" i="45"/>
  <c r="V7" i="45"/>
  <c r="J7" i="45"/>
  <c r="H7" i="45"/>
  <c r="I7" i="45"/>
  <c r="G7" i="45"/>
  <c r="AS4" i="45"/>
  <c r="AS5" i="45"/>
  <c r="AG13" i="44"/>
  <c r="AF13" i="44"/>
  <c r="AE13" i="44"/>
  <c r="AD13" i="44"/>
  <c r="AC13" i="44"/>
  <c r="AB13" i="44"/>
  <c r="AA13" i="44"/>
  <c r="Z13" i="44"/>
  <c r="Y13" i="44"/>
  <c r="X13" i="44"/>
  <c r="W13" i="44"/>
  <c r="V13" i="44"/>
  <c r="Q13" i="44"/>
  <c r="P13" i="44"/>
  <c r="O13" i="44"/>
  <c r="N13" i="44"/>
  <c r="F6" i="44"/>
  <c r="F7" i="44"/>
  <c r="F8" i="44"/>
  <c r="F9" i="44"/>
  <c r="F13" i="44"/>
  <c r="J12" i="44"/>
  <c r="X10" i="44"/>
  <c r="N10" i="44"/>
  <c r="V9" i="44"/>
  <c r="X9" i="44"/>
  <c r="N9" i="44"/>
  <c r="H9" i="44"/>
  <c r="G9" i="44"/>
  <c r="AB8" i="44"/>
  <c r="Z8" i="44"/>
  <c r="X8" i="44"/>
  <c r="V8" i="44"/>
  <c r="N8" i="44"/>
  <c r="G8" i="44"/>
  <c r="AB6" i="44"/>
  <c r="N6" i="44"/>
  <c r="AB7" i="44"/>
  <c r="Z6" i="44"/>
  <c r="Z7" i="44"/>
  <c r="X6" i="44"/>
  <c r="X7" i="44"/>
  <c r="V6" i="44"/>
  <c r="V7" i="44"/>
  <c r="J7" i="44"/>
  <c r="H7" i="44"/>
  <c r="I7" i="44"/>
  <c r="G7" i="44"/>
  <c r="AS4" i="44"/>
  <c r="AS5" i="44"/>
  <c r="AG13" i="43"/>
  <c r="AF13" i="43"/>
  <c r="AE13" i="43"/>
  <c r="AD13" i="43"/>
  <c r="AC13" i="43"/>
  <c r="AB13" i="43"/>
  <c r="AA13" i="43"/>
  <c r="Z13" i="43"/>
  <c r="Y13" i="43"/>
  <c r="X13" i="43"/>
  <c r="W13" i="43"/>
  <c r="V13" i="43"/>
  <c r="Q13" i="43"/>
  <c r="P13" i="43"/>
  <c r="O13" i="43"/>
  <c r="N13" i="43"/>
  <c r="F6" i="43"/>
  <c r="F7" i="43"/>
  <c r="F8" i="43"/>
  <c r="F9" i="43"/>
  <c r="F13" i="43"/>
  <c r="J12" i="43"/>
  <c r="X10" i="43"/>
  <c r="N10" i="43"/>
  <c r="V9" i="43"/>
  <c r="X9" i="43"/>
  <c r="N9" i="43"/>
  <c r="H9" i="43"/>
  <c r="G9" i="43"/>
  <c r="AB8" i="43"/>
  <c r="Z8" i="43"/>
  <c r="X8" i="43"/>
  <c r="V8" i="43"/>
  <c r="N8" i="43"/>
  <c r="G8" i="43"/>
  <c r="AB6" i="43"/>
  <c r="N6" i="43"/>
  <c r="AB7" i="43"/>
  <c r="Z6" i="43"/>
  <c r="Z7" i="43"/>
  <c r="X6" i="43"/>
  <c r="X7" i="43"/>
  <c r="V6" i="43"/>
  <c r="V7" i="43"/>
  <c r="J7" i="43"/>
  <c r="H7" i="43"/>
  <c r="I7" i="43"/>
  <c r="G7" i="43"/>
  <c r="AS4" i="43"/>
  <c r="AS5" i="43"/>
  <c r="AG13" i="42"/>
  <c r="AF13" i="42"/>
  <c r="AE13" i="42"/>
  <c r="AD13" i="42"/>
  <c r="AC13" i="42"/>
  <c r="AB13" i="42"/>
  <c r="AA13" i="42"/>
  <c r="Z13" i="42"/>
  <c r="Y13" i="42"/>
  <c r="X13" i="42"/>
  <c r="W13" i="42"/>
  <c r="V13" i="42"/>
  <c r="Q13" i="42"/>
  <c r="P13" i="42"/>
  <c r="O13" i="42"/>
  <c r="N13" i="42"/>
  <c r="F6" i="42"/>
  <c r="F7" i="42"/>
  <c r="F8" i="42"/>
  <c r="F9" i="42"/>
  <c r="F13" i="42"/>
  <c r="J12" i="42"/>
  <c r="X10" i="42"/>
  <c r="N10" i="42"/>
  <c r="V9" i="42"/>
  <c r="X9" i="42"/>
  <c r="N9" i="42"/>
  <c r="H9" i="42"/>
  <c r="G9" i="42"/>
  <c r="AB8" i="42"/>
  <c r="Z8" i="42"/>
  <c r="X8" i="42"/>
  <c r="V8" i="42"/>
  <c r="N8" i="42"/>
  <c r="G8" i="42"/>
  <c r="AB6" i="42"/>
  <c r="N6" i="42"/>
  <c r="AB7" i="42"/>
  <c r="Z6" i="42"/>
  <c r="Z7" i="42"/>
  <c r="X6" i="42"/>
  <c r="X7" i="42"/>
  <c r="V6" i="42"/>
  <c r="V7" i="42"/>
  <c r="J7" i="42"/>
  <c r="H7" i="42"/>
  <c r="I7" i="42"/>
  <c r="G7" i="42"/>
  <c r="AS4" i="42"/>
  <c r="AS5" i="42"/>
  <c r="AG13" i="41"/>
  <c r="AF13" i="41"/>
  <c r="AE13" i="41"/>
  <c r="AD13" i="41"/>
  <c r="AC13" i="41"/>
  <c r="AB13" i="41"/>
  <c r="AA13" i="41"/>
  <c r="Z13" i="41"/>
  <c r="Y13" i="41"/>
  <c r="X13" i="41"/>
  <c r="W13" i="41"/>
  <c r="V13" i="41"/>
  <c r="Q13" i="41"/>
  <c r="P13" i="41"/>
  <c r="O13" i="41"/>
  <c r="N13" i="41"/>
  <c r="F6" i="41"/>
  <c r="F7" i="41"/>
  <c r="F8" i="41"/>
  <c r="F9" i="41"/>
  <c r="F13" i="41"/>
  <c r="J12" i="41"/>
  <c r="X10" i="41"/>
  <c r="N10" i="41"/>
  <c r="V9" i="41"/>
  <c r="X9" i="41"/>
  <c r="N9" i="41"/>
  <c r="H9" i="41"/>
  <c r="G9" i="41"/>
  <c r="AB8" i="41"/>
  <c r="Z8" i="41"/>
  <c r="X8" i="41"/>
  <c r="V8" i="41"/>
  <c r="N8" i="41"/>
  <c r="G8" i="41"/>
  <c r="AB6" i="41"/>
  <c r="N6" i="41"/>
  <c r="AB7" i="41"/>
  <c r="Z6" i="41"/>
  <c r="Z7" i="41"/>
  <c r="X6" i="41"/>
  <c r="X7" i="41"/>
  <c r="V6" i="41"/>
  <c r="V7" i="41"/>
  <c r="J7" i="41"/>
  <c r="H7" i="41"/>
  <c r="I7" i="41"/>
  <c r="G7" i="41"/>
  <c r="AS4" i="41"/>
  <c r="AS5" i="41"/>
  <c r="N8" i="34"/>
  <c r="F8" i="34"/>
  <c r="F6" i="34"/>
  <c r="F7" i="34"/>
  <c r="F9" i="34"/>
  <c r="F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Q13" i="34"/>
  <c r="P13" i="34"/>
  <c r="O13" i="34"/>
  <c r="N13" i="34"/>
  <c r="J12" i="34"/>
  <c r="X10" i="34"/>
  <c r="V9" i="34"/>
  <c r="X9" i="34"/>
  <c r="N10" i="34"/>
  <c r="H9" i="34"/>
  <c r="G9" i="34"/>
  <c r="AB8" i="34"/>
  <c r="Z8" i="34"/>
  <c r="X8" i="34"/>
  <c r="V8" i="34"/>
  <c r="N9" i="34"/>
  <c r="G8" i="34"/>
  <c r="AB6" i="34"/>
  <c r="N6" i="34"/>
  <c r="AB7" i="34"/>
  <c r="Z6" i="34"/>
  <c r="Z7" i="34"/>
  <c r="X6" i="34"/>
  <c r="X7" i="34"/>
  <c r="V6" i="34"/>
  <c r="V7" i="34"/>
  <c r="J7" i="34"/>
  <c r="H7" i="34"/>
  <c r="I7" i="34"/>
  <c r="G7" i="34"/>
  <c r="AS4" i="34"/>
  <c r="AS5" i="34"/>
  <c r="E2" i="6"/>
  <c r="E6" i="6"/>
  <c r="E5" i="6"/>
  <c r="E4" i="6"/>
  <c r="E3" i="6"/>
  <c r="G3" i="6"/>
  <c r="G2" i="6"/>
  <c r="P1" i="6"/>
  <c r="S1" i="6"/>
  <c r="M1" i="6"/>
</calcChain>
</file>

<file path=xl/sharedStrings.xml><?xml version="1.0" encoding="utf-8"?>
<sst xmlns="http://schemas.openxmlformats.org/spreadsheetml/2006/main" count="5998" uniqueCount="124">
  <si>
    <t>x/check</t>
  </si>
  <si>
    <t>LOSERS</t>
  </si>
  <si>
    <t>PERCENTAGE</t>
  </si>
  <si>
    <t>BREAKEVEN</t>
  </si>
  <si>
    <t>WINNERS</t>
  </si>
  <si>
    <t>IND</t>
  </si>
  <si>
    <t>COMM</t>
  </si>
  <si>
    <t>FX</t>
  </si>
  <si>
    <t>AVERAGE</t>
  </si>
  <si>
    <t>PERCENT</t>
  </si>
  <si>
    <t>TOTAL TRADES</t>
  </si>
  <si>
    <t>Entry &gt; 2ATR from Resistance / Support.</t>
  </si>
  <si>
    <t>BUT only if :</t>
  </si>
  <si>
    <t>S</t>
  </si>
  <si>
    <t>Short</t>
  </si>
  <si>
    <t>L</t>
  </si>
  <si>
    <t>Long</t>
  </si>
  <si>
    <t>Trade Direction:</t>
  </si>
  <si>
    <t>Index</t>
  </si>
  <si>
    <t>COM</t>
  </si>
  <si>
    <t>Commodities</t>
  </si>
  <si>
    <t>Currency</t>
  </si>
  <si>
    <t>RESULT</t>
  </si>
  <si>
    <t>EXIT</t>
  </si>
  <si>
    <t>DATE</t>
  </si>
  <si>
    <t xml:space="preserve">STOP </t>
  </si>
  <si>
    <t xml:space="preserve">ENTRY </t>
  </si>
  <si>
    <t>INST.</t>
  </si>
  <si>
    <t>L/S</t>
  </si>
  <si>
    <t>Inst</t>
  </si>
  <si>
    <t>No. of Rs</t>
  </si>
  <si>
    <t>Open</t>
  </si>
  <si>
    <t>Closed</t>
  </si>
  <si>
    <t>O</t>
  </si>
  <si>
    <t>C</t>
  </si>
  <si>
    <t>O/C</t>
  </si>
  <si>
    <t>Heat</t>
  </si>
  <si>
    <t>O / C Trades</t>
  </si>
  <si>
    <t>Length of 
Trade</t>
  </si>
  <si>
    <t>Win</t>
  </si>
  <si>
    <t>Loss</t>
  </si>
  <si>
    <t>Breakeven</t>
  </si>
  <si>
    <t>Average Hold Times</t>
  </si>
  <si>
    <t xml:space="preserve"> TR WIN</t>
  </si>
  <si>
    <t xml:space="preserve"> TR LOSS</t>
  </si>
  <si>
    <t>TR
(in Pips)</t>
  </si>
  <si>
    <t xml:space="preserve">Max Portfolio Risk is: </t>
  </si>
  <si>
    <t>GROUP PROFITS in TR</t>
  </si>
  <si>
    <t>DATE2</t>
  </si>
  <si>
    <t>Heat3</t>
  </si>
  <si>
    <t>Heat4</t>
  </si>
  <si>
    <t>Heat5</t>
  </si>
  <si>
    <t>TARGET</t>
  </si>
  <si>
    <t xml:space="preserve">Across </t>
  </si>
  <si>
    <t>Positions</t>
  </si>
  <si>
    <t xml:space="preserve">ENTRY PRICE </t>
  </si>
  <si>
    <t xml:space="preserve">INITIAL STOP </t>
  </si>
  <si>
    <t>EXIT DATE</t>
  </si>
  <si>
    <t xml:space="preserve">STOP/EXIT PRICE </t>
  </si>
  <si>
    <t>ENTRY DATE</t>
  </si>
  <si>
    <t>TOTAL PORTFOLIO RISK</t>
  </si>
  <si>
    <t>WIN/LOSS RATIO</t>
  </si>
  <si>
    <t>EXPECTANCY
ie Mean TR</t>
  </si>
  <si>
    <t>MARKET RISK</t>
  </si>
  <si>
    <t>Date</t>
  </si>
  <si>
    <t>Profits in TR</t>
  </si>
  <si>
    <t>$ Value of TR</t>
  </si>
  <si>
    <t>Profits in $</t>
  </si>
  <si>
    <t>Cumulative Equity</t>
  </si>
  <si>
    <t>Closed Weekending Friday</t>
  </si>
  <si>
    <t>Current Capital</t>
  </si>
  <si>
    <t>Profit to Date</t>
  </si>
  <si>
    <t>% Profit</t>
  </si>
  <si>
    <t>Starting Capital</t>
  </si>
  <si>
    <t>Grand Total</t>
  </si>
  <si>
    <t>Sum of Cumulative Equity</t>
  </si>
  <si>
    <t>Total Positions Open</t>
  </si>
  <si>
    <t>AATS H4 SYSTEM 2022</t>
  </si>
  <si>
    <t>Sheet Name</t>
  </si>
  <si>
    <t>Instrument</t>
  </si>
  <si>
    <t>BTCUSD</t>
  </si>
  <si>
    <t>AUDJPY</t>
  </si>
  <si>
    <t>ETHUSD</t>
  </si>
  <si>
    <t>AUDUSD</t>
  </si>
  <si>
    <t>CRYPTO</t>
  </si>
  <si>
    <t>GBPJPY</t>
  </si>
  <si>
    <t>Cryptocurrency</t>
  </si>
  <si>
    <t>Instrument Type:</t>
  </si>
  <si>
    <t>XAUUSD</t>
  </si>
  <si>
    <t>XAGUSD</t>
  </si>
  <si>
    <t>ASX200</t>
  </si>
  <si>
    <t>GER30</t>
  </si>
  <si>
    <t>NDX100</t>
  </si>
  <si>
    <t>SPX500</t>
  </si>
  <si>
    <t>UK100</t>
  </si>
  <si>
    <t>US30</t>
  </si>
  <si>
    <t>EURAUD</t>
  </si>
  <si>
    <t>EURGBP</t>
  </si>
  <si>
    <t>EURJPY</t>
  </si>
  <si>
    <t>EURUSD</t>
  </si>
  <si>
    <t>GBPAUD</t>
  </si>
  <si>
    <t>GBPUSD</t>
  </si>
  <si>
    <t>USDJPY</t>
  </si>
  <si>
    <t>Heat6</t>
  </si>
  <si>
    <t>Equity</t>
  </si>
  <si>
    <t>Drawdown</t>
  </si>
  <si>
    <t>Maximum DrawDown:</t>
  </si>
  <si>
    <t>Equity Peak</t>
  </si>
  <si>
    <t>USOUSD</t>
  </si>
  <si>
    <t>Initial Losing Trade</t>
  </si>
  <si>
    <t>Current DrawDown:</t>
  </si>
  <si>
    <t>Total Profits in R:</t>
  </si>
  <si>
    <t>Capital at End:</t>
  </si>
  <si>
    <t>USD/JPY</t>
  </si>
  <si>
    <t>GBP/USD</t>
  </si>
  <si>
    <t>GBP/JPY</t>
  </si>
  <si>
    <t>GBP/AUD</t>
  </si>
  <si>
    <t>EUR/USD</t>
  </si>
  <si>
    <t>EUR/JPY</t>
  </si>
  <si>
    <t>EUR/GBP</t>
  </si>
  <si>
    <t>EUR/AUD</t>
  </si>
  <si>
    <t>AUD/USD</t>
  </si>
  <si>
    <t>AUD/JPY</t>
  </si>
  <si>
    <t>AATS H4 SYSTEM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</si>
</sst>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8" formatCode="&quot;$&quot;#,##0.00;[Red]\-&quot;$&quot;#,##0.00"/>
    <numFmt numFmtId="164" formatCode="#,##0.00_ ;[Red]\-#,##0.00\ "/>
    <numFmt numFmtId="165" formatCode="0.0%"/>
    <numFmt numFmtId="166" formatCode="#,##0.0000_ ;[Red]\-#,##0.0000\ "/>
    <numFmt numFmtId="167" formatCode="#,##0.0_ ;[Red]\-#,##0.0\ "/>
    <numFmt numFmtId="168" formatCode="#,##0_ ;[Red]\-#,##0\ "/>
    <numFmt numFmtId="169" formatCode="dd/mm/yy;@"/>
    <numFmt numFmtId="170" formatCode="#,##0.000_ ;[Red]\-#,##0.000\ "/>
  </numFmts>
  <fonts count="37" x14ac:knownFonts="1">
    <font>
      <sz val="10"/>
      <name val="Verdana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sz val="20"/>
      <name val="Gill Sans MT"/>
      <family val="2"/>
    </font>
    <font>
      <b/>
      <sz val="10"/>
      <color rgb="FFFF0000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10"/>
      <color rgb="FFFF0000"/>
      <name val="Gill Sans MT"/>
      <family val="2"/>
    </font>
    <font>
      <b/>
      <sz val="9"/>
      <color rgb="FFFF0000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theme="0" tint="-4.9989318521683403E-2"/>
      <name val="Gill Sans MT"/>
      <family val="2"/>
    </font>
    <font>
      <b/>
      <i/>
      <sz val="10"/>
      <color theme="1"/>
      <name val="Gill Sans MT"/>
      <family val="2"/>
    </font>
    <font>
      <b/>
      <i/>
      <sz val="10"/>
      <color theme="0"/>
      <name val="Gill Sans MT"/>
      <family val="2"/>
    </font>
    <font>
      <b/>
      <sz val="7"/>
      <name val="Gill Sans MT"/>
      <family val="2"/>
    </font>
    <font>
      <sz val="10"/>
      <color theme="1"/>
      <name val="Gill Sans MT"/>
      <family val="2"/>
    </font>
    <font>
      <b/>
      <sz val="12"/>
      <name val="Gill Sans MT"/>
      <family val="2"/>
    </font>
    <font>
      <b/>
      <sz val="12"/>
      <color rgb="FFFF0000"/>
      <name val="Gill Sans MT"/>
      <family val="2"/>
    </font>
    <font>
      <sz val="10"/>
      <color theme="1"/>
      <name val="Gill Sans MT"/>
      <family val="2"/>
    </font>
    <font>
      <b/>
      <i/>
      <sz val="9"/>
      <color theme="1"/>
      <name val="Gill Sans MT"/>
      <family val="2"/>
    </font>
    <font>
      <sz val="10"/>
      <color theme="0"/>
      <name val="Verdana"/>
      <family val="2"/>
    </font>
    <font>
      <b/>
      <i/>
      <sz val="9"/>
      <name val="Gill Sans MT"/>
      <family val="2"/>
    </font>
    <font>
      <sz val="12"/>
      <color theme="1"/>
      <name val="Calibri"/>
      <family val="2"/>
      <scheme val="minor"/>
    </font>
    <font>
      <b/>
      <sz val="10"/>
      <color theme="0"/>
      <name val="Gill Sans MT"/>
      <family val="2"/>
    </font>
    <font>
      <sz val="10"/>
      <color theme="0"/>
      <name val="Gill Sans MT"/>
      <family val="2"/>
    </font>
    <font>
      <b/>
      <sz val="20"/>
      <color theme="0"/>
      <name val="Gill Sans MT"/>
      <family val="2"/>
    </font>
    <font>
      <b/>
      <sz val="9"/>
      <color theme="0"/>
      <name val="Gill Sans MT"/>
      <family val="2"/>
    </font>
    <font>
      <sz val="9"/>
      <color theme="0"/>
      <name val="Gill Sans MT"/>
      <family val="2"/>
    </font>
    <font>
      <i/>
      <sz val="10"/>
      <color theme="0"/>
      <name val="Gill Sans MT"/>
      <family val="2"/>
    </font>
    <font>
      <i/>
      <sz val="9"/>
      <color theme="0"/>
      <name val="Gill Sans MT"/>
      <family val="2"/>
    </font>
    <font>
      <sz val="10"/>
      <name val="Gill Sans MT"/>
    </font>
    <font>
      <sz val="10"/>
      <color theme="1"/>
      <name val="Gill Sans MT"/>
    </font>
    <font>
      <sz val="10"/>
      <color theme="0"/>
      <name val="Gill Sans MT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FE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6" fillId="0" borderId="0"/>
  </cellStyleXfs>
  <cellXfs count="232">
    <xf numFmtId="0" fontId="0" fillId="0" borderId="0" xfId="0"/>
    <xf numFmtId="0" fontId="4" fillId="17" borderId="0" xfId="0" applyFont="1" applyFill="1" applyAlignment="1">
      <alignment vertical="center"/>
    </xf>
    <xf numFmtId="164" fontId="4" fillId="17" borderId="0" xfId="0" applyNumberFormat="1" applyFont="1" applyFill="1" applyAlignment="1">
      <alignment vertical="center"/>
    </xf>
    <xf numFmtId="0" fontId="4" fillId="17" borderId="0" xfId="0" applyFont="1" applyFill="1"/>
    <xf numFmtId="0" fontId="9" fillId="11" borderId="8" xfId="0" applyFont="1" applyFill="1" applyBorder="1" applyAlignment="1">
      <alignment vertical="center"/>
    </xf>
    <xf numFmtId="0" fontId="9" fillId="11" borderId="5" xfId="0" applyFont="1" applyFill="1" applyBorder="1" applyAlignment="1">
      <alignment vertical="center"/>
    </xf>
    <xf numFmtId="0" fontId="9" fillId="11" borderId="9" xfId="0" applyFont="1" applyFill="1" applyBorder="1" applyAlignment="1">
      <alignment vertical="center"/>
    </xf>
    <xf numFmtId="0" fontId="10" fillId="11" borderId="15" xfId="0" applyFont="1" applyFill="1" applyBorder="1"/>
    <xf numFmtId="0" fontId="10" fillId="11" borderId="16" xfId="0" applyFont="1" applyFill="1" applyBorder="1"/>
    <xf numFmtId="0" fontId="10" fillId="11" borderId="17" xfId="0" applyFont="1" applyFill="1" applyBorder="1"/>
    <xf numFmtId="0" fontId="9" fillId="17" borderId="0" xfId="0" applyFont="1" applyFill="1" applyAlignment="1">
      <alignment horizontal="center"/>
    </xf>
    <xf numFmtId="0" fontId="10" fillId="11" borderId="18" xfId="0" applyFont="1" applyFill="1" applyBorder="1"/>
    <xf numFmtId="0" fontId="10" fillId="11" borderId="0" xfId="0" applyFont="1" applyFill="1"/>
    <xf numFmtId="0" fontId="10" fillId="11" borderId="19" xfId="0" applyFont="1" applyFill="1" applyBorder="1"/>
    <xf numFmtId="1" fontId="11" fillId="11" borderId="14" xfId="0" applyNumberFormat="1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164" fontId="5" fillId="11" borderId="0" xfId="0" applyNumberFormat="1" applyFont="1" applyFill="1"/>
    <xf numFmtId="164" fontId="11" fillId="11" borderId="20" xfId="0" applyNumberFormat="1" applyFont="1" applyFill="1" applyBorder="1" applyAlignment="1">
      <alignment horizontal="center" vertical="center"/>
    </xf>
    <xf numFmtId="0" fontId="4" fillId="11" borderId="14" xfId="0" applyFont="1" applyFill="1" applyBorder="1"/>
    <xf numFmtId="0" fontId="8" fillId="11" borderId="16" xfId="0" applyFont="1" applyFill="1" applyBorder="1"/>
    <xf numFmtId="0" fontId="10" fillId="11" borderId="12" xfId="0" applyFont="1" applyFill="1" applyBorder="1"/>
    <xf numFmtId="0" fontId="10" fillId="11" borderId="13" xfId="0" applyFont="1" applyFill="1" applyBorder="1"/>
    <xf numFmtId="0" fontId="10" fillId="11" borderId="11" xfId="0" applyFont="1" applyFill="1" applyBorder="1"/>
    <xf numFmtId="1" fontId="11" fillId="11" borderId="21" xfId="0" applyNumberFormat="1" applyFont="1" applyFill="1" applyBorder="1" applyAlignment="1">
      <alignment horizontal="center"/>
    </xf>
    <xf numFmtId="165" fontId="11" fillId="11" borderId="21" xfId="1" applyNumberFormat="1" applyFont="1" applyFill="1" applyBorder="1" applyAlignment="1" applyProtection="1">
      <alignment horizontal="center"/>
    </xf>
    <xf numFmtId="164" fontId="5" fillId="17" borderId="0" xfId="0" applyNumberFormat="1" applyFont="1" applyFill="1"/>
    <xf numFmtId="165" fontId="11" fillId="11" borderId="21" xfId="1" applyNumberFormat="1" applyFont="1" applyFill="1" applyBorder="1" applyAlignment="1" applyProtection="1">
      <alignment horizontal="center" vertical="center"/>
    </xf>
    <xf numFmtId="0" fontId="5" fillId="11" borderId="16" xfId="0" applyFont="1" applyFill="1" applyBorder="1"/>
    <xf numFmtId="0" fontId="8" fillId="11" borderId="0" xfId="0" applyFont="1" applyFill="1"/>
    <xf numFmtId="164" fontId="5" fillId="11" borderId="21" xfId="0" applyNumberFormat="1" applyFont="1" applyFill="1" applyBorder="1" applyAlignment="1">
      <alignment horizontal="center" vertical="center"/>
    </xf>
    <xf numFmtId="0" fontId="5" fillId="11" borderId="0" xfId="0" applyFont="1" applyFill="1"/>
    <xf numFmtId="1" fontId="11" fillId="11" borderId="22" xfId="0" applyNumberFormat="1" applyFont="1" applyFill="1" applyBorder="1" applyAlignment="1">
      <alignment horizontal="center"/>
    </xf>
    <xf numFmtId="165" fontId="11" fillId="11" borderId="22" xfId="0" applyNumberFormat="1" applyFont="1" applyFill="1" applyBorder="1" applyAlignment="1">
      <alignment horizontal="center"/>
    </xf>
    <xf numFmtId="164" fontId="5" fillId="11" borderId="22" xfId="0" applyNumberFormat="1" applyFont="1" applyFill="1" applyBorder="1" applyAlignment="1">
      <alignment horizontal="center" vertical="center"/>
    </xf>
    <xf numFmtId="164" fontId="5" fillId="11" borderId="8" xfId="0" applyNumberFormat="1" applyFont="1" applyFill="1" applyBorder="1" applyAlignment="1">
      <alignment horizontal="center" vertical="center"/>
    </xf>
    <xf numFmtId="164" fontId="5" fillId="11" borderId="5" xfId="0" applyNumberFormat="1" applyFont="1" applyFill="1" applyBorder="1" applyAlignment="1">
      <alignment horizontal="center" vertical="center"/>
    </xf>
    <xf numFmtId="164" fontId="5" fillId="11" borderId="9" xfId="0" applyNumberFormat="1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9" xfId="0" applyFont="1" applyFill="1" applyBorder="1" applyAlignment="1">
      <alignment horizontal="center"/>
    </xf>
    <xf numFmtId="164" fontId="5" fillId="17" borderId="0" xfId="0" applyNumberFormat="1" applyFont="1" applyFill="1" applyAlignment="1">
      <alignment horizontal="right"/>
    </xf>
    <xf numFmtId="164" fontId="15" fillId="11" borderId="0" xfId="0" applyNumberFormat="1" applyFont="1" applyFill="1" applyAlignment="1">
      <alignment horizontal="left"/>
    </xf>
    <xf numFmtId="166" fontId="17" fillId="8" borderId="6" xfId="0" applyNumberFormat="1" applyFont="1" applyFill="1" applyBorder="1"/>
    <xf numFmtId="167" fontId="16" fillId="3" borderId="10" xfId="0" applyNumberFormat="1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164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164" fontId="18" fillId="9" borderId="25" xfId="0" applyNumberFormat="1" applyFont="1" applyFill="1" applyBorder="1" applyAlignment="1">
      <alignment horizontal="center" vertical="center"/>
    </xf>
    <xf numFmtId="166" fontId="16" fillId="4" borderId="32" xfId="0" applyNumberFormat="1" applyFont="1" applyFill="1" applyBorder="1" applyAlignment="1">
      <alignment horizontal="center" vertical="center"/>
    </xf>
    <xf numFmtId="168" fontId="5" fillId="9" borderId="6" xfId="0" applyNumberFormat="1" applyFont="1" applyFill="1" applyBorder="1" applyAlignment="1">
      <alignment horizontal="center" vertical="center"/>
    </xf>
    <xf numFmtId="168" fontId="5" fillId="9" borderId="7" xfId="0" applyNumberFormat="1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 wrapText="1"/>
    </xf>
    <xf numFmtId="164" fontId="11" fillId="11" borderId="21" xfId="0" applyNumberFormat="1" applyFont="1" applyFill="1" applyBorder="1" applyAlignment="1">
      <alignment horizontal="center"/>
    </xf>
    <xf numFmtId="164" fontId="11" fillId="11" borderId="22" xfId="0" applyNumberFormat="1" applyFont="1" applyFill="1" applyBorder="1" applyAlignment="1">
      <alignment horizontal="center"/>
    </xf>
    <xf numFmtId="167" fontId="5" fillId="14" borderId="7" xfId="0" applyNumberFormat="1" applyFont="1" applyFill="1" applyBorder="1" applyAlignment="1" applyProtection="1">
      <alignment horizontal="center"/>
      <protection locked="0"/>
    </xf>
    <xf numFmtId="169" fontId="1" fillId="0" borderId="0" xfId="50" applyNumberFormat="1" applyAlignment="1">
      <alignment horizontal="center" vertical="center"/>
    </xf>
    <xf numFmtId="40" fontId="1" fillId="0" borderId="0" xfId="50" applyNumberFormat="1" applyAlignment="1">
      <alignment horizontal="center" vertical="center"/>
    </xf>
    <xf numFmtId="8" fontId="1" fillId="0" borderId="0" xfId="50" applyNumberFormat="1" applyAlignment="1">
      <alignment horizontal="center" vertical="center"/>
    </xf>
    <xf numFmtId="0" fontId="1" fillId="0" borderId="0" xfId="50"/>
    <xf numFmtId="8" fontId="0" fillId="0" borderId="0" xfId="0" applyNumberFormat="1"/>
    <xf numFmtId="0" fontId="9" fillId="15" borderId="8" xfId="50" applyFont="1" applyFill="1" applyBorder="1" applyAlignment="1">
      <alignment horizontal="center" vertical="center"/>
    </xf>
    <xf numFmtId="6" fontId="23" fillId="9" borderId="6" xfId="50" applyNumberFormat="1" applyFont="1" applyFill="1" applyBorder="1" applyAlignment="1">
      <alignment horizontal="center" vertical="center"/>
    </xf>
    <xf numFmtId="165" fontId="23" fillId="9" borderId="6" xfId="50" applyNumberFormat="1" applyFont="1" applyFill="1" applyBorder="1" applyAlignment="1">
      <alignment horizontal="center" vertical="center"/>
    </xf>
    <xf numFmtId="169" fontId="19" fillId="0" borderId="0" xfId="50" applyNumberFormat="1" applyFont="1" applyAlignment="1" applyProtection="1">
      <alignment horizontal="center" vertical="center"/>
      <protection locked="0"/>
    </xf>
    <xf numFmtId="40" fontId="19" fillId="0" borderId="0" xfId="50" applyNumberFormat="1" applyFont="1" applyAlignment="1" applyProtection="1">
      <alignment horizontal="center" vertical="center"/>
      <protection locked="0"/>
    </xf>
    <xf numFmtId="8" fontId="19" fillId="0" borderId="0" xfId="50" applyNumberFormat="1" applyFont="1" applyAlignment="1" applyProtection="1">
      <alignment horizontal="center" vertical="center"/>
      <protection locked="0"/>
    </xf>
    <xf numFmtId="8" fontId="19" fillId="0" borderId="0" xfId="50" applyNumberFormat="1" applyFont="1" applyAlignment="1">
      <alignment horizontal="center" vertical="center"/>
    </xf>
    <xf numFmtId="8" fontId="1" fillId="0" borderId="0" xfId="50" applyNumberFormat="1"/>
    <xf numFmtId="0" fontId="24" fillId="0" borderId="0" xfId="50" applyFont="1"/>
    <xf numFmtId="169" fontId="0" fillId="0" borderId="0" xfId="0" applyNumberFormat="1" applyAlignment="1">
      <alignment horizontal="left"/>
    </xf>
    <xf numFmtId="169" fontId="22" fillId="0" borderId="0" xfId="50" applyNumberFormat="1" applyFont="1" applyAlignment="1" applyProtection="1">
      <alignment horizontal="center" vertical="center"/>
      <protection locked="0"/>
    </xf>
    <xf numFmtId="40" fontId="22" fillId="0" borderId="0" xfId="50" applyNumberFormat="1" applyFont="1" applyAlignment="1" applyProtection="1">
      <alignment horizontal="center" vertical="center"/>
      <protection locked="0"/>
    </xf>
    <xf numFmtId="8" fontId="22" fillId="0" borderId="0" xfId="50" applyNumberFormat="1" applyFont="1" applyAlignment="1" applyProtection="1">
      <alignment horizontal="center" vertical="center"/>
      <protection locked="0"/>
    </xf>
    <xf numFmtId="8" fontId="22" fillId="0" borderId="0" xfId="50" applyNumberFormat="1" applyFont="1" applyAlignment="1">
      <alignment horizontal="center" vertical="center"/>
    </xf>
    <xf numFmtId="169" fontId="1" fillId="0" borderId="0" xfId="50" applyNumberFormat="1"/>
    <xf numFmtId="40" fontId="1" fillId="0" borderId="0" xfId="50" applyNumberFormat="1"/>
    <xf numFmtId="0" fontId="0" fillId="0" borderId="0" xfId="0" pivotButton="1"/>
    <xf numFmtId="6" fontId="23" fillId="9" borderId="6" xfId="50" applyNumberFormat="1" applyFont="1" applyFill="1" applyBorder="1" applyAlignment="1" applyProtection="1">
      <alignment horizontal="center" vertical="center"/>
      <protection locked="0"/>
    </xf>
    <xf numFmtId="0" fontId="5" fillId="18" borderId="7" xfId="0" applyFont="1" applyFill="1" applyBorder="1" applyAlignment="1">
      <alignment horizontal="center" vertical="center"/>
    </xf>
    <xf numFmtId="0" fontId="26" fillId="0" borderId="0" xfId="51" applyAlignment="1">
      <alignment horizontal="center"/>
    </xf>
    <xf numFmtId="164" fontId="11" fillId="11" borderId="18" xfId="0" applyNumberFormat="1" applyFont="1" applyFill="1" applyBorder="1" applyAlignment="1">
      <alignment horizontal="center" vertical="center"/>
    </xf>
    <xf numFmtId="165" fontId="11" fillId="11" borderId="18" xfId="1" applyNumberFormat="1" applyFont="1" applyFill="1" applyBorder="1" applyAlignment="1" applyProtection="1">
      <alignment horizontal="center" vertical="center"/>
    </xf>
    <xf numFmtId="164" fontId="5" fillId="11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7" fontId="16" fillId="3" borderId="33" xfId="0" applyNumberFormat="1" applyFont="1" applyFill="1" applyBorder="1" applyAlignment="1">
      <alignment horizontal="center" vertical="center"/>
    </xf>
    <xf numFmtId="168" fontId="16" fillId="3" borderId="33" xfId="0" applyNumberFormat="1" applyFont="1" applyFill="1" applyBorder="1" applyAlignment="1">
      <alignment horizontal="center" vertical="center"/>
    </xf>
    <xf numFmtId="168" fontId="5" fillId="0" borderId="7" xfId="0" applyNumberFormat="1" applyFont="1" applyBorder="1" applyAlignment="1">
      <alignment horizontal="center" vertical="center"/>
    </xf>
    <xf numFmtId="168" fontId="5" fillId="3" borderId="2" xfId="0" applyNumberFormat="1" applyFont="1" applyFill="1" applyBorder="1" applyAlignment="1">
      <alignment horizontal="center" vertical="center"/>
    </xf>
    <xf numFmtId="168" fontId="4" fillId="0" borderId="0" xfId="0" applyNumberFormat="1" applyFont="1"/>
    <xf numFmtId="164" fontId="5" fillId="0" borderId="7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0" fontId="16" fillId="3" borderId="33" xfId="0" applyNumberFormat="1" applyFont="1" applyFill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5" fillId="3" borderId="2" xfId="0" applyNumberFormat="1" applyFont="1" applyFill="1" applyBorder="1" applyAlignment="1">
      <alignment horizontal="center" vertical="center"/>
    </xf>
    <xf numFmtId="10" fontId="4" fillId="0" borderId="0" xfId="0" applyNumberFormat="1" applyFont="1"/>
    <xf numFmtId="10" fontId="5" fillId="16" borderId="30" xfId="0" applyNumberFormat="1" applyFont="1" applyFill="1" applyBorder="1" applyAlignment="1">
      <alignment horizontal="center" vertical="center"/>
    </xf>
    <xf numFmtId="168" fontId="5" fillId="0" borderId="5" xfId="0" applyNumberFormat="1" applyFont="1" applyBorder="1" applyAlignment="1">
      <alignment horizontal="center" vertical="center"/>
    </xf>
    <xf numFmtId="22" fontId="5" fillId="12" borderId="4" xfId="0" applyNumberFormat="1" applyFont="1" applyFill="1" applyBorder="1" applyAlignment="1">
      <alignment horizontal="center" vertical="center" wrapText="1"/>
    </xf>
    <xf numFmtId="22" fontId="5" fillId="0" borderId="0" xfId="0" applyNumberFormat="1" applyFont="1" applyAlignment="1">
      <alignment horizontal="center" vertical="center"/>
    </xf>
    <xf numFmtId="22" fontId="4" fillId="0" borderId="0" xfId="0" applyNumberFormat="1" applyFont="1"/>
    <xf numFmtId="22" fontId="9" fillId="11" borderId="8" xfId="0" applyNumberFormat="1" applyFont="1" applyFill="1" applyBorder="1" applyAlignment="1">
      <alignment vertical="center"/>
    </xf>
    <xf numFmtId="22" fontId="9" fillId="11" borderId="21" xfId="0" applyNumberFormat="1" applyFont="1" applyFill="1" applyBorder="1" applyAlignment="1">
      <alignment horizontal="right"/>
    </xf>
    <xf numFmtId="22" fontId="9" fillId="11" borderId="22" xfId="0" applyNumberFormat="1" applyFont="1" applyFill="1" applyBorder="1" applyAlignment="1">
      <alignment horizontal="right"/>
    </xf>
    <xf numFmtId="22" fontId="9" fillId="15" borderId="8" xfId="50" applyNumberFormat="1" applyFont="1" applyFill="1" applyBorder="1" applyAlignment="1">
      <alignment horizontal="center" vertical="center"/>
    </xf>
    <xf numFmtId="22" fontId="14" fillId="11" borderId="14" xfId="0" applyNumberFormat="1" applyFont="1" applyFill="1" applyBorder="1" applyAlignment="1">
      <alignment horizontal="right"/>
    </xf>
    <xf numFmtId="22" fontId="5" fillId="12" borderId="6" xfId="0" applyNumberFormat="1" applyFont="1" applyFill="1" applyBorder="1" applyAlignment="1">
      <alignment horizontal="center" vertical="center" wrapText="1"/>
    </xf>
    <xf numFmtId="22" fontId="5" fillId="0" borderId="3" xfId="0" applyNumberFormat="1" applyFont="1" applyBorder="1" applyAlignment="1">
      <alignment horizontal="center" vertical="center"/>
    </xf>
    <xf numFmtId="0" fontId="7" fillId="17" borderId="0" xfId="0" applyFont="1" applyFill="1" applyAlignment="1" applyProtection="1">
      <alignment vertical="center"/>
      <protection locked="0"/>
    </xf>
    <xf numFmtId="0" fontId="4" fillId="19" borderId="0" xfId="0" applyFont="1" applyFill="1" applyAlignment="1">
      <alignment vertical="center"/>
    </xf>
    <xf numFmtId="0" fontId="4" fillId="19" borderId="0" xfId="0" applyFont="1" applyFill="1"/>
    <xf numFmtId="0" fontId="4" fillId="19" borderId="0" xfId="0" applyFont="1" applyFill="1" applyAlignment="1">
      <alignment horizontal="center" vertical="center"/>
    </xf>
    <xf numFmtId="0" fontId="5" fillId="19" borderId="0" xfId="0" applyFont="1" applyFill="1" applyAlignment="1">
      <alignment vertical="center"/>
    </xf>
    <xf numFmtId="22" fontId="4" fillId="19" borderId="0" xfId="0" applyNumberFormat="1" applyFont="1" applyFill="1" applyAlignment="1">
      <alignment vertical="center"/>
    </xf>
    <xf numFmtId="164" fontId="6" fillId="19" borderId="0" xfId="0" applyNumberFormat="1" applyFont="1" applyFill="1" applyAlignment="1">
      <alignment horizontal="left" vertical="center"/>
    </xf>
    <xf numFmtId="164" fontId="4" fillId="19" borderId="0" xfId="0" applyNumberFormat="1" applyFont="1" applyFill="1" applyAlignment="1">
      <alignment vertical="center"/>
    </xf>
    <xf numFmtId="0" fontId="7" fillId="19" borderId="0" xfId="0" applyFont="1" applyFill="1" applyAlignment="1" applyProtection="1">
      <alignment vertical="center"/>
      <protection locked="0"/>
    </xf>
    <xf numFmtId="0" fontId="8" fillId="19" borderId="0" xfId="0" applyFont="1" applyFill="1" applyAlignment="1">
      <alignment horizontal="center" vertical="center"/>
    </xf>
    <xf numFmtId="0" fontId="8" fillId="19" borderId="0" xfId="0" applyFont="1" applyFill="1"/>
    <xf numFmtId="0" fontId="4" fillId="19" borderId="0" xfId="0" applyFont="1" applyFill="1" applyAlignment="1">
      <alignment horizontal="center"/>
    </xf>
    <xf numFmtId="22" fontId="4" fillId="19" borderId="0" xfId="0" applyNumberFormat="1" applyFont="1" applyFill="1"/>
    <xf numFmtId="22" fontId="13" fillId="19" borderId="0" xfId="0" applyNumberFormat="1" applyFont="1" applyFill="1" applyAlignment="1">
      <alignment horizontal="right"/>
    </xf>
    <xf numFmtId="0" fontId="6" fillId="19" borderId="0" xfId="0" applyFont="1" applyFill="1"/>
    <xf numFmtId="168" fontId="6" fillId="19" borderId="0" xfId="0" applyNumberFormat="1" applyFont="1" applyFill="1"/>
    <xf numFmtId="10" fontId="6" fillId="19" borderId="0" xfId="0" applyNumberFormat="1" applyFont="1" applyFill="1"/>
    <xf numFmtId="168" fontId="4" fillId="19" borderId="0" xfId="0" applyNumberFormat="1" applyFont="1" applyFill="1"/>
    <xf numFmtId="10" fontId="4" fillId="19" borderId="0" xfId="0" applyNumberFormat="1" applyFont="1" applyFill="1"/>
    <xf numFmtId="164" fontId="28" fillId="19" borderId="0" xfId="0" applyNumberFormat="1" applyFont="1" applyFill="1" applyAlignment="1">
      <alignment vertical="center"/>
    </xf>
    <xf numFmtId="168" fontId="28" fillId="19" borderId="0" xfId="0" applyNumberFormat="1" applyFont="1" applyFill="1" applyAlignment="1">
      <alignment vertical="center"/>
    </xf>
    <xf numFmtId="10" fontId="28" fillId="19" borderId="0" xfId="0" applyNumberFormat="1" applyFont="1" applyFill="1" applyAlignment="1">
      <alignment vertical="center"/>
    </xf>
    <xf numFmtId="0" fontId="29" fillId="19" borderId="0" xfId="0" applyFont="1" applyFill="1" applyAlignment="1" applyProtection="1">
      <alignment vertical="center"/>
      <protection locked="0"/>
    </xf>
    <xf numFmtId="0" fontId="29" fillId="19" borderId="0" xfId="0" applyFont="1" applyFill="1" applyAlignment="1" applyProtection="1">
      <alignment horizontal="left" vertical="center"/>
      <protection locked="0"/>
    </xf>
    <xf numFmtId="168" fontId="29" fillId="19" borderId="0" xfId="0" applyNumberFormat="1" applyFont="1" applyFill="1" applyAlignment="1">
      <alignment horizontal="left" vertical="center"/>
    </xf>
    <xf numFmtId="10" fontId="29" fillId="19" borderId="0" xfId="0" applyNumberFormat="1" applyFont="1" applyFill="1" applyAlignment="1">
      <alignment horizontal="left" vertical="center"/>
    </xf>
    <xf numFmtId="0" fontId="28" fillId="19" borderId="0" xfId="0" applyFont="1" applyFill="1"/>
    <xf numFmtId="0" fontId="30" fillId="19" borderId="0" xfId="0" applyFont="1" applyFill="1" applyAlignment="1">
      <alignment horizontal="right"/>
    </xf>
    <xf numFmtId="168" fontId="30" fillId="19" borderId="0" xfId="0" applyNumberFormat="1" applyFont="1" applyFill="1" applyAlignment="1">
      <alignment horizontal="right"/>
    </xf>
    <xf numFmtId="10" fontId="30" fillId="19" borderId="0" xfId="0" applyNumberFormat="1" applyFont="1" applyFill="1" applyAlignment="1">
      <alignment horizontal="right"/>
    </xf>
    <xf numFmtId="168" fontId="28" fillId="19" borderId="0" xfId="0" applyNumberFormat="1" applyFont="1" applyFill="1"/>
    <xf numFmtId="10" fontId="28" fillId="19" borderId="0" xfId="0" applyNumberFormat="1" applyFont="1" applyFill="1"/>
    <xf numFmtId="0" fontId="28" fillId="19" borderId="0" xfId="0" applyFont="1" applyFill="1" applyAlignment="1">
      <alignment vertical="center"/>
    </xf>
    <xf numFmtId="0" fontId="30" fillId="19" borderId="0" xfId="0" applyFont="1" applyFill="1" applyAlignment="1">
      <alignment horizontal="center"/>
    </xf>
    <xf numFmtId="0" fontId="31" fillId="19" borderId="0" xfId="0" applyFont="1" applyFill="1" applyAlignment="1">
      <alignment horizontal="center"/>
    </xf>
    <xf numFmtId="164" fontId="28" fillId="19" borderId="0" xfId="0" applyNumberFormat="1" applyFont="1" applyFill="1"/>
    <xf numFmtId="164" fontId="27" fillId="19" borderId="0" xfId="0" applyNumberFormat="1" applyFont="1" applyFill="1" applyAlignment="1">
      <alignment horizontal="right"/>
    </xf>
    <xf numFmtId="164" fontId="27" fillId="19" borderId="0" xfId="0" applyNumberFormat="1" applyFont="1" applyFill="1"/>
    <xf numFmtId="0" fontId="28" fillId="19" borderId="0" xfId="0" applyFont="1" applyFill="1" applyAlignment="1">
      <alignment horizontal="center"/>
    </xf>
    <xf numFmtId="0" fontId="5" fillId="19" borderId="0" xfId="0" applyFont="1" applyFill="1" applyAlignment="1">
      <alignment horizontal="center" vertical="center"/>
    </xf>
    <xf numFmtId="22" fontId="28" fillId="19" borderId="0" xfId="0" applyNumberFormat="1" applyFont="1" applyFill="1"/>
    <xf numFmtId="0" fontId="32" fillId="19" borderId="0" xfId="0" applyFont="1" applyFill="1"/>
    <xf numFmtId="0" fontId="33" fillId="19" borderId="0" xfId="0" applyFont="1" applyFill="1"/>
    <xf numFmtId="22" fontId="33" fillId="19" borderId="0" xfId="0" applyNumberFormat="1" applyFont="1" applyFill="1"/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19" fillId="10" borderId="0" xfId="0" applyFont="1" applyFill="1" applyAlignment="1">
      <alignment horizontal="center"/>
    </xf>
    <xf numFmtId="22" fontId="19" fillId="10" borderId="0" xfId="0" applyNumberFormat="1" applyFont="1" applyFill="1" applyAlignment="1" applyProtection="1">
      <alignment horizontal="center" vertical="center"/>
      <protection locked="0"/>
    </xf>
    <xf numFmtId="0" fontId="19" fillId="10" borderId="0" xfId="0" applyFont="1" applyFill="1" applyAlignment="1" applyProtection="1">
      <alignment horizontal="center"/>
      <protection locked="0"/>
    </xf>
    <xf numFmtId="0" fontId="19" fillId="10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center" vertical="center"/>
    </xf>
    <xf numFmtId="170" fontId="19" fillId="4" borderId="0" xfId="0" applyNumberFormat="1" applyFont="1" applyFill="1" applyAlignment="1">
      <alignment horizontal="center" vertical="center"/>
    </xf>
    <xf numFmtId="166" fontId="28" fillId="8" borderId="0" xfId="0" applyNumberFormat="1" applyFont="1" applyFill="1"/>
    <xf numFmtId="170" fontId="19" fillId="3" borderId="0" xfId="0" applyNumberFormat="1" applyFont="1" applyFill="1" applyAlignment="1">
      <alignment horizontal="center" vertical="center"/>
    </xf>
    <xf numFmtId="168" fontId="19" fillId="3" borderId="0" xfId="0" applyNumberFormat="1" applyFont="1" applyFill="1" applyAlignment="1">
      <alignment horizontal="center" vertical="center"/>
    </xf>
    <xf numFmtId="10" fontId="19" fillId="3" borderId="0" xfId="0" applyNumberFormat="1" applyFont="1" applyFill="1" applyAlignment="1">
      <alignment horizontal="center" vertical="center"/>
    </xf>
    <xf numFmtId="166" fontId="19" fillId="2" borderId="0" xfId="0" applyNumberFormat="1" applyFont="1" applyFill="1" applyAlignment="1">
      <alignment horizontal="center" vertical="center"/>
    </xf>
    <xf numFmtId="168" fontId="19" fillId="9" borderId="0" xfId="0" applyNumberFormat="1" applyFont="1" applyFill="1" applyAlignment="1">
      <alignment horizontal="center" vertical="center"/>
    </xf>
    <xf numFmtId="6" fontId="20" fillId="16" borderId="30" xfId="0" applyNumberFormat="1" applyFont="1" applyFill="1" applyBorder="1" applyAlignment="1">
      <alignment horizontal="center" vertical="center"/>
    </xf>
    <xf numFmtId="0" fontId="34" fillId="7" borderId="0" xfId="0" applyFont="1" applyFill="1" applyAlignment="1" applyProtection="1">
      <alignment horizontal="center" vertical="center" wrapText="1"/>
      <protection locked="0"/>
    </xf>
    <xf numFmtId="0" fontId="34" fillId="7" borderId="0" xfId="0" applyFont="1" applyFill="1" applyAlignment="1" applyProtection="1">
      <alignment horizontal="center" vertical="center"/>
      <protection locked="0"/>
    </xf>
    <xf numFmtId="0" fontId="35" fillId="10" borderId="0" xfId="0" applyFont="1" applyFill="1" applyAlignment="1">
      <alignment horizontal="center"/>
    </xf>
    <xf numFmtId="22" fontId="35" fillId="10" borderId="0" xfId="0" applyNumberFormat="1" applyFont="1" applyFill="1" applyAlignment="1" applyProtection="1">
      <alignment horizontal="center" vertical="center"/>
      <protection locked="0"/>
    </xf>
    <xf numFmtId="0" fontId="35" fillId="10" borderId="0" xfId="0" applyFont="1" applyFill="1" applyAlignment="1" applyProtection="1">
      <alignment horizontal="center"/>
      <protection locked="0"/>
    </xf>
    <xf numFmtId="0" fontId="35" fillId="10" borderId="0" xfId="0" applyFont="1" applyFill="1" applyAlignment="1" applyProtection="1">
      <alignment horizontal="center" vertical="center"/>
      <protection locked="0"/>
    </xf>
    <xf numFmtId="0" fontId="35" fillId="6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170" fontId="35" fillId="4" borderId="0" xfId="0" applyNumberFormat="1" applyFont="1" applyFill="1" applyAlignment="1">
      <alignment horizontal="center" vertical="center"/>
    </xf>
    <xf numFmtId="166" fontId="36" fillId="8" borderId="0" xfId="0" applyNumberFormat="1" applyFont="1" applyFill="1"/>
    <xf numFmtId="170" fontId="35" fillId="3" borderId="0" xfId="0" applyNumberFormat="1" applyFont="1" applyFill="1" applyAlignment="1">
      <alignment horizontal="center" vertical="center"/>
    </xf>
    <xf numFmtId="168" fontId="35" fillId="3" borderId="0" xfId="0" applyNumberFormat="1" applyFont="1" applyFill="1" applyAlignment="1">
      <alignment horizontal="center" vertical="center"/>
    </xf>
    <xf numFmtId="10" fontId="35" fillId="3" borderId="0" xfId="0" applyNumberFormat="1" applyFont="1" applyFill="1" applyAlignment="1">
      <alignment horizontal="center" vertical="center"/>
    </xf>
    <xf numFmtId="166" fontId="35" fillId="2" borderId="0" xfId="0" applyNumberFormat="1" applyFont="1" applyFill="1" applyAlignment="1">
      <alignment horizontal="center" vertical="center"/>
    </xf>
    <xf numFmtId="168" fontId="35" fillId="9" borderId="0" xfId="0" applyNumberFormat="1" applyFont="1" applyFill="1" applyAlignment="1">
      <alignment horizontal="center" vertical="center"/>
    </xf>
    <xf numFmtId="0" fontId="29" fillId="19" borderId="0" xfId="0" applyFont="1" applyFill="1" applyAlignment="1" applyProtection="1">
      <alignment horizontal="left" vertical="center"/>
      <protection locked="0"/>
    </xf>
    <xf numFmtId="0" fontId="20" fillId="15" borderId="34" xfId="0" applyFont="1" applyFill="1" applyBorder="1" applyAlignment="1">
      <alignment horizontal="right" vertical="center"/>
    </xf>
    <xf numFmtId="0" fontId="20" fillId="15" borderId="35" xfId="0" applyFont="1" applyFill="1" applyBorder="1" applyAlignment="1">
      <alignment horizontal="right" vertical="center"/>
    </xf>
    <xf numFmtId="0" fontId="10" fillId="13" borderId="8" xfId="0" applyFont="1" applyFill="1" applyBorder="1" applyAlignment="1">
      <alignment horizontal="right"/>
    </xf>
    <xf numFmtId="0" fontId="10" fillId="13" borderId="23" xfId="0" applyFont="1" applyFill="1" applyBorder="1" applyAlignment="1">
      <alignment horizontal="right"/>
    </xf>
    <xf numFmtId="0" fontId="25" fillId="15" borderId="8" xfId="0" applyFont="1" applyFill="1" applyBorder="1" applyAlignment="1">
      <alignment horizontal="right"/>
    </xf>
    <xf numFmtId="0" fontId="25" fillId="15" borderId="23" xfId="0" applyFont="1" applyFill="1" applyBorder="1" applyAlignment="1">
      <alignment horizontal="right"/>
    </xf>
    <xf numFmtId="164" fontId="9" fillId="11" borderId="8" xfId="0" applyNumberFormat="1" applyFont="1" applyFill="1" applyBorder="1" applyAlignment="1">
      <alignment horizontal="center"/>
    </xf>
    <xf numFmtId="164" fontId="9" fillId="11" borderId="5" xfId="0" applyNumberFormat="1" applyFont="1" applyFill="1" applyBorder="1" applyAlignment="1">
      <alignment horizontal="center"/>
    </xf>
    <xf numFmtId="164" fontId="9" fillId="11" borderId="9" xfId="0" applyNumberFormat="1" applyFont="1" applyFill="1" applyBorder="1" applyAlignment="1">
      <alignment horizontal="center"/>
    </xf>
    <xf numFmtId="0" fontId="20" fillId="15" borderId="26" xfId="0" applyFont="1" applyFill="1" applyBorder="1" applyAlignment="1">
      <alignment horizontal="right" vertical="center"/>
    </xf>
    <xf numFmtId="0" fontId="20" fillId="15" borderId="27" xfId="0" applyFont="1" applyFill="1" applyBorder="1" applyAlignment="1">
      <alignment horizontal="right" vertical="center"/>
    </xf>
    <xf numFmtId="0" fontId="20" fillId="15" borderId="28" xfId="0" applyFont="1" applyFill="1" applyBorder="1" applyAlignment="1">
      <alignment horizontal="right" vertical="center"/>
    </xf>
    <xf numFmtId="0" fontId="20" fillId="15" borderId="29" xfId="0" applyFont="1" applyFill="1" applyBorder="1" applyAlignment="1">
      <alignment horizontal="right" vertical="center"/>
    </xf>
    <xf numFmtId="164" fontId="21" fillId="16" borderId="30" xfId="0" applyNumberFormat="1" applyFont="1" applyFill="1" applyBorder="1" applyAlignment="1">
      <alignment horizontal="center" vertical="center"/>
    </xf>
    <xf numFmtId="164" fontId="21" fillId="16" borderId="31" xfId="0" applyNumberFormat="1" applyFont="1" applyFill="1" applyBorder="1" applyAlignment="1">
      <alignment horizontal="center" vertical="center"/>
    </xf>
    <xf numFmtId="164" fontId="8" fillId="11" borderId="20" xfId="0" applyNumberFormat="1" applyFont="1" applyFill="1" applyBorder="1" applyAlignment="1">
      <alignment horizontal="center" vertical="center"/>
    </xf>
    <xf numFmtId="164" fontId="8" fillId="11" borderId="21" xfId="0" applyNumberFormat="1" applyFont="1" applyFill="1" applyBorder="1" applyAlignment="1">
      <alignment horizontal="center" vertical="center"/>
    </xf>
    <xf numFmtId="164" fontId="8" fillId="11" borderId="22" xfId="0" applyNumberFormat="1" applyFont="1" applyFill="1" applyBorder="1" applyAlignment="1">
      <alignment horizontal="center" vertical="center"/>
    </xf>
    <xf numFmtId="0" fontId="9" fillId="15" borderId="34" xfId="0" applyFont="1" applyFill="1" applyBorder="1" applyAlignment="1">
      <alignment horizontal="right" vertical="center"/>
    </xf>
    <xf numFmtId="0" fontId="9" fillId="15" borderId="35" xfId="0" applyFont="1" applyFill="1" applyBorder="1" applyAlignment="1">
      <alignment horizontal="right" vertical="center"/>
    </xf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Normal 2" xfId="50" xr:uid="{00000000-0005-0000-0000-000031000000}"/>
    <cellStyle name="Normal 3" xfId="51" xr:uid="{00000000-0005-0000-0000-000032000000}"/>
    <cellStyle name="Percent" xfId="1" builtinId="5"/>
  </cellStyles>
  <dxfs count="9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2" formatCode="&quot;$&quot;#,##0.00;[Red]\-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2" formatCode="&quot;$&quot;#,##0.00;[Red]\-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2" formatCode="&quot;$&quot;#,##0.00;[Red]\-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color theme="1"/>
        <name val="Gill Sans MT"/>
      </font>
      <numFmt numFmtId="8" formatCode="#,##0.00;[Red]\-#,##0.00"/>
      <alignment horizontal="center" vertical="center" textRotation="0" wrapText="0" indent="0" justifyLastLine="0" shrinkToFit="0" readingOrder="0"/>
      <protection locked="0" hidden="0"/>
    </dxf>
    <dxf>
      <font>
        <color theme="1"/>
        <name val="Gill Sans MT"/>
      </font>
      <numFmt numFmtId="169" formatCode="dd/mm/yy;@"/>
      <alignment horizontal="center" vertical="center" textRotation="0" wrapText="0" indent="0" justifyLastLine="0" shrinkToFit="0" readingOrder="0"/>
      <protection locked="0" hidden="0"/>
    </dxf>
    <dxf>
      <numFmt numFmtId="169" formatCode="dd/mm/yy;@"/>
    </dxf>
    <dxf>
      <numFmt numFmtId="169" formatCode="dd/mm/yy;@"/>
      <alignment horizontal="center" vertical="center" textRotation="0" indent="0" justifyLastLine="0" shrinkToFit="0" readingOrder="0"/>
    </dxf>
    <dxf>
      <numFmt numFmtId="12" formatCode="&quot;$&quot;#,##0.00;[Red]\-&quot;$&quot;#,##0.00"/>
    </dxf>
    <dxf>
      <numFmt numFmtId="12" formatCode="&quot;$&quot;#,##0.00;[Red]\-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0000F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[AATS H4 2020 Website.xlsx]Profit Summary!pv1</c:name>
    <c:fmtId val="2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equity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2225" cap="rnd">
            <a:solidFill>
              <a:schemeClr val="accent2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'Profit Summary'!$I$1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'Profit Summary'!$H$2:$H$7</c:f>
              <c:strCache>
                <c:ptCount val="5"/>
                <c:pt idx="0">
                  <c:v>01/01/21</c:v>
                </c:pt>
                <c:pt idx="1">
                  <c:v>26/02/21</c:v>
                </c:pt>
                <c:pt idx="2">
                  <c:v>19/03/21</c:v>
                </c:pt>
                <c:pt idx="3">
                  <c:v>01/04/21</c:v>
                </c:pt>
                <c:pt idx="4">
                  <c:v>01/05/21</c:v>
                </c:pt>
              </c:strCache>
            </c:strRef>
          </c:cat>
          <c:val>
            <c:numRef>
              <c:f>'Profit Summary'!$I$2:$I$7</c:f>
              <c:numCache>
                <c:formatCode>"$"#,##0.00_);[Red]\("$"#,##0.00\)</c:formatCode>
                <c:ptCount val="5"/>
                <c:pt idx="0">
                  <c:v>100000</c:v>
                </c:pt>
                <c:pt idx="1">
                  <c:v>112270</c:v>
                </c:pt>
                <c:pt idx="2">
                  <c:v>111120</c:v>
                </c:pt>
                <c:pt idx="3">
                  <c:v>112380</c:v>
                </c:pt>
                <c:pt idx="4">
                  <c:v>112120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C-4CA2-AA9C-84A67076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323024"/>
        <c:axId val="239321064"/>
      </c:lineChart>
      <c:catAx>
        <c:axId val="23932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21064"/>
        <c:crosses val="autoZero"/>
        <c:auto val="1"/>
        <c:lblAlgn val="ctr"/>
        <c:lblOffset val="100"/>
        <c:noMultiLvlLbl val="0"/>
      </c:catAx>
      <c:valAx>
        <c:axId val="239321064"/>
        <c:scaling>
          <c:orientation val="minMax"/>
          <c:max val="117999"/>
          <c:min val="99000"/>
        </c:scaling>
        <c:delete val="0"/>
        <c:axPos val="l"/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2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1A7AD16D-A805-4D8D-A363-EE52F7C2E6B3}"/>
            </a:ext>
          </a:extLst>
        </xdr:cNvPr>
        <xdr:cNvSpPr/>
      </xdr:nvSpPr>
      <xdr:spPr>
        <a:xfrm>
          <a:off x="275386" y="1399761"/>
          <a:ext cx="1047749" cy="43993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35358F87-2936-4CCF-8525-C526E707D002}"/>
            </a:ext>
          </a:extLst>
        </xdr:cNvPr>
        <xdr:cNvSpPr/>
      </xdr:nvSpPr>
      <xdr:spPr>
        <a:xfrm>
          <a:off x="275386" y="1987064"/>
          <a:ext cx="104940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6C55E32F-FE66-413F-AED9-5FE9E959C5F0}"/>
            </a:ext>
          </a:extLst>
        </xdr:cNvPr>
        <xdr:cNvSpPr/>
      </xdr:nvSpPr>
      <xdr:spPr>
        <a:xfrm>
          <a:off x="275386" y="2465209"/>
          <a:ext cx="1053973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MasterData" textlink="">
      <xdr:nvSpPr>
        <xdr:cNvPr id="6" name="Rounded Rectangle 5">
          <a:extLst>
            <a:ext uri="{FF2B5EF4-FFF2-40B4-BE49-F238E27FC236}">
              <a16:creationId xmlns:a16="http://schemas.microsoft.com/office/drawing/2014/main" id="{FEDF81D1-EC9B-4BA3-B082-6CE8837F2352}"/>
            </a:ext>
          </a:extLst>
        </xdr:cNvPr>
        <xdr:cNvSpPr/>
      </xdr:nvSpPr>
      <xdr:spPr>
        <a:xfrm>
          <a:off x="1511577" y="1399762"/>
          <a:ext cx="1118151" cy="43589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MASTER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7" name="Rounded Rectangle 6">
          <a:extLst>
            <a:ext uri="{FF2B5EF4-FFF2-40B4-BE49-F238E27FC236}">
              <a16:creationId xmlns:a16="http://schemas.microsoft.com/office/drawing/2014/main" id="{EFF56A64-9680-4AE2-A1F0-C23D3D9CD7AF}"/>
            </a:ext>
          </a:extLst>
        </xdr:cNvPr>
        <xdr:cNvSpPr/>
      </xdr:nvSpPr>
      <xdr:spPr>
        <a:xfrm>
          <a:off x="1513234" y="1983025"/>
          <a:ext cx="111918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492816</xdr:colOff>
      <xdr:row>11</xdr:row>
      <xdr:rowOff>153228</xdr:rowOff>
    </xdr:from>
    <xdr:to>
      <xdr:col>3</xdr:col>
      <xdr:colOff>588064</xdr:colOff>
      <xdr:row>13</xdr:row>
      <xdr:rowOff>92169</xdr:rowOff>
    </xdr:to>
    <xdr:sp macro="[0]!RefreshMaster" textlink="">
      <xdr:nvSpPr>
        <xdr:cNvPr id="8" name="Rounded Rectangle 5">
          <a:extLst>
            <a:ext uri="{FF2B5EF4-FFF2-40B4-BE49-F238E27FC236}">
              <a16:creationId xmlns:a16="http://schemas.microsoft.com/office/drawing/2014/main" id="{B9E58715-C693-45E2-86DF-E1AA12FEA053}"/>
            </a:ext>
          </a:extLst>
        </xdr:cNvPr>
        <xdr:cNvSpPr/>
      </xdr:nvSpPr>
      <xdr:spPr>
        <a:xfrm>
          <a:off x="1519859" y="2476500"/>
          <a:ext cx="1118151" cy="319941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600" b="1">
              <a:latin typeface="Gill Sans MT" panose="020B0502020104020203" pitchFamily="34" charset="0"/>
            </a:rPr>
            <a:t>GET DATA FROM OTHER SHEETS</a:t>
          </a: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CE74E79-4188-5C1B-38A2-FCF5DB234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187" y="401707"/>
          <a:ext cx="2393673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1781174</xdr:colOff>
      <xdr:row>3</xdr:row>
      <xdr:rowOff>152400</xdr:rowOff>
    </xdr:from>
    <xdr:to>
      <xdr:col>22</xdr:col>
      <xdr:colOff>581025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8</xdr:row>
      <xdr:rowOff>19050</xdr:rowOff>
    </xdr:from>
    <xdr:to>
      <xdr:col>10</xdr:col>
      <xdr:colOff>1488694</xdr:colOff>
      <xdr:row>9</xdr:row>
      <xdr:rowOff>133350</xdr:rowOff>
    </xdr:to>
    <xdr:sp macro="[0]!InsertProfitRow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72025" y="1562100"/>
          <a:ext cx="1164844" cy="304800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 b="1">
              <a:latin typeface="Gill Sans MT" panose="020B0502020104020203" pitchFamily="34" charset="0"/>
            </a:rPr>
            <a:t>INSERT</a:t>
          </a:r>
          <a:r>
            <a:rPr lang="en-AU" sz="1000" b="1" baseline="0">
              <a:latin typeface="Gill Sans MT" panose="020B0502020104020203" pitchFamily="34" charset="0"/>
            </a:rPr>
            <a:t> DATA</a:t>
          </a:r>
          <a:endParaRPr lang="en-AU" sz="10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10</xdr:col>
      <xdr:colOff>409575</xdr:colOff>
      <xdr:row>10</xdr:row>
      <xdr:rowOff>112431</xdr:rowOff>
    </xdr:from>
    <xdr:to>
      <xdr:col>10</xdr:col>
      <xdr:colOff>1400429</xdr:colOff>
      <xdr:row>11</xdr:row>
      <xdr:rowOff>154446</xdr:rowOff>
    </xdr:to>
    <xdr:sp macro="[0]!DeleteProfitRow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57750" y="2046006"/>
          <a:ext cx="990854" cy="242040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10</xdr:col>
      <xdr:colOff>323850</xdr:colOff>
      <xdr:row>12</xdr:row>
      <xdr:rowOff>142875</xdr:rowOff>
    </xdr:from>
    <xdr:to>
      <xdr:col>10</xdr:col>
      <xdr:colOff>1488694</xdr:colOff>
      <xdr:row>15</xdr:row>
      <xdr:rowOff>28575</xdr:rowOff>
    </xdr:to>
    <xdr:sp macro="[0]!RefreshChart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72025" y="2466975"/>
          <a:ext cx="1164844" cy="457200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 b="1">
              <a:latin typeface="Gill Sans MT" panose="020B0502020104020203" pitchFamily="34" charset="0"/>
            </a:rPr>
            <a:t>Refresh Chart (Manual)</a:t>
          </a:r>
        </a:p>
      </xdr:txBody>
    </xdr:sp>
    <xdr:clientData/>
  </xdr:twoCellAnchor>
  <xdr:twoCellAnchor editAs="oneCell">
    <xdr:from>
      <xdr:col>10</xdr:col>
      <xdr:colOff>238125</xdr:colOff>
      <xdr:row>0</xdr:row>
      <xdr:rowOff>200025</xdr:rowOff>
    </xdr:from>
    <xdr:to>
      <xdr:col>10</xdr:col>
      <xdr:colOff>1628595</xdr:colOff>
      <xdr:row>6</xdr:row>
      <xdr:rowOff>76785</xdr:rowOff>
    </xdr:to>
    <xdr:pic>
      <xdr:nvPicPr>
        <xdr:cNvPr id="6" name="Picture 5" descr="LOGO (1)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200025"/>
          <a:ext cx="1390470" cy="103881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AB3D6066-272A-4037-B3BB-939A40075C1D}"/>
            </a:ext>
          </a:extLst>
        </xdr:cNvPr>
        <xdr:cNvSpPr/>
      </xdr:nvSpPr>
      <xdr:spPr>
        <a:xfrm>
          <a:off x="275386" y="1400589"/>
          <a:ext cx="1049406" cy="5399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87FAAD9B-C4D5-46D9-8407-F5D3A972046A}"/>
            </a:ext>
          </a:extLst>
        </xdr:cNvPr>
        <xdr:cNvSpPr/>
      </xdr:nvSpPr>
      <xdr:spPr>
        <a:xfrm>
          <a:off x="275386" y="2087077"/>
          <a:ext cx="104940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8EE2E74-D3AE-4052-8873-71A4F0DD8E6D}"/>
            </a:ext>
          </a:extLst>
        </xdr:cNvPr>
        <xdr:cNvSpPr/>
      </xdr:nvSpPr>
      <xdr:spPr>
        <a:xfrm>
          <a:off x="275386" y="2566050"/>
          <a:ext cx="1055630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9FF2AD5C-6AE4-4A1C-B2AD-4374CD77008F}"/>
            </a:ext>
          </a:extLst>
        </xdr:cNvPr>
        <xdr:cNvSpPr/>
      </xdr:nvSpPr>
      <xdr:spPr>
        <a:xfrm>
          <a:off x="1513234" y="1400590"/>
          <a:ext cx="1119186" cy="535909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444CD877-99FA-4CF4-8C32-BD16E19CB8B1}"/>
            </a:ext>
          </a:extLst>
        </xdr:cNvPr>
        <xdr:cNvSpPr/>
      </xdr:nvSpPr>
      <xdr:spPr>
        <a:xfrm>
          <a:off x="1513234" y="2083038"/>
          <a:ext cx="111918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64BD15-29D9-4EC4-AAC3-B72CA8913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187" y="401707"/>
          <a:ext cx="2396365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27085542-D1F7-47EB-AC53-89C239351FE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787FE11D-5CF8-4D59-8920-49F92D6D9E17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1DE845A-C339-4B26-A588-CCCCC923CDB3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FE0E57B-A04D-46AB-B65B-C19517C93EEE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618AF89-3A31-443C-A1E9-A601693FE06C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6D57945-6566-4B5E-AFE9-A806E00D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5B39D67C-FC44-41F5-9E9E-7E1149BEBE71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B7888217-B99C-4A91-BA0B-15648F5EAAE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E6B0FCC1-933F-4B1C-B068-7963E9285E86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671236F3-A77F-4030-834E-6CE8EE1364FE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E949B5E9-0F7D-4101-B920-4BF4CB879E13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C49E508-CE43-4657-921F-5068BFA53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88D89366-F750-4C58-8425-24C759112DDB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DEC02BFD-3AD4-4998-9780-D64386ECAD5F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C3BD4B03-8F9D-451C-AB6D-8E65F70FDC23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FAEC54DB-A1EE-477D-81D9-CDDD62642EAD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FF9D899A-92CF-48C5-94BC-1997D497FB17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6018CDD-2AC0-4E8D-B809-D4D169B6D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EEC39FF0-C57F-427F-84D2-8E40A1FFE4C1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4D28FF0C-85C7-4B8F-8B29-CFD2DA5C8C49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2007FAA5-92A4-4A0A-AB60-44290FA8782B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998FDDA2-D055-4955-8BD3-E5F7768323B2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11A39483-6D26-43D0-AC08-D2373F57EE3E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B49DFC0-ABB3-4D3F-B009-AD2696E78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7DD096D6-A55F-4CFD-A84B-70B920D20170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3405F6E6-C25D-4978-BE2F-A212C3632E6A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C2720F4-67CE-4911-B4C3-55ECFBB92B7C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96E7F609-2C2A-4AEA-A506-09209C029BE2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8E24EECB-CA61-46FF-AF98-179B1E8EA393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201665-A77D-4701-BCB3-AB8AFED76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AC393563-2F27-4498-8C9D-5602EF37CAC5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B9385992-3358-4885-BF11-028D445F69BE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3F58EFB4-F6D0-4FB0-BFC0-2C5F8E0926A7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74950174-B6A7-4962-8278-1571D5D90184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B28C2A28-9CE8-4241-8327-0E4B2F5EB11B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C97486-2548-4AA6-8860-3C433CEB8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0ACF8903-8FAA-4399-806E-7D6D24FB92D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35151C06-DE48-4B6B-9AAF-41FA358D44A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13C84DA9-8323-4A4D-A62B-6AF8BE229B73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8BD94C3-735F-41C5-9CBC-D29C814F79C9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0C877372-8B22-4884-B2C9-BD5AAA74E5DE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C4DAC1-37B0-4FF3-B3CE-F48C5ADE4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F2C36310-1033-4774-9DFB-9B193A06DEB3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4A7597F5-7CB0-4025-8A49-A3879ED2F336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DC8B389F-7013-4BAA-991C-262F92D6BDA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70CCB636-54D3-40B7-BF60-95D07AADC38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D674AFA7-65C2-46CB-BA87-C1E40C0DB31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6E2B3D-E6E0-46CC-B4B8-EA9284DF4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50BE5DEA-1997-4CE8-A064-A93FDD7E4952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A60133A6-3228-4669-9708-C9557D93BB07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0E03F92-4ECD-4DFC-BCDE-CED0B5636F7E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8C770BC5-F8EE-45B2-BA89-6C11C79705FB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9CCF340F-6C1A-4162-8593-E24F54A0AB4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D4384EF-DDE9-412E-86BD-45C92194F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8804817F-8729-4C43-8CFE-E18EA15C4C32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0B1779AB-CA72-4BA9-B311-82DCC652DC7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76424D6F-60EF-4AC3-8AB5-8A7D60CCFFE7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FCB1CDEB-22F7-4932-95A5-FF006AE46A09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85D17764-1BEA-42BE-9E0F-418A9B1A308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3016F1-77EA-4C4D-A046-28EFA5F54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BE542591-5A4A-4529-8C59-C7977392E2DA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C77D3D4-33C3-425C-99B3-96E4FC97A6AE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01137E7-5D8B-44D4-B853-A2917F9897D9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9247350-2E95-4EAA-8FFE-A53C507FEC9D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1344E495-D324-44EC-8E9B-37503AFFFB4A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3FC8CCE-64C3-4C6F-83AC-7E6972421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3124F365-454D-4F05-828C-C3FA5F54631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8763FEF-6C73-42C4-8020-510782F55E7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D409A9A4-3C76-419A-A05D-C603AFB5224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07AEB72B-6132-4241-9DCF-5816E298D88B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31739A89-3E58-4EF0-A00A-1CA0CDA9A2D8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044BA2-DA4D-4111-97C3-74494F76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B6026ECA-7823-4606-A00B-3B8BEDA48EEF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EC45050C-42CB-4169-8466-0594062BC44A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82496210-25E4-43D2-9B63-0FF66487229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FC06D277-2E2C-47DC-B7ED-00605DC96B77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70F64D4B-32BB-4B42-8A7A-548B3EC9926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9B11478-6F05-48F1-9F2B-3D9731929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F4803D4F-E706-44FF-B868-6E07E3D2B61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43A386D3-4D2C-496E-88ED-941CE8103872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38E1A93B-2694-4F35-97FC-3DCDA4991A2C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C7B32F4E-1CF6-4DAF-A8D5-BA947793D317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37F3961-47B1-4053-A691-C414FF852CA3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4CE2C7-D697-4E0E-9FAF-49ACF04A3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300BBCE4-89BB-47AA-BDC7-F830853B3D91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E00E2A0E-DEFF-4A56-8C80-31107C6B36B5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84B6E97-303C-4197-BD78-4676768B8486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BC4F1717-6601-4D2B-B45C-DB1116783B4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0D4FDF61-B548-4C6D-8A5E-3F007039232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5B4B49-42B6-4900-8ECD-738E8F406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5E9CA216-1E92-47BD-8E70-746887222EAE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57103B7-DB55-4CFB-881B-436CAB55A1C6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8FE5758F-F5FE-4EAA-AA7D-B365015E9F52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BDEA2A89-06E9-44D9-8AF4-A964CA77C165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4FB38021-2E0A-4172-B678-E19A3403118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0ABCCF-C48F-49C1-ABBA-71D2AE8B2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EAA3BD97-89A7-44E6-9DB4-B612F9C87978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DB920F1A-7D00-49D3-954F-ECE6ED88952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1B281AD6-68E4-47C7-AB74-4558C92530C4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84EDFE0-6840-4F5C-84E6-CAE67E476544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0CD5A8D-6B65-464E-A253-87ACEB256BE8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A33D22-6AA5-4147-A137-A08CDDEAC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2B612907-6A36-47FA-9EA6-110DCB9C77A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272D8175-DAA5-424A-BA9C-65F4BBBC33B2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1463CE68-5D15-431C-AF09-D7F2F2B3E007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D8F8CD7E-F6B3-4D5B-A141-869FACA8B348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0D8A0069-258E-4E62-AE0E-0FFAB83D9837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2D869D-D3FA-4E99-A403-2D14F19E8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A4656402-8D0A-4A05-86C7-E37CEED09980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D45EB3C9-C385-4FC3-BD87-74A3D5D6F3AE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FEFAE0F-D664-4134-AF0A-3077645AF61B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C83C06E2-B85C-4FC5-98E5-E161E1B77F1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7FC875CB-526B-4D62-A63F-6A1DB17C5387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F33075-29E4-4525-844A-774DF5188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28B39B35-D107-4592-B6DA-8D067568DC7C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A9C9A2C-0EE1-41EC-878B-FED8B3CE9F70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C2418636-5EBD-4138-A05E-C45396D40EB9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2DD5B666-BB54-43AC-9138-2413997FBA1C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5A6440C-0B76-448C-B438-CBCF28F12C21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4DE2F1-BE36-431D-A6AD-737450AB4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845DD2F3-60B4-4FB9-AA58-3FE2EA7721DE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749BC879-4D9E-410A-86AF-65E56880885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2824495-984B-4726-A9CF-4049382B707C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517DBDF5-9ED7-49F4-91D5-C054AAD799D2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61A35085-366A-4DDC-AD84-A7AA184A8684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FDB4C9-005B-4E09-81FA-133217776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nY" refreshedDate="44839.476025810189" createdVersion="5" refreshedVersion="8" minRefreshableVersion="3" recordCount="5" xr:uid="{00000000-000A-0000-FFFF-FFFF00000000}">
  <cacheSource type="worksheet">
    <worksheetSource name="Table2"/>
  </cacheSource>
  <cacheFields count="5">
    <cacheField name="Date" numFmtId="169">
      <sharedItems containsSemiMixedTypes="0" containsNonDate="0" containsDate="1" containsString="0" minDate="2021-01-01T00:00:00" maxDate="2021-06-05T00:00:00" count="7">
        <d v="2021-05-01T00:00:00"/>
        <d v="2021-01-01T00:00:00"/>
        <d v="2021-02-26T00:00:00"/>
        <d v="2021-03-19T00:00:00"/>
        <d v="2021-04-01T00:00:00"/>
        <d v="2021-05-15T00:00:00" u="1"/>
        <d v="2021-06-04T00:00:00" u="1"/>
      </sharedItems>
    </cacheField>
    <cacheField name="Profits in TR" numFmtId="40">
      <sharedItems containsMixedTypes="1" containsNumber="1" minValue="11.12" maxValue="12.38"/>
    </cacheField>
    <cacheField name="$ Value of TR" numFmtId="8">
      <sharedItems containsMixedTypes="1" containsNumber="1" containsInteger="1" minValue="1000" maxValue="1000"/>
    </cacheField>
    <cacheField name="Profits in $" numFmtId="8">
      <sharedItems containsSemiMixedTypes="0" containsString="0" containsNumber="1" containsInteger="1" minValue="11120" maxValue="100000"/>
    </cacheField>
    <cacheField name="Cumulative Equity" numFmtId="8">
      <sharedItems containsSemiMixedTypes="0" containsString="0" containsNumber="1" containsInteger="1" minValue="100000" maxValue="1123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12.12"/>
    <n v="1000"/>
    <n v="12120"/>
    <n v="112120"/>
  </r>
  <r>
    <x v="1"/>
    <s v="Starting Capital"/>
    <s v="Starting Capital"/>
    <n v="100000"/>
    <n v="100000"/>
  </r>
  <r>
    <x v="2"/>
    <n v="12.27"/>
    <n v="1000"/>
    <n v="12270"/>
    <n v="112270"/>
  </r>
  <r>
    <x v="3"/>
    <n v="11.12"/>
    <n v="1000"/>
    <n v="11120"/>
    <n v="111120"/>
  </r>
  <r>
    <x v="4"/>
    <n v="12.38"/>
    <n v="1000"/>
    <n v="12380"/>
    <n v="112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v1" cacheId="2" applyNumberFormats="0" applyBorderFormats="0" applyFontFormats="0" applyPatternFormats="0" applyAlignmentFormats="0" applyWidthHeightFormats="1" dataCaption="Values" updatedVersion="8" minRefreshableVersion="3" itemPrintTitles="1" createdVersion="5" indent="0" outline="1" outlineData="1" multipleFieldFilters="0" chartFormat="23" rowHeaderCaption="Closed Weekending Friday">
  <location ref="H1:I7" firstHeaderRow="1" firstDataRow="1" firstDataCol="1"/>
  <pivotFields count="5">
    <pivotField axis="axisRow" numFmtId="169" showAll="0" sortType="ascending">
      <items count="8">
        <item x="1"/>
        <item x="2"/>
        <item x="3"/>
        <item x="4"/>
        <item x="0"/>
        <item m="1" x="5"/>
        <item m="1" x="6"/>
        <item t="default"/>
      </items>
    </pivotField>
    <pivotField numFmtId="40" showAll="0" defaultSubtotal="0"/>
    <pivotField showAll="0" defaultSubtotal="0"/>
    <pivotField showAll="0" defaultSubtotal="0"/>
    <pivotField dataField="1" numFmtId="8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Cumulative Equity" fld="4" baseField="0" baseItem="0"/>
  </dataFields>
  <formats count="2">
    <format dxfId="932">
      <pivotArea outline="0" collapsedLevelsAreSubtotals="1" fieldPosition="0"/>
    </format>
    <format dxfId="931">
      <pivotArea dataOnly="0" labelOnly="1" outline="0" axis="axisValues" fieldPosition="0"/>
    </format>
  </formats>
  <chartFormats count="1">
    <chartFormat chart="22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ACA7A6-C7B2-44C8-8EED-B060291C5834}" name="Tabla33610673" displayName="Tabla33610673" ref="B16:AG573" totalsRowShown="0" headerRowDxfId="966" dataDxfId="965">
  <autoFilter ref="B16:AG573" xr:uid="{00000000-0009-0000-0100-000009000000}"/>
  <sortState xmlns:xlrd2="http://schemas.microsoft.com/office/spreadsheetml/2017/richdata2" ref="B17:AG573">
    <sortCondition descending="1" ref="D16:D573"/>
  </sortState>
  <tableColumns count="32">
    <tableColumn id="1" xr3:uid="{B15662EF-D0AC-434F-8B47-408F7FCCC37C}" name="Inst" dataDxfId="964"/>
    <tableColumn id="2" xr3:uid="{B919035C-AA92-4CD6-861E-3B9A656147B8}" name="L/S" dataDxfId="963"/>
    <tableColumn id="3" xr3:uid="{2F10A06D-FA54-48C7-8BC2-07EAE086A4D2}" name="O/C" dataDxfId="962">
      <calculatedColumnFormula>IF(E17&lt;&gt;"",IF(K17&lt;&gt;"","C","O"),"")</calculatedColumnFormula>
    </tableColumn>
    <tableColumn id="4" xr3:uid="{147AE279-32CE-43AA-BFEC-F45979B7E5D1}" name="DATE" dataDxfId="961"/>
    <tableColumn id="5" xr3:uid="{707AB2EE-BC12-485E-9041-EBD9803ACDA6}" name="INST." dataDxfId="960"/>
    <tableColumn id="6" xr3:uid="{3BBFD836-1046-434F-9B1C-5BFD15F3E89B}" name="ENTRY " dataDxfId="959"/>
    <tableColumn id="7" xr3:uid="{6C2E69DE-E47B-441E-AA57-89A5E08DC324}" name="STOP " dataDxfId="958"/>
    <tableColumn id="8" xr3:uid="{B59AA87C-48D4-4C46-8204-364A9AC67159}" name="TR_x000a_(in Pips)" dataDxfId="957">
      <calculatedColumnFormula>ABS(G17-H17)</calculatedColumnFormula>
    </tableColumn>
    <tableColumn id="9" xr3:uid="{7C1A8A5E-D518-4CF7-84B6-B173DEF8DE68}" name="TARGET" dataDxfId="956"/>
    <tableColumn id="10" xr3:uid="{506757E9-E41A-4A85-BAC1-79B5E6868689}" name="DATE2" dataDxfId="955"/>
    <tableColumn id="11" xr3:uid="{13659F03-391C-46D2-9BEA-0E0EBEBE010E}" name="EXIT" dataDxfId="954"/>
    <tableColumn id="12" xr3:uid="{831DBDFC-F195-4CE1-B170-A525D354DA89}" name="RESULT" dataDxfId="953">
      <calculatedColumnFormula>ROUND(IF(C17="L",(L17-G17),(G17-L17)),4)</calculatedColumnFormula>
    </tableColumn>
    <tableColumn id="13" xr3:uid="{A37158FA-405D-469F-87BF-AC951BC89B9E}" name="No. of Rs" dataDxfId="952">
      <calculatedColumnFormula>IFERROR(ROUND((M17/I17),2),"")</calculatedColumnFormula>
    </tableColumn>
    <tableColumn id="14" xr3:uid="{BE84FA64-7DDB-48AE-B961-8DA7E546F50A}" name="Heat" dataDxfId="951">
      <calculatedColumnFormula>IF(D17="O",IF(N17&lt;0,N17,0),0)</calculatedColumnFormula>
    </tableColumn>
    <tableColumn id="15" xr3:uid="{EED040D1-B364-4D44-B657-340EFF426D39}" name=" TR WIN" dataDxfId="950">
      <calculatedColumnFormula>IF(N17&gt;= 0,N17,0)</calculatedColumnFormula>
    </tableColumn>
    <tableColumn id="16" xr3:uid="{9647B9C9-3E6A-4288-8C8A-EB585E3976BF}" name=" TR LOSS" dataDxfId="949">
      <calculatedColumnFormula>IF(N17&lt;0,N17,0)</calculatedColumnFormula>
    </tableColumn>
    <tableColumn id="33" xr3:uid="{26501DD6-B0BD-4C5F-9719-095EAB3AB922}" name="Initial Losing Trade" dataDxfId="948">
      <calculatedColumnFormula>IF(AND(OFFSET(Tabla33610673[[#This Row],[Equity]],1,0)="",Tabla33610673[[#This Row],[No. of Rs]]&lt;0),"Yes",IF(AND(OFFSET(Tabla33610673[[#This Row],[Initial Losing Trade]],1,0)="Yes",Tabla33610673[[#This Row],[No. of Rs]]&lt;0),"Yes","No"))</calculatedColumnFormula>
    </tableColumn>
    <tableColumn id="30" xr3:uid="{A8942EA1-B60F-4060-B354-A9A5319F7BAB}" name="Equity" dataDxfId="947">
      <calculatedColumnFormula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calculatedColumnFormula>
    </tableColumn>
    <tableColumn id="32" xr3:uid="{AD3EBF58-B5B4-4F53-80F1-2B58CD7E638D}" name="Equity Peak" dataDxfId="946">
      <calculatedColumnFormula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calculatedColumnFormula>
    </tableColumn>
    <tableColumn id="31" xr3:uid="{398F8D3E-58DA-43C6-A52E-D88D257A4E77}" name="Drawdown" dataDxfId="945">
      <calculatedColumnFormula>IF(Tabla33610673[[#This Row],[Equity]]&lt;Tabla33610673[[#This Row],[Equity Peak]],(Tabla33610673[[#This Row],[Equity Peak]]-Tabla33610673[[#This Row],[Equity]])/Tabla33610673[[#This Row],[Equity Peak]],"")</calculatedColumnFormula>
    </tableColumn>
    <tableColumn id="17" xr3:uid="{884048EE-E192-4CDD-AC98-589F1C40B528}" name="Currency" dataDxfId="944">
      <calculatedColumnFormula>IF(B17="FX",N17,0)</calculatedColumnFormula>
    </tableColumn>
    <tableColumn id="18" xr3:uid="{7A4ED22B-3893-4DF6-B718-4A8D7B5B6C84}" name="Heat3" dataDxfId="943">
      <calculatedColumnFormula>IF(D17="O",IF(V17&lt;0,V17,0),0)</calculatedColumnFormula>
    </tableColumn>
    <tableColumn id="19" xr3:uid="{10339926-36C5-4D13-A0BC-39A5BBCA82EF}" name="Commodities" dataDxfId="942">
      <calculatedColumnFormula>IF(B17="COM",N17,0)</calculatedColumnFormula>
    </tableColumn>
    <tableColumn id="20" xr3:uid="{2270C49F-0D13-4C03-9BE1-255E683E3EFC}" name="Heat4" dataDxfId="941">
      <calculatedColumnFormula>IF(D17="O",IF(X17&lt;0,X17,0),0)</calculatedColumnFormula>
    </tableColumn>
    <tableColumn id="21" xr3:uid="{CA210692-9647-419E-BD1D-4DBA4A103ABB}" name="Index" dataDxfId="940">
      <calculatedColumnFormula>IF(B17="IND",N17,0)</calculatedColumnFormula>
    </tableColumn>
    <tableColumn id="22" xr3:uid="{40222399-5374-4E90-B67A-E1D2EECADABB}" name="Heat5" dataDxfId="939">
      <calculatedColumnFormula>IF(D17="O",IF(Z17&lt;0,Z17,0),0)</calculatedColumnFormula>
    </tableColumn>
    <tableColumn id="27" xr3:uid="{AA5E82E1-0C9C-4564-93CE-89D5B82DCA91}" name="Cryptocurrency" dataDxfId="938">
      <calculatedColumnFormula>IF(B17="CRYPTO",N17,0)</calculatedColumnFormula>
    </tableColumn>
    <tableColumn id="28" xr3:uid="{ED02066B-D18D-4824-9807-83D29C3666FF}" name="Heat6" dataDxfId="937">
      <calculatedColumnFormula>IF(D17="O",IF(AB17&lt;0,AB17,0),0)</calculatedColumnFormula>
    </tableColumn>
    <tableColumn id="23" xr3:uid="{06E8FBB8-DB6F-405D-AB12-B3463C16A22E}" name="Length of _x000a_Trade" dataDxfId="936">
      <calculatedColumnFormula>IF(K17&lt;&gt;"",K17-E17,0)</calculatedColumnFormula>
    </tableColumn>
    <tableColumn id="24" xr3:uid="{BBBC94FC-0CD0-47C9-A958-1315A25086C3}" name="Win" dataDxfId="935">
      <calculatedColumnFormula>IF(N17&gt;0,AD17,0)</calculatedColumnFormula>
    </tableColumn>
    <tableColumn id="25" xr3:uid="{2797C778-0647-4B10-ADD9-4878ED310DDC}" name="Loss" dataDxfId="934">
      <calculatedColumnFormula>IF(N17&lt;0,AD17,0)</calculatedColumnFormula>
    </tableColumn>
    <tableColumn id="26" xr3:uid="{FEE65B8C-AC5A-4B4F-A845-03F48884A072}" name="Breakeven" dataDxfId="933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1:E6" totalsRowShown="0" headerRowDxfId="930" dataDxfId="929" headerRowCellStyle="Normal 2" dataCellStyle="Normal 2">
  <autoFilter ref="A1:E6" xr:uid="{00000000-0009-0000-0100-000001000000}"/>
  <tableColumns count="5">
    <tableColumn id="1" xr3:uid="{00000000-0010-0000-0100-000001000000}" name="Date" dataDxfId="928" dataCellStyle="Normal 2"/>
    <tableColumn id="2" xr3:uid="{00000000-0010-0000-0100-000002000000}" name="Profits in TR" dataDxfId="927" dataCellStyle="Normal 2"/>
    <tableColumn id="4" xr3:uid="{00000000-0010-0000-0100-000004000000}" name="$ Value of TR" dataDxfId="926" dataCellStyle="Normal 2"/>
    <tableColumn id="5" xr3:uid="{00000000-0010-0000-0100-000005000000}" name="Profits in $" dataDxfId="925" dataCellStyle="Normal 2"/>
    <tableColumn id="6" xr3:uid="{00000000-0010-0000-0100-000006000000}" name="Cumulative Equity" dataDxfId="924" dataCellStyle="Normal 2">
      <calculatedColumnFormula>IF(Table2[[#This Row],[Date]]=MIN(Table2[Date]),Table2[[#This Row],[Profits in $]],SUMIFS(Table2[Profits in $],Table2[Date],MIN(Table2[Date]))+Table2[[#This Row],[Profits in $]])</calculatedColumnFormula>
    </tableColumn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Inst" displayName="Inst" ref="A1:B22" totalsRowShown="0">
  <autoFilter ref="A1:B22" xr:uid="{00000000-0009-0000-0100-000004000000}"/>
  <tableColumns count="2">
    <tableColumn id="1" xr3:uid="{00000000-0010-0000-0200-000001000000}" name="Sheet Name"/>
    <tableColumn id="2" xr3:uid="{00000000-0010-0000-0200-000002000000}" name="Instrument"/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D115F30-25FC-4A93-9F54-058DF5C350C7}" name="Tabla3361067348" displayName="Tabla3361067348" ref="B16:AG17" insertRow="1" totalsRowShown="0" headerRowDxfId="915" dataDxfId="914">
  <autoFilter ref="B16:AG17" xr:uid="{00000000-0009-0000-0100-000009000000}"/>
  <sortState xmlns:xlrd2="http://schemas.microsoft.com/office/spreadsheetml/2017/richdata2" ref="B17:AG17">
    <sortCondition descending="1" ref="D16:D17"/>
  </sortState>
  <tableColumns count="32">
    <tableColumn id="1" xr3:uid="{E9BFDD93-1840-4127-8B17-C17CE84F1872}" name="Inst" dataDxfId="913"/>
    <tableColumn id="2" xr3:uid="{59A489DF-925E-4074-9726-3CF1F649768D}" name="L/S" dataDxfId="912"/>
    <tableColumn id="3" xr3:uid="{B19E5F55-6E9A-415A-8B1B-722A2A2EA243}" name="O/C" dataDxfId="911">
      <calculatedColumnFormula>IF(E17&lt;&gt;"",IF(K17&lt;&gt;"","C","O"),"")</calculatedColumnFormula>
    </tableColumn>
    <tableColumn id="4" xr3:uid="{FAF03623-4A90-40C5-9582-F3D97CE3601C}" name="DATE" dataDxfId="910"/>
    <tableColumn id="5" xr3:uid="{5873CC0B-5B6C-4551-AC38-460A38A3AC59}" name="INST." dataDxfId="909"/>
    <tableColumn id="6" xr3:uid="{42FB14B4-8692-4591-990A-E505185C411C}" name="ENTRY " dataDxfId="908"/>
    <tableColumn id="7" xr3:uid="{074A08F7-2E71-4163-9605-7B0CDD91E9DF}" name="STOP " dataDxfId="907"/>
    <tableColumn id="8" xr3:uid="{9B60959D-F2BC-482A-AB4C-EEDB88698F95}" name="TR_x000a_(in Pips)" dataDxfId="906">
      <calculatedColumnFormula>ABS(G17-H17)</calculatedColumnFormula>
    </tableColumn>
    <tableColumn id="9" xr3:uid="{C8B6CD34-0E0C-48F8-9E97-9B9BC1320E40}" name="TARGET" dataDxfId="905"/>
    <tableColumn id="10" xr3:uid="{4280FF29-26E4-4012-9CAE-A83D56336DB9}" name="DATE2" dataDxfId="904"/>
    <tableColumn id="11" xr3:uid="{6316768D-C24C-42F3-A168-BEBA8B315D46}" name="EXIT" dataDxfId="903"/>
    <tableColumn id="12" xr3:uid="{9D056B64-0A38-4F8C-9BE1-341E38B43297}" name="RESULT" dataDxfId="902">
      <calculatedColumnFormula>ROUND(IF(C17="L",(L17-G17),(G17-L17)),4)</calculatedColumnFormula>
    </tableColumn>
    <tableColumn id="13" xr3:uid="{D325A67B-0A5C-4873-BF22-8110AA7DD6F5}" name="No. of Rs" dataDxfId="901">
      <calculatedColumnFormula>IFERROR(ROUND((M17/I17),2),"")</calculatedColumnFormula>
    </tableColumn>
    <tableColumn id="14" xr3:uid="{94BFC759-0CD7-4AB3-86FE-9C3CFC481008}" name="Heat" dataDxfId="900">
      <calculatedColumnFormula>IF(D17="O",IF(N17&lt;0,N17,0),0)</calculatedColumnFormula>
    </tableColumn>
    <tableColumn id="15" xr3:uid="{0DBEC2DC-92B9-4DB5-9924-6F5D8A894AB0}" name=" TR WIN" dataDxfId="899">
      <calculatedColumnFormula>IF(N17&gt;= 0,N17,0)</calculatedColumnFormula>
    </tableColumn>
    <tableColumn id="16" xr3:uid="{740B4C97-6829-440F-9F2F-99196F5953C2}" name=" TR LOSS" dataDxfId="898">
      <calculatedColumnFormula>IF(N17&lt;0,N17,0)</calculatedColumnFormula>
    </tableColumn>
    <tableColumn id="33" xr3:uid="{01A9AE4B-A688-40BD-9E3A-A00CE741281F}" name="Initial Losing Trade" dataDxfId="897">
      <calculatedColumnFormula>IF(AND(OFFSET(Tabla3361067348[[#This Row],[Equity]],1,0)="",Tabla3361067348[[#This Row],[No. of Rs]]&lt;0),"Yes",IF(AND(OFFSET(Tabla3361067348[[#This Row],[Initial Losing Trade]],1,0)="Yes",Tabla3361067348[[#This Row],[No. of Rs]]&lt;0),"Yes","No"))</calculatedColumnFormula>
    </tableColumn>
    <tableColumn id="30" xr3:uid="{A2D09DE5-D593-4C46-ADEB-36D524C7B576}" name="Equity" dataDxfId="896">
      <calculatedColumnFormula>IF(OFFSET(Tabla3361067348[[#This Row],[Equity]],1,0)="",IF(Tabla3361067348[[#This Row],[No. of Rs]]="",$F$11,$F$11+($F$11*Tabla3361067348[[#This Row],[No. of Rs]]/100)),IF(Tabla3361067348[[#This Row],[No. of Rs]]="",OFFSET(Tabla3361067348[[#This Row],[Equity]],1,0),OFFSET(Tabla3361067348[[#This Row],[Equity]],1,0)+($F$11*Tabla3361067348[[#This Row],[No. of Rs]]/100)))</calculatedColumnFormula>
    </tableColumn>
    <tableColumn id="32" xr3:uid="{D3446AD1-A93A-4723-93DA-DB220EB75935}" name="Equity Peak" dataDxfId="895">
      <calculatedColumnFormula>IF(OFFSET(Tabla3361067348[[#This Row],[Equity Peak]],1,0)="",IF(Tabla3361067348[[#This Row],[Initial Losing Trade]]="Yes",$F$11,Tabla3361067348[[#This Row],[Equity]]),IF(OFFSET(Tabla3361067348[[#This Row],[Equity Peak]],1,0)&gt;Tabla3361067348[[#This Row],[Equity]],OFFSET(Tabla3361067348[[#This Row],[Equity Peak]],1,0),Tabla3361067348[[#This Row],[Equity]]))</calculatedColumnFormula>
    </tableColumn>
    <tableColumn id="31" xr3:uid="{B1087D81-48DB-4F73-B0F5-436F28159638}" name="Drawdown" dataDxfId="894">
      <calculatedColumnFormula>IF(Tabla3361067348[[#This Row],[Equity]]&lt;Tabla3361067348[[#This Row],[Equity Peak]],(Tabla3361067348[[#This Row],[Equity Peak]]-Tabla3361067348[[#This Row],[Equity]])/Tabla3361067348[[#This Row],[Equity Peak]],"")</calculatedColumnFormula>
    </tableColumn>
    <tableColumn id="17" xr3:uid="{27355424-BDF7-45F9-B5B9-1D0591BE25FE}" name="Currency" dataDxfId="893">
      <calculatedColumnFormula>IF(B17="FX",N17,0)</calculatedColumnFormula>
    </tableColumn>
    <tableColumn id="18" xr3:uid="{03A9C943-83D6-4C90-9FED-1CD41C89DD61}" name="Heat3" dataDxfId="892">
      <calculatedColumnFormula>IF(D17="O",IF(V17&lt;0,V17,0),0)</calculatedColumnFormula>
    </tableColumn>
    <tableColumn id="19" xr3:uid="{DFEFD9CD-474D-4341-8983-24B2DC09734B}" name="Commodities" dataDxfId="891">
      <calculatedColumnFormula>IF(B17="COM",N17,0)</calculatedColumnFormula>
    </tableColumn>
    <tableColumn id="20" xr3:uid="{F5DF204E-D500-4C80-B234-80AAF26492E3}" name="Heat4" dataDxfId="890">
      <calculatedColumnFormula>IF(D17="O",IF(X17&lt;0,X17,0),0)</calculatedColumnFormula>
    </tableColumn>
    <tableColumn id="21" xr3:uid="{DFCD6A4A-5137-4D08-9890-B9C2C39BFBE8}" name="Index" dataDxfId="889">
      <calculatedColumnFormula>IF(B17="IND",N17,0)</calculatedColumnFormula>
    </tableColumn>
    <tableColumn id="22" xr3:uid="{A7E70DB3-D8CF-4FDB-8D24-06D2B658F240}" name="Heat5" dataDxfId="888">
      <calculatedColumnFormula>IF(D17="O",IF(Z17&lt;0,Z17,0),0)</calculatedColumnFormula>
    </tableColumn>
    <tableColumn id="27" xr3:uid="{7559D316-E562-42B2-8916-54ED8FA60899}" name="Cryptocurrency" dataDxfId="887">
      <calculatedColumnFormula>IF(B17="CRYPTO",N17,0)</calculatedColumnFormula>
    </tableColumn>
    <tableColumn id="28" xr3:uid="{0C11D3E6-F52F-4669-8A69-1AAC98E2CEAF}" name="Heat6" dataDxfId="886">
      <calculatedColumnFormula>IF(D17="O",IF(AB17&lt;0,AB17,0),0)</calculatedColumnFormula>
    </tableColumn>
    <tableColumn id="23" xr3:uid="{9FBFA019-C035-4153-9E69-4F2981D13DA7}" name="Length of _x000a_Trade" dataDxfId="885">
      <calculatedColumnFormula>IF(K17&lt;&gt;"",K17-E17,0)</calculatedColumnFormula>
    </tableColumn>
    <tableColumn id="24" xr3:uid="{F119A218-CB9A-4385-A401-E93C27DDEAEF}" name="Win" dataDxfId="884">
      <calculatedColumnFormula>IF(N17&gt;0,AD17,0)</calculatedColumnFormula>
    </tableColumn>
    <tableColumn id="25" xr3:uid="{BC6204BE-303F-4D53-BA39-69CCAB605F30}" name="Loss" dataDxfId="883">
      <calculatedColumnFormula>IF(N17&lt;0,AD17,0)</calculatedColumnFormula>
    </tableColumn>
    <tableColumn id="26" xr3:uid="{49C2BD18-6B20-450F-919F-C592D0362164}" name="Breakeven" dataDxfId="88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61022A7-7945-456D-83FF-935DEF6777D9}" name="Tabla336106734813" displayName="Tabla336106734813" ref="B16:AG42" totalsRowShown="0" headerRowDxfId="873" dataDxfId="872">
  <autoFilter ref="B16:AG42" xr:uid="{00000000-0009-0000-0100-000009000000}"/>
  <sortState xmlns:xlrd2="http://schemas.microsoft.com/office/spreadsheetml/2017/richdata2" ref="B17:AG42">
    <sortCondition descending="1" ref="D16:D42"/>
  </sortState>
  <tableColumns count="32">
    <tableColumn id="1" xr3:uid="{26FEA02E-FE5A-4E88-9595-F8813FDEED2D}" name="Inst" dataDxfId="871"/>
    <tableColumn id="2" xr3:uid="{DF10D74B-B9ED-40ED-BBC3-7018276EBB3D}" name="L/S" dataDxfId="870"/>
    <tableColumn id="3" xr3:uid="{2DF55E6B-4022-45C9-A1D2-AEB2D23CC8C9}" name="O/C" dataDxfId="869">
      <calculatedColumnFormula>IF(E17&lt;&gt;"",IF(K17&lt;&gt;"","C","O"),"")</calculatedColumnFormula>
    </tableColumn>
    <tableColumn id="4" xr3:uid="{B229CD62-475E-48C2-A3E8-88EAFB238027}" name="DATE" dataDxfId="868"/>
    <tableColumn id="5" xr3:uid="{623E9A9A-4BAF-47DF-8211-28597D99040F}" name="INST." dataDxfId="867"/>
    <tableColumn id="6" xr3:uid="{4E57CAB1-68FC-4FA7-922B-738477898886}" name="ENTRY " dataDxfId="866"/>
    <tableColumn id="7" xr3:uid="{584A0059-7399-4641-A6D4-2FF6B36CE4E7}" name="STOP " dataDxfId="865"/>
    <tableColumn id="8" xr3:uid="{D3EDD3B3-75DA-44FB-9DDE-EBEF65FE030F}" name="TR_x000a_(in Pips)" dataDxfId="864">
      <calculatedColumnFormula>ABS(G17-H17)</calculatedColumnFormula>
    </tableColumn>
    <tableColumn id="9" xr3:uid="{8E69BE04-5250-47DA-BBC1-555360F8DB0F}" name="TARGET" dataDxfId="863"/>
    <tableColumn id="10" xr3:uid="{B4AE8AE4-F6CF-49D9-84AA-D992D5059D9D}" name="DATE2" dataDxfId="862"/>
    <tableColumn id="11" xr3:uid="{05EA02D2-62C1-401C-BFA0-7D80FB47ED08}" name="EXIT" dataDxfId="861"/>
    <tableColumn id="12" xr3:uid="{6B27CC51-009B-4B75-B495-312E01AE2DBD}" name="RESULT" dataDxfId="860">
      <calculatedColumnFormula>ROUND(IF(C17="L",(L17-G17),(G17-L17)),4)</calculatedColumnFormula>
    </tableColumn>
    <tableColumn id="13" xr3:uid="{56FBCFA6-EA9F-4EC7-A41B-FB885582C200}" name="No. of Rs" dataDxfId="859">
      <calculatedColumnFormula>IFERROR(ROUND((M17/I17),2),"")</calculatedColumnFormula>
    </tableColumn>
    <tableColumn id="14" xr3:uid="{A817B86F-F06F-4A16-9932-E296FF124668}" name="Heat" dataDxfId="858">
      <calculatedColumnFormula>IF(D17="O",IF(N17&lt;0,N17,0),0)</calculatedColumnFormula>
    </tableColumn>
    <tableColumn id="15" xr3:uid="{D38A64DE-6FF1-44B6-97D2-CAE79866B972}" name=" TR WIN" dataDxfId="857">
      <calculatedColumnFormula>IF(N17&gt;= 0,N17,0)</calculatedColumnFormula>
    </tableColumn>
    <tableColumn id="16" xr3:uid="{AE7DD8A6-9896-4182-975E-C3EDDB3A8960}" name=" TR LOSS" dataDxfId="856">
      <calculatedColumnFormula>IF(N17&lt;0,N17,0)</calculatedColumnFormula>
    </tableColumn>
    <tableColumn id="33" xr3:uid="{3A0A8B37-71C4-41B9-AC96-51F6FF36291A}" name="Initial Losing Trade" dataDxfId="855">
      <calculatedColumnFormula>IF(AND(OFFSET(Tabla336106734813[[#This Row],[Equity]],1,0)="",Tabla336106734813[[#This Row],[No. of Rs]]&lt;0),"Yes",IF(AND(OFFSET(Tabla336106734813[[#This Row],[Initial Losing Trade]],1,0)="Yes",Tabla336106734813[[#This Row],[No. of Rs]]&lt;0),"Yes","No"))</calculatedColumnFormula>
    </tableColumn>
    <tableColumn id="30" xr3:uid="{604DC1C2-78EE-4342-B88A-7BDD21FAE72B}" name="Equity" dataDxfId="854">
      <calculatedColumnFormula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calculatedColumnFormula>
    </tableColumn>
    <tableColumn id="32" xr3:uid="{CEE34B69-5438-4D2E-8B9F-D48BC17B07C2}" name="Equity Peak" dataDxfId="853">
      <calculatedColumnFormula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calculatedColumnFormula>
    </tableColumn>
    <tableColumn id="31" xr3:uid="{CF37EC3B-9584-412F-ACE9-54865C553FBA}" name="Drawdown" dataDxfId="852">
      <calculatedColumnFormula>IF(Tabla336106734813[[#This Row],[Equity]]&lt;Tabla336106734813[[#This Row],[Equity Peak]],(Tabla336106734813[[#This Row],[Equity Peak]]-Tabla336106734813[[#This Row],[Equity]])/Tabla336106734813[[#This Row],[Equity Peak]],"")</calculatedColumnFormula>
    </tableColumn>
    <tableColumn id="17" xr3:uid="{3AC7D6E7-50E7-45C9-9D73-B027EF79F575}" name="Currency" dataDxfId="851">
      <calculatedColumnFormula>IF(B17="FX",N17,0)</calculatedColumnFormula>
    </tableColumn>
    <tableColumn id="18" xr3:uid="{FC78AB53-C47A-40A4-8021-A7F0766FB417}" name="Heat3" dataDxfId="850">
      <calculatedColumnFormula>IF(D17="O",IF(V17&lt;0,V17,0),0)</calculatedColumnFormula>
    </tableColumn>
    <tableColumn id="19" xr3:uid="{96D72B30-D16B-43B0-8474-C7143EE55285}" name="Commodities" dataDxfId="849">
      <calculatedColumnFormula>IF(B17="COM",N17,0)</calculatedColumnFormula>
    </tableColumn>
    <tableColumn id="20" xr3:uid="{F46FCB86-C99F-48E0-9E9D-9B782E9C747F}" name="Heat4" dataDxfId="848">
      <calculatedColumnFormula>IF(D17="O",IF(X17&lt;0,X17,0),0)</calculatedColumnFormula>
    </tableColumn>
    <tableColumn id="21" xr3:uid="{9AEB3DC8-8C5A-4BEC-9483-CF8FA4C60B12}" name="Index" dataDxfId="847">
      <calculatedColumnFormula>IF(B17="IND",N17,0)</calculatedColumnFormula>
    </tableColumn>
    <tableColumn id="22" xr3:uid="{A219B268-A666-438A-80C5-A8EAB0D5D103}" name="Heat5" dataDxfId="846">
      <calculatedColumnFormula>IF(D17="O",IF(Z17&lt;0,Z17,0),0)</calculatedColumnFormula>
    </tableColumn>
    <tableColumn id="27" xr3:uid="{7CD7B1B6-858B-4946-AACC-A289014CA82C}" name="Cryptocurrency" dataDxfId="845">
      <calculatedColumnFormula>IF(B17="CRYPTO",N17,0)</calculatedColumnFormula>
    </tableColumn>
    <tableColumn id="28" xr3:uid="{C426D29F-5FF4-4656-A2AB-36D1095E316D}" name="Heat6" dataDxfId="844">
      <calculatedColumnFormula>IF(D17="O",IF(AB17&lt;0,AB17,0),0)</calculatedColumnFormula>
    </tableColumn>
    <tableColumn id="23" xr3:uid="{8D60E46D-090E-4A11-83EC-A6F8A0AFA548}" name="Length of _x000a_Trade" dataDxfId="843">
      <calculatedColumnFormula>IF(K17&lt;&gt;"",K17-E17,0)</calculatedColumnFormula>
    </tableColumn>
    <tableColumn id="24" xr3:uid="{EC85F3EF-A34F-4D18-8EEC-E965D681AE04}" name="Win" dataDxfId="842">
      <calculatedColumnFormula>IF(N17&gt;0,AD17,0)</calculatedColumnFormula>
    </tableColumn>
    <tableColumn id="25" xr3:uid="{E167C110-2C83-44EE-AC3A-09599069B8EE}" name="Loss" dataDxfId="841">
      <calculatedColumnFormula>IF(N17&lt;0,AD17,0)</calculatedColumnFormula>
    </tableColumn>
    <tableColumn id="26" xr3:uid="{1ADDD2BF-65EE-4559-82D0-D8951CB69A44}" name="Breakeven" dataDxfId="84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FA5DBD5-4765-4E03-9522-DE53AB8CC389}" name="Tabla336106734814" displayName="Tabla336106734814" ref="B16:AG37" totalsRowShown="0" headerRowDxfId="831" dataDxfId="830">
  <autoFilter ref="B16:AG37" xr:uid="{00000000-0009-0000-0100-000009000000}"/>
  <sortState xmlns:xlrd2="http://schemas.microsoft.com/office/spreadsheetml/2017/richdata2" ref="B17:AG37">
    <sortCondition descending="1" ref="D16:D37"/>
  </sortState>
  <tableColumns count="32">
    <tableColumn id="1" xr3:uid="{6278F660-BD19-4453-98B9-88863255EA85}" name="Inst" dataDxfId="829"/>
    <tableColumn id="2" xr3:uid="{9FF96BAD-1A7F-4B79-9E09-DAD11F967E02}" name="L/S" dataDxfId="828"/>
    <tableColumn id="3" xr3:uid="{9888ABB0-4977-4783-89DC-D01BE795A1DD}" name="O/C" dataDxfId="827">
      <calculatedColumnFormula>IF(E17&lt;&gt;"",IF(K17&lt;&gt;"","C","O"),"")</calculatedColumnFormula>
    </tableColumn>
    <tableColumn id="4" xr3:uid="{9B7726A0-CC13-4907-93A6-77078F79E176}" name="DATE" dataDxfId="826"/>
    <tableColumn id="5" xr3:uid="{E5A80FD6-C5F2-4087-A30C-50F064ECF3AE}" name="INST." dataDxfId="825"/>
    <tableColumn id="6" xr3:uid="{65436114-3AA2-491F-8338-43F3CC96C102}" name="ENTRY " dataDxfId="824"/>
    <tableColumn id="7" xr3:uid="{DBB964E9-5332-408B-9DA2-07EB1A69BB45}" name="STOP " dataDxfId="823"/>
    <tableColumn id="8" xr3:uid="{D1CAC22D-EFD8-4888-89ED-6EB19FE94A5F}" name="TR_x000a_(in Pips)" dataDxfId="822">
      <calculatedColumnFormula>ABS(G17-H17)</calculatedColumnFormula>
    </tableColumn>
    <tableColumn id="9" xr3:uid="{8F31CA4F-3A1E-4F88-94B4-FBEE0E716DCC}" name="TARGET" dataDxfId="821"/>
    <tableColumn id="10" xr3:uid="{76080266-595E-4465-B163-85DCD173C34B}" name="DATE2" dataDxfId="820"/>
    <tableColumn id="11" xr3:uid="{0861FDC0-55C1-4B70-B0BA-7406D47436E8}" name="EXIT" dataDxfId="819"/>
    <tableColumn id="12" xr3:uid="{6C6D6F49-C7A5-48D0-8E09-FEAB059A9ACB}" name="RESULT" dataDxfId="818">
      <calculatedColumnFormula>ROUND(IF(C17="L",(L17-G17),(G17-L17)),4)</calculatedColumnFormula>
    </tableColumn>
    <tableColumn id="13" xr3:uid="{F5BA813B-49C5-4C8C-B466-DB07A162D02E}" name="No. of Rs" dataDxfId="817">
      <calculatedColumnFormula>IFERROR(ROUND((M17/I17),2),"")</calculatedColumnFormula>
    </tableColumn>
    <tableColumn id="14" xr3:uid="{59DFF6E7-5E37-46EE-A909-18C7FAB973B3}" name="Heat" dataDxfId="816">
      <calculatedColumnFormula>IF(D17="O",IF(N17&lt;0,N17,0),0)</calculatedColumnFormula>
    </tableColumn>
    <tableColumn id="15" xr3:uid="{777CEC87-298E-4313-8EF7-E4F25519BCB9}" name=" TR WIN" dataDxfId="815">
      <calculatedColumnFormula>IF(N17&gt;= 0,N17,0)</calculatedColumnFormula>
    </tableColumn>
    <tableColumn id="16" xr3:uid="{7605433A-2200-4124-B6C1-2683014176C0}" name=" TR LOSS" dataDxfId="814">
      <calculatedColumnFormula>IF(N17&lt;0,N17,0)</calculatedColumnFormula>
    </tableColumn>
    <tableColumn id="33" xr3:uid="{07EBCEB6-6853-45FD-8E56-4E097EBE3036}" name="Initial Losing Trade" dataDxfId="813">
      <calculatedColumnFormula>IF(AND(OFFSET(Tabla336106734814[[#This Row],[Equity]],1,0)="",Tabla336106734814[[#This Row],[No. of Rs]]&lt;0),"Yes",IF(AND(OFFSET(Tabla336106734814[[#This Row],[Initial Losing Trade]],1,0)="Yes",Tabla336106734814[[#This Row],[No. of Rs]]&lt;0),"Yes","No"))</calculatedColumnFormula>
    </tableColumn>
    <tableColumn id="30" xr3:uid="{788AD180-E205-4C84-B09C-F4795B0E67F2}" name="Equity" dataDxfId="812">
      <calculatedColumnFormula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calculatedColumnFormula>
    </tableColumn>
    <tableColumn id="32" xr3:uid="{FA80D3E3-8572-46EF-B89F-088D2070E503}" name="Equity Peak" dataDxfId="811">
      <calculatedColumnFormula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calculatedColumnFormula>
    </tableColumn>
    <tableColumn id="31" xr3:uid="{6534E34D-C16C-4E45-B5DE-D31DA91CE4ED}" name="Drawdown" dataDxfId="810">
      <calculatedColumnFormula>IF(Tabla336106734814[[#This Row],[Equity]]&lt;Tabla336106734814[[#This Row],[Equity Peak]],(Tabla336106734814[[#This Row],[Equity Peak]]-Tabla336106734814[[#This Row],[Equity]])/Tabla336106734814[[#This Row],[Equity Peak]],"")</calculatedColumnFormula>
    </tableColumn>
    <tableColumn id="17" xr3:uid="{DA49A929-8473-4BBE-9E05-2A3AA82E7027}" name="Currency" dataDxfId="809">
      <calculatedColumnFormula>IF(B17="FX",N17,0)</calculatedColumnFormula>
    </tableColumn>
    <tableColumn id="18" xr3:uid="{EB537A12-461A-45D4-A3D8-3583CBD83881}" name="Heat3" dataDxfId="808">
      <calculatedColumnFormula>IF(D17="O",IF(V17&lt;0,V17,0),0)</calculatedColumnFormula>
    </tableColumn>
    <tableColumn id="19" xr3:uid="{5DDAF362-6063-47FB-B52A-6CF71F09956B}" name="Commodities" dataDxfId="807">
      <calculatedColumnFormula>IF(B17="COM",N17,0)</calculatedColumnFormula>
    </tableColumn>
    <tableColumn id="20" xr3:uid="{6CA86B48-B0DC-4763-85E2-994B6CE656DB}" name="Heat4" dataDxfId="806">
      <calculatedColumnFormula>IF(D17="O",IF(X17&lt;0,X17,0),0)</calculatedColumnFormula>
    </tableColumn>
    <tableColumn id="21" xr3:uid="{8A93D51F-D287-4EA9-AED4-6713A4861561}" name="Index" dataDxfId="805">
      <calculatedColumnFormula>IF(B17="IND",N17,0)</calculatedColumnFormula>
    </tableColumn>
    <tableColumn id="22" xr3:uid="{34ED5AFC-FE71-466C-AE5B-780338718A97}" name="Heat5" dataDxfId="804">
      <calculatedColumnFormula>IF(D17="O",IF(Z17&lt;0,Z17,0),0)</calculatedColumnFormula>
    </tableColumn>
    <tableColumn id="27" xr3:uid="{BD483C91-D1F5-4F5D-ABBE-7FC644353F3B}" name="Cryptocurrency" dataDxfId="803">
      <calculatedColumnFormula>IF(B17="CRYPTO",N17,0)</calculatedColumnFormula>
    </tableColumn>
    <tableColumn id="28" xr3:uid="{39A7E762-1656-4B7C-B6F3-2473B51D539F}" name="Heat6" dataDxfId="802">
      <calculatedColumnFormula>IF(D17="O",IF(AB17&lt;0,AB17,0),0)</calculatedColumnFormula>
    </tableColumn>
    <tableColumn id="23" xr3:uid="{4A4B52F0-FABE-4D8F-89AD-39597A6B9A43}" name="Length of _x000a_Trade" dataDxfId="801">
      <calculatedColumnFormula>IF(K17&lt;&gt;"",K17-E17,0)</calculatedColumnFormula>
    </tableColumn>
    <tableColumn id="24" xr3:uid="{CA9C6158-AED3-4C6E-817E-2457186AC6B0}" name="Win" dataDxfId="800">
      <calculatedColumnFormula>IF(N17&gt;0,AD17,0)</calculatedColumnFormula>
    </tableColumn>
    <tableColumn id="25" xr3:uid="{9D3806E8-D21B-4557-A4A2-FB13938AFC1B}" name="Loss" dataDxfId="799">
      <calculatedColumnFormula>IF(N17&lt;0,AD17,0)</calculatedColumnFormula>
    </tableColumn>
    <tableColumn id="26" xr3:uid="{7F05CA09-0391-409A-B531-B72B3FD6E42F}" name="Breakeven" dataDxfId="79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997AB65-5058-4FEB-AA30-0CBFE2867F0D}" name="Tabla336106734819" displayName="Tabla336106734819" ref="B16:AG63" totalsRowShown="0" headerRowDxfId="789" dataDxfId="788">
  <autoFilter ref="B16:AG63" xr:uid="{00000000-0009-0000-0100-000009000000}"/>
  <sortState xmlns:xlrd2="http://schemas.microsoft.com/office/spreadsheetml/2017/richdata2" ref="B17:AG63">
    <sortCondition descending="1" ref="D16:D63"/>
  </sortState>
  <tableColumns count="32">
    <tableColumn id="1" xr3:uid="{DB3DD612-D8F2-4E46-8C1B-84AE94ABD616}" name="Inst" dataDxfId="787"/>
    <tableColumn id="2" xr3:uid="{8CB60B4D-4E2B-4B73-8B70-398766780F96}" name="L/S" dataDxfId="786"/>
    <tableColumn id="3" xr3:uid="{B8476183-3026-4CF2-85EB-CBB1496FE3F0}" name="O/C" dataDxfId="785">
      <calculatedColumnFormula>IF(E17&lt;&gt;"",IF(K17&lt;&gt;"","C","O"),"")</calculatedColumnFormula>
    </tableColumn>
    <tableColumn id="4" xr3:uid="{4FF14B4F-F006-4387-A514-684F509246E3}" name="DATE" dataDxfId="784"/>
    <tableColumn id="5" xr3:uid="{7D1340D5-FF40-48A2-B576-63A8A671892E}" name="INST." dataDxfId="783"/>
    <tableColumn id="6" xr3:uid="{4C864B5C-9976-4036-AC5E-FFB4622186CB}" name="ENTRY " dataDxfId="782"/>
    <tableColumn id="7" xr3:uid="{D7409DF7-CBBE-4693-B05F-14A12FAB1B64}" name="STOP " dataDxfId="781"/>
    <tableColumn id="8" xr3:uid="{ADE4B6D7-7CA0-42C7-AC7E-486B7A08F6A9}" name="TR_x000a_(in Pips)" dataDxfId="780">
      <calculatedColumnFormula>ABS(G17-H17)</calculatedColumnFormula>
    </tableColumn>
    <tableColumn id="9" xr3:uid="{ED352C41-4943-4DA5-B38C-CD984F2674C0}" name="TARGET" dataDxfId="779"/>
    <tableColumn id="10" xr3:uid="{326BAA2D-D1AC-4955-B28D-BE095D4C2F7D}" name="DATE2" dataDxfId="778"/>
    <tableColumn id="11" xr3:uid="{72007D05-6B00-4624-A27E-BBF4B2791221}" name="EXIT" dataDxfId="777"/>
    <tableColumn id="12" xr3:uid="{446BE1AB-6779-41BE-92B5-A2E55D901112}" name="RESULT" dataDxfId="776">
      <calculatedColumnFormula>ROUND(IF(C17="L",(L17-G17),(G17-L17)),4)</calculatedColumnFormula>
    </tableColumn>
    <tableColumn id="13" xr3:uid="{102C763A-588F-4913-BE57-6F6EBBCE7893}" name="No. of Rs" dataDxfId="775">
      <calculatedColumnFormula>IFERROR(ROUND((M17/I17),2),"")</calculatedColumnFormula>
    </tableColumn>
    <tableColumn id="14" xr3:uid="{C6B08105-3288-4CC1-AFFF-3107BAB37411}" name="Heat" dataDxfId="774">
      <calculatedColumnFormula>IF(D17="O",IF(N17&lt;0,N17,0),0)</calculatedColumnFormula>
    </tableColumn>
    <tableColumn id="15" xr3:uid="{2D446E33-65BA-4BA7-BFB9-654DAD0B044A}" name=" TR WIN" dataDxfId="773">
      <calculatedColumnFormula>IF(N17&gt;= 0,N17,0)</calculatedColumnFormula>
    </tableColumn>
    <tableColumn id="16" xr3:uid="{F64D228F-77D6-4FAC-904D-DCB14DBA406D}" name=" TR LOSS" dataDxfId="772">
      <calculatedColumnFormula>IF(N17&lt;0,N17,0)</calculatedColumnFormula>
    </tableColumn>
    <tableColumn id="33" xr3:uid="{49B1C41B-E64B-4BE7-808D-AE310A933C15}" name="Initial Losing Trade" dataDxfId="771">
      <calculatedColumnFormula>IF(AND(OFFSET(Tabla336106734819[[#This Row],[Equity]],1,0)="",Tabla336106734819[[#This Row],[No. of Rs]]&lt;0),"Yes",IF(AND(OFFSET(Tabla336106734819[[#This Row],[Initial Losing Trade]],1,0)="Yes",Tabla336106734819[[#This Row],[No. of Rs]]&lt;0),"Yes","No"))</calculatedColumnFormula>
    </tableColumn>
    <tableColumn id="30" xr3:uid="{16D8C511-640C-46A5-B1E1-110C15834EC1}" name="Equity" dataDxfId="770">
      <calculatedColumnFormula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calculatedColumnFormula>
    </tableColumn>
    <tableColumn id="32" xr3:uid="{84C585F2-4A83-4705-A4F5-D0C64039D261}" name="Equity Peak" dataDxfId="769">
      <calculatedColumnFormula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calculatedColumnFormula>
    </tableColumn>
    <tableColumn id="31" xr3:uid="{AB7526A0-A21C-4C35-831C-9B9AC708FAAF}" name="Drawdown" dataDxfId="768">
      <calculatedColumnFormula>IF(Tabla336106734819[[#This Row],[Equity]]&lt;Tabla336106734819[[#This Row],[Equity Peak]],(Tabla336106734819[[#This Row],[Equity Peak]]-Tabla336106734819[[#This Row],[Equity]])/Tabla336106734819[[#This Row],[Equity Peak]],"")</calculatedColumnFormula>
    </tableColumn>
    <tableColumn id="17" xr3:uid="{03F0E756-02EA-42A8-87CC-E512CE9F220C}" name="Currency" dataDxfId="767">
      <calculatedColumnFormula>IF(B17="FX",N17,0)</calculatedColumnFormula>
    </tableColumn>
    <tableColumn id="18" xr3:uid="{E77DBBAB-66A6-4E39-AA2A-89C4A594F247}" name="Heat3" dataDxfId="766">
      <calculatedColumnFormula>IF(D17="O",IF(V17&lt;0,V17,0),0)</calculatedColumnFormula>
    </tableColumn>
    <tableColumn id="19" xr3:uid="{279680F3-DB71-4120-B202-98689DC68E90}" name="Commodities" dataDxfId="765">
      <calculatedColumnFormula>IF(B17="COM",N17,0)</calculatedColumnFormula>
    </tableColumn>
    <tableColumn id="20" xr3:uid="{4CFDAA81-2F56-40FB-8E19-AEF52AB63D3D}" name="Heat4" dataDxfId="764">
      <calculatedColumnFormula>IF(D17="O",IF(X17&lt;0,X17,0),0)</calculatedColumnFormula>
    </tableColumn>
    <tableColumn id="21" xr3:uid="{029C7114-249E-4E61-BE1E-EFE2337B94A5}" name="Index" dataDxfId="763">
      <calculatedColumnFormula>IF(B17="IND",N17,0)</calculatedColumnFormula>
    </tableColumn>
    <tableColumn id="22" xr3:uid="{B511CC43-66DE-476B-8A9B-F59804257134}" name="Heat5" dataDxfId="762">
      <calculatedColumnFormula>IF(D17="O",IF(Z17&lt;0,Z17,0),0)</calculatedColumnFormula>
    </tableColumn>
    <tableColumn id="27" xr3:uid="{D18D1D8F-0707-43D1-8FEA-6888ABA61A84}" name="Cryptocurrency" dataDxfId="761">
      <calculatedColumnFormula>IF(B17="CRYPTO",N17,0)</calculatedColumnFormula>
    </tableColumn>
    <tableColumn id="28" xr3:uid="{135B4C70-AD83-4906-846B-3685F87CC628}" name="Heat6" dataDxfId="760">
      <calculatedColumnFormula>IF(D17="O",IF(AB17&lt;0,AB17,0),0)</calculatedColumnFormula>
    </tableColumn>
    <tableColumn id="23" xr3:uid="{2E1B7598-2DC1-4B47-93B8-5BF733FB90E1}" name="Length of _x000a_Trade" dataDxfId="759">
      <calculatedColumnFormula>IF(K17&lt;&gt;"",K17-E17,0)</calculatedColumnFormula>
    </tableColumn>
    <tableColumn id="24" xr3:uid="{C5A23CFF-60BA-4CD2-A30A-F067CBC20881}" name="Win" dataDxfId="758">
      <calculatedColumnFormula>IF(N17&gt;0,AD17,0)</calculatedColumnFormula>
    </tableColumn>
    <tableColumn id="25" xr3:uid="{BA61E8E9-BF63-4703-9CCE-7692F7B8D2D9}" name="Loss" dataDxfId="757">
      <calculatedColumnFormula>IF(N17&lt;0,AD17,0)</calculatedColumnFormula>
    </tableColumn>
    <tableColumn id="26" xr3:uid="{B10725A1-88C2-4211-9F31-6F83EF561B81}" name="Breakeven" dataDxfId="75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5D826ED-95A4-45A7-86DD-36C56102E5E3}" name="Tabla336106734815" displayName="Tabla336106734815" ref="B16:AG29" totalsRowShown="0" headerRowDxfId="747" dataDxfId="746">
  <autoFilter ref="B16:AG29" xr:uid="{00000000-0009-0000-0100-000009000000}"/>
  <sortState xmlns:xlrd2="http://schemas.microsoft.com/office/spreadsheetml/2017/richdata2" ref="B17:AG29">
    <sortCondition descending="1" ref="D16:D29"/>
  </sortState>
  <tableColumns count="32">
    <tableColumn id="1" xr3:uid="{F4DEFA17-6DA3-4933-9A3E-D86C95DC5A97}" name="Inst" dataDxfId="745"/>
    <tableColumn id="2" xr3:uid="{087DEC0F-5CC4-4706-A709-EB5C750912DC}" name="L/S" dataDxfId="744"/>
    <tableColumn id="3" xr3:uid="{CE8A70FB-B72E-47D6-8B22-35C83EE684B1}" name="O/C" dataDxfId="743">
      <calculatedColumnFormula>IF(E17&lt;&gt;"",IF(K17&lt;&gt;"","C","O"),"")</calculatedColumnFormula>
    </tableColumn>
    <tableColumn id="4" xr3:uid="{A2AB2C86-9C14-454E-8675-A2B4FE84F6DE}" name="DATE" dataDxfId="742"/>
    <tableColumn id="5" xr3:uid="{C69EEDFE-38CD-4449-9F51-496CC6F8FC2B}" name="INST." dataDxfId="741"/>
    <tableColumn id="6" xr3:uid="{C8696DE4-A621-4CF6-9FDC-9D0C13741DF5}" name="ENTRY " dataDxfId="740"/>
    <tableColumn id="7" xr3:uid="{CF187762-E7B9-4E64-84BC-CD1FAF95819F}" name="STOP " dataDxfId="739"/>
    <tableColumn id="8" xr3:uid="{6BA7469C-A691-4D72-B2DA-315A00BDD595}" name="TR_x000a_(in Pips)" dataDxfId="738">
      <calculatedColumnFormula>ABS(G17-H17)</calculatedColumnFormula>
    </tableColumn>
    <tableColumn id="9" xr3:uid="{00CD8357-6CC3-4F80-B0B4-EDFF5F8B49DE}" name="TARGET" dataDxfId="737"/>
    <tableColumn id="10" xr3:uid="{A9DEAC71-E6A1-4BCB-8853-8E81A4668355}" name="DATE2" dataDxfId="736"/>
    <tableColumn id="11" xr3:uid="{11932BF2-EE9F-49CE-938A-9ABC5FD1ED77}" name="EXIT" dataDxfId="735"/>
    <tableColumn id="12" xr3:uid="{480517B4-2530-4755-B1A9-5FC38A7E4C04}" name="RESULT" dataDxfId="734">
      <calculatedColumnFormula>ROUND(IF(C17="L",(L17-G17),(G17-L17)),4)</calculatedColumnFormula>
    </tableColumn>
    <tableColumn id="13" xr3:uid="{0919F79A-205D-4102-ADF7-38A82CFBE37D}" name="No. of Rs" dataDxfId="733">
      <calculatedColumnFormula>IFERROR(ROUND((M17/I17),2),"")</calculatedColumnFormula>
    </tableColumn>
    <tableColumn id="14" xr3:uid="{DD3BBE98-CFD0-4302-8522-088A156EED57}" name="Heat" dataDxfId="732">
      <calculatedColumnFormula>IF(D17="O",IF(N17&lt;0,N17,0),0)</calculatedColumnFormula>
    </tableColumn>
    <tableColumn id="15" xr3:uid="{17F7F45F-B39A-4833-B481-E001492F9F31}" name=" TR WIN" dataDxfId="731">
      <calculatedColumnFormula>IF(N17&gt;= 0,N17,0)</calculatedColumnFormula>
    </tableColumn>
    <tableColumn id="16" xr3:uid="{CEEB2321-871F-4F80-AD7D-6BC6DF4DBCDE}" name=" TR LOSS" dataDxfId="730">
      <calculatedColumnFormula>IF(N17&lt;0,N17,0)</calculatedColumnFormula>
    </tableColumn>
    <tableColumn id="33" xr3:uid="{41D6463B-7C58-4117-A910-6E65D27F3003}" name="Initial Losing Trade" dataDxfId="729">
      <calculatedColumnFormula>IF(AND(OFFSET(Tabla336106734815[[#This Row],[Equity]],1,0)="",Tabla336106734815[[#This Row],[No. of Rs]]&lt;0),"Yes",IF(AND(OFFSET(Tabla336106734815[[#This Row],[Initial Losing Trade]],1,0)="Yes",Tabla336106734815[[#This Row],[No. of Rs]]&lt;0),"Yes","No"))</calculatedColumnFormula>
    </tableColumn>
    <tableColumn id="30" xr3:uid="{55E2BEF4-3919-4682-89E0-0D9E784BA951}" name="Equity" dataDxfId="728">
      <calculatedColumnFormula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calculatedColumnFormula>
    </tableColumn>
    <tableColumn id="32" xr3:uid="{4D2BA565-D6BC-4BAB-A377-5804C7F6C0B4}" name="Equity Peak" dataDxfId="727">
      <calculatedColumnFormula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calculatedColumnFormula>
    </tableColumn>
    <tableColumn id="31" xr3:uid="{316CB056-AD24-4E94-95BB-0F3D2BBC4FE3}" name="Drawdown" dataDxfId="726">
      <calculatedColumnFormula>IF(Tabla336106734815[[#This Row],[Equity]]&lt;Tabla336106734815[[#This Row],[Equity Peak]],(Tabla336106734815[[#This Row],[Equity Peak]]-Tabla336106734815[[#This Row],[Equity]])/Tabla336106734815[[#This Row],[Equity Peak]],"")</calculatedColumnFormula>
    </tableColumn>
    <tableColumn id="17" xr3:uid="{12AFB8ED-14EC-4264-AACA-0883C589CB58}" name="Currency" dataDxfId="725">
      <calculatedColumnFormula>IF(B17="FX",N17,0)</calculatedColumnFormula>
    </tableColumn>
    <tableColumn id="18" xr3:uid="{C32E9A22-F7B8-4286-BA54-1C5A93721D06}" name="Heat3" dataDxfId="724">
      <calculatedColumnFormula>IF(D17="O",IF(V17&lt;0,V17,0),0)</calculatedColumnFormula>
    </tableColumn>
    <tableColumn id="19" xr3:uid="{B9F60407-1130-4F5D-AA8D-A5823D607366}" name="Commodities" dataDxfId="723">
      <calculatedColumnFormula>IF(B17="COM",N17,0)</calculatedColumnFormula>
    </tableColumn>
    <tableColumn id="20" xr3:uid="{ACA5ACE1-E7D0-4865-B835-3D1D132F2A3C}" name="Heat4" dataDxfId="722">
      <calculatedColumnFormula>IF(D17="O",IF(X17&lt;0,X17,0),0)</calculatedColumnFormula>
    </tableColumn>
    <tableColumn id="21" xr3:uid="{4CFED3BE-9687-45B4-8C8E-4B8BA7533EEA}" name="Index" dataDxfId="721">
      <calculatedColumnFormula>IF(B17="IND",N17,0)</calculatedColumnFormula>
    </tableColumn>
    <tableColumn id="22" xr3:uid="{E1CC79C2-2B20-4B08-A9EC-CA1B09238908}" name="Heat5" dataDxfId="720">
      <calculatedColumnFormula>IF(D17="O",IF(Z17&lt;0,Z17,0),0)</calculatedColumnFormula>
    </tableColumn>
    <tableColumn id="27" xr3:uid="{F36F43A0-8993-4C71-B3A4-1A55C994ED6C}" name="Cryptocurrency" dataDxfId="719">
      <calculatedColumnFormula>IF(B17="CRYPTO",N17,0)</calculatedColumnFormula>
    </tableColumn>
    <tableColumn id="28" xr3:uid="{12B415BD-08D3-4AB2-8C09-C70C2DFAAE95}" name="Heat6" dataDxfId="718">
      <calculatedColumnFormula>IF(D17="O",IF(AB17&lt;0,AB17,0),0)</calculatedColumnFormula>
    </tableColumn>
    <tableColumn id="23" xr3:uid="{4ADF84B4-06AF-499C-9322-92BB4201E0E0}" name="Length of _x000a_Trade" dataDxfId="717">
      <calculatedColumnFormula>IF(K17&lt;&gt;"",K17-E17,0)</calculatedColumnFormula>
    </tableColumn>
    <tableColumn id="24" xr3:uid="{9DB30E04-DC2A-4597-ADF7-F0E9318C500A}" name="Win" dataDxfId="716">
      <calculatedColumnFormula>IF(N17&gt;0,AD17,0)</calculatedColumnFormula>
    </tableColumn>
    <tableColumn id="25" xr3:uid="{59A64ADB-300C-4739-B229-05FD2D9EB21E}" name="Loss" dataDxfId="715">
      <calculatedColumnFormula>IF(N17&lt;0,AD17,0)</calculatedColumnFormula>
    </tableColumn>
    <tableColumn id="26" xr3:uid="{056E5EAB-527E-41B2-A019-F3E7FB336201}" name="Breakeven" dataDxfId="71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571D5A3-A4B1-43A6-B370-DE3B4DDCFB2D}" name="Tabla336106734816" displayName="Tabla336106734816" ref="B16:AG51" totalsRowShown="0" headerRowDxfId="705" dataDxfId="704">
  <autoFilter ref="B16:AG51" xr:uid="{00000000-0009-0000-0100-000009000000}"/>
  <sortState xmlns:xlrd2="http://schemas.microsoft.com/office/spreadsheetml/2017/richdata2" ref="B17:AG51">
    <sortCondition descending="1" ref="D16:D51"/>
  </sortState>
  <tableColumns count="32">
    <tableColumn id="1" xr3:uid="{BACF6014-CE4F-4F0C-A97F-461B73C5F445}" name="Inst" dataDxfId="703"/>
    <tableColumn id="2" xr3:uid="{B5693E4A-6466-4AAF-A245-47D33B3689BC}" name="L/S" dataDxfId="702"/>
    <tableColumn id="3" xr3:uid="{30801501-A2BC-4C15-9CDF-B7C60F4EF3D6}" name="O/C" dataDxfId="701">
      <calculatedColumnFormula>IF(E17&lt;&gt;"",IF(K17&lt;&gt;"","C","O"),"")</calculatedColumnFormula>
    </tableColumn>
    <tableColumn id="4" xr3:uid="{852E3F49-D72A-493C-A725-487114C3791A}" name="DATE" dataDxfId="700"/>
    <tableColumn id="5" xr3:uid="{4338748F-A0D6-48AA-81F6-4D1067B41521}" name="INST." dataDxfId="699"/>
    <tableColumn id="6" xr3:uid="{20BD86B3-EAF8-44B6-8393-2B10E12E4BC6}" name="ENTRY " dataDxfId="698"/>
    <tableColumn id="7" xr3:uid="{6EC3CC91-327C-432A-95BC-160470C98680}" name="STOP " dataDxfId="697"/>
    <tableColumn id="8" xr3:uid="{B061E6AD-3B09-4402-95CA-D4736A12B745}" name="TR_x000a_(in Pips)" dataDxfId="696">
      <calculatedColumnFormula>ABS(G17-H17)</calculatedColumnFormula>
    </tableColumn>
    <tableColumn id="9" xr3:uid="{DB04F942-D87D-433F-8E37-A136F833AC4B}" name="TARGET" dataDxfId="695"/>
    <tableColumn id="10" xr3:uid="{F32548D5-E83E-4899-9638-304381DCA2BE}" name="DATE2" dataDxfId="694"/>
    <tableColumn id="11" xr3:uid="{B4DA61E6-B0B2-49EC-ADDE-E58313FE6DCE}" name="EXIT" dataDxfId="693"/>
    <tableColumn id="12" xr3:uid="{687C0A4A-22A3-46BD-AAAA-182B9582F36C}" name="RESULT" dataDxfId="692">
      <calculatedColumnFormula>ROUND(IF(C17="L",(L17-G17),(G17-L17)),4)</calculatedColumnFormula>
    </tableColumn>
    <tableColumn id="13" xr3:uid="{3D450C98-6ADF-4ED1-8729-B2F3515EA581}" name="No. of Rs" dataDxfId="691">
      <calculatedColumnFormula>IFERROR(ROUND((M17/I17),2),"")</calculatedColumnFormula>
    </tableColumn>
    <tableColumn id="14" xr3:uid="{2F853694-A968-435E-B6D4-67ED48943753}" name="Heat" dataDxfId="690">
      <calculatedColumnFormula>IF(D17="O",IF(N17&lt;0,N17,0),0)</calculatedColumnFormula>
    </tableColumn>
    <tableColumn id="15" xr3:uid="{80FB2B63-5AF1-4C25-87F7-B923326436DE}" name=" TR WIN" dataDxfId="689">
      <calculatedColumnFormula>IF(N17&gt;= 0,N17,0)</calculatedColumnFormula>
    </tableColumn>
    <tableColumn id="16" xr3:uid="{A16CF29F-5BAD-44F5-9AB2-87CF00229064}" name=" TR LOSS" dataDxfId="688">
      <calculatedColumnFormula>IF(N17&lt;0,N17,0)</calculatedColumnFormula>
    </tableColumn>
    <tableColumn id="33" xr3:uid="{12342C1A-8131-4E04-A937-19116CE07E78}" name="Initial Losing Trade" dataDxfId="687">
      <calculatedColumnFormula>IF(AND(OFFSET(Tabla336106734816[[#This Row],[Equity]],1,0)="",Tabla336106734816[[#This Row],[No. of Rs]]&lt;0),"Yes",IF(AND(OFFSET(Tabla336106734816[[#This Row],[Initial Losing Trade]],1,0)="Yes",Tabla336106734816[[#This Row],[No. of Rs]]&lt;0),"Yes","No"))</calculatedColumnFormula>
    </tableColumn>
    <tableColumn id="30" xr3:uid="{DC99ED14-A0D5-4920-B753-BAAE45E7471A}" name="Equity" dataDxfId="686">
      <calculatedColumnFormula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calculatedColumnFormula>
    </tableColumn>
    <tableColumn id="32" xr3:uid="{0F24E5BD-5B69-432D-A399-A3AA1C5C94C3}" name="Equity Peak" dataDxfId="685">
      <calculatedColumnFormula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calculatedColumnFormula>
    </tableColumn>
    <tableColumn id="31" xr3:uid="{BDC0C5CB-8CBB-424D-857B-DCB5CA72E3DF}" name="Drawdown" dataDxfId="684">
      <calculatedColumnFormula>IF(Tabla336106734816[[#This Row],[Equity]]&lt;Tabla336106734816[[#This Row],[Equity Peak]],(Tabla336106734816[[#This Row],[Equity Peak]]-Tabla336106734816[[#This Row],[Equity]])/Tabla336106734816[[#This Row],[Equity Peak]],"")</calculatedColumnFormula>
    </tableColumn>
    <tableColumn id="17" xr3:uid="{8DCAA046-1456-4B2A-87B8-C3633F236164}" name="Currency" dataDxfId="683">
      <calculatedColumnFormula>IF(B17="FX",N17,0)</calculatedColumnFormula>
    </tableColumn>
    <tableColumn id="18" xr3:uid="{E5D879E2-5FD2-4EEF-9C6E-34773D082B62}" name="Heat3" dataDxfId="682">
      <calculatedColumnFormula>IF(D17="O",IF(V17&lt;0,V17,0),0)</calculatedColumnFormula>
    </tableColumn>
    <tableColumn id="19" xr3:uid="{131365E3-9553-499A-B027-4D1712A30626}" name="Commodities" dataDxfId="681">
      <calculatedColumnFormula>IF(B17="COM",N17,0)</calculatedColumnFormula>
    </tableColumn>
    <tableColumn id="20" xr3:uid="{0F948C15-DA1E-4D5C-8DDC-E28D2DD9756E}" name="Heat4" dataDxfId="680">
      <calculatedColumnFormula>IF(D17="O",IF(X17&lt;0,X17,0),0)</calculatedColumnFormula>
    </tableColumn>
    <tableColumn id="21" xr3:uid="{FD215CB2-CD89-408A-8325-DC208F20148F}" name="Index" dataDxfId="679">
      <calculatedColumnFormula>IF(B17="IND",N17,0)</calculatedColumnFormula>
    </tableColumn>
    <tableColumn id="22" xr3:uid="{585207F4-DF99-429F-942D-9961F1FE2F44}" name="Heat5" dataDxfId="678">
      <calculatedColumnFormula>IF(D17="O",IF(Z17&lt;0,Z17,0),0)</calculatedColumnFormula>
    </tableColumn>
    <tableColumn id="27" xr3:uid="{6F327166-9D57-4B46-A15A-A5B11C3EEFA2}" name="Cryptocurrency" dataDxfId="677">
      <calculatedColumnFormula>IF(B17="CRYPTO",N17,0)</calculatedColumnFormula>
    </tableColumn>
    <tableColumn id="28" xr3:uid="{560B935C-C9FE-48E5-A8F3-AE25EB7D7C43}" name="Heat6" dataDxfId="676">
      <calculatedColumnFormula>IF(D17="O",IF(AB17&lt;0,AB17,0),0)</calculatedColumnFormula>
    </tableColumn>
    <tableColumn id="23" xr3:uid="{97B0A2D6-98FC-4B06-9B1D-EDFB4DBAC948}" name="Length of _x000a_Trade" dataDxfId="675">
      <calculatedColumnFormula>IF(K17&lt;&gt;"",K17-E17,0)</calculatedColumnFormula>
    </tableColumn>
    <tableColumn id="24" xr3:uid="{4489016F-52D3-40CD-8A23-B92A1CFDA399}" name="Win" dataDxfId="674">
      <calculatedColumnFormula>IF(N17&gt;0,AD17,0)</calculatedColumnFormula>
    </tableColumn>
    <tableColumn id="25" xr3:uid="{D068CE1F-8A65-44EC-8C47-85F94E02EBFB}" name="Loss" dataDxfId="673">
      <calculatedColumnFormula>IF(N17&lt;0,AD17,0)</calculatedColumnFormula>
    </tableColumn>
    <tableColumn id="26" xr3:uid="{E47CFD7B-FE6E-4AF4-B545-A1437B086503}" name="Breakeven" dataDxfId="67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AB998D-8D13-4430-9F49-8A9992B5F83C}" name="Tabla33610673484" displayName="Tabla33610673484" ref="B16:AG34" totalsRowShown="0" headerRowDxfId="663" dataDxfId="662">
  <autoFilter ref="B16:AG34" xr:uid="{00000000-0009-0000-0100-000009000000}"/>
  <sortState xmlns:xlrd2="http://schemas.microsoft.com/office/spreadsheetml/2017/richdata2" ref="B17:AG34">
    <sortCondition descending="1" ref="D16:D34"/>
  </sortState>
  <tableColumns count="32">
    <tableColumn id="1" xr3:uid="{35C2B6A1-3B2A-4D12-BE26-C12372B037C7}" name="Inst" dataDxfId="661"/>
    <tableColumn id="2" xr3:uid="{D6D7903D-DE80-4A15-BC3B-046F228272F4}" name="L/S" dataDxfId="660"/>
    <tableColumn id="3" xr3:uid="{C207FF55-2A34-40A6-BBE1-A494E9C22F17}" name="O/C" dataDxfId="659">
      <calculatedColumnFormula>IF(E17&lt;&gt;"",IF(K17&lt;&gt;"","C","O"),"")</calculatedColumnFormula>
    </tableColumn>
    <tableColumn id="4" xr3:uid="{06BBA810-FC99-4957-96A2-548DBB97CB0F}" name="DATE" dataDxfId="658"/>
    <tableColumn id="5" xr3:uid="{EB6C7CCB-B630-490C-BCA9-96FA9CF22637}" name="INST." dataDxfId="657"/>
    <tableColumn id="6" xr3:uid="{9B7B837B-4425-4ADD-BA2B-50CAF2770CDA}" name="ENTRY " dataDxfId="656"/>
    <tableColumn id="7" xr3:uid="{EF80B065-6F52-475E-89DD-54E3D8EB648B}" name="STOP " dataDxfId="655"/>
    <tableColumn id="8" xr3:uid="{30C4316C-6480-480F-B255-E70E7FF2DD23}" name="TR_x000a_(in Pips)" dataDxfId="654">
      <calculatedColumnFormula>ABS(G17-H17)</calculatedColumnFormula>
    </tableColumn>
    <tableColumn id="9" xr3:uid="{4108627B-F63E-47AD-8339-D4706766B0BF}" name="TARGET" dataDxfId="653"/>
    <tableColumn id="10" xr3:uid="{8CB0176A-91A1-47D2-841D-246A670F9642}" name="DATE2" dataDxfId="652"/>
    <tableColumn id="11" xr3:uid="{6D809167-63D4-487E-87FD-777EFE46606F}" name="EXIT" dataDxfId="651"/>
    <tableColumn id="12" xr3:uid="{E86BDD47-5283-4E3D-885E-26184617D559}" name="RESULT" dataDxfId="650">
      <calculatedColumnFormula>ROUND(IF(C17="L",(L17-G17),(G17-L17)),4)</calculatedColumnFormula>
    </tableColumn>
    <tableColumn id="13" xr3:uid="{CC5B0E60-AEC1-4581-8D43-A37076DA7CD6}" name="No. of Rs" dataDxfId="649">
      <calculatedColumnFormula>IFERROR(ROUND((M17/I17),2),"")</calculatedColumnFormula>
    </tableColumn>
    <tableColumn id="14" xr3:uid="{F3F68330-CEE3-4412-B781-5CC293EDEB67}" name="Heat" dataDxfId="648">
      <calculatedColumnFormula>IF(D17="O",IF(N17&lt;0,N17,0),0)</calculatedColumnFormula>
    </tableColumn>
    <tableColumn id="15" xr3:uid="{EB100494-AB70-47E9-9F95-0E25E196C7C2}" name=" TR WIN" dataDxfId="647">
      <calculatedColumnFormula>IF(N17&gt;= 0,N17,0)</calculatedColumnFormula>
    </tableColumn>
    <tableColumn id="16" xr3:uid="{E384F001-4689-4F41-8F60-664B03D5974F}" name=" TR LOSS" dataDxfId="646">
      <calculatedColumnFormula>IF(N17&lt;0,N17,0)</calculatedColumnFormula>
    </tableColumn>
    <tableColumn id="33" xr3:uid="{0906746C-0CF2-458C-A04D-23F0791F096B}" name="Initial Losing Trade" dataDxfId="645">
      <calculatedColumnFormula>IF(AND(OFFSET(Tabla33610673484[[#This Row],[Equity]],1,0)="",Tabla33610673484[[#This Row],[No. of Rs]]&lt;0),"Yes",IF(AND(OFFSET(Tabla33610673484[[#This Row],[Initial Losing Trade]],1,0)="Yes",Tabla33610673484[[#This Row],[No. of Rs]]&lt;0),"Yes","No"))</calculatedColumnFormula>
    </tableColumn>
    <tableColumn id="30" xr3:uid="{1425E18C-E586-4D0E-BBF2-BB2709FAB757}" name="Equity" dataDxfId="644">
      <calculatedColumnFormula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calculatedColumnFormula>
    </tableColumn>
    <tableColumn id="32" xr3:uid="{63F4EAFD-1182-4B36-A3A1-6591D8388A07}" name="Equity Peak" dataDxfId="643">
      <calculatedColumnFormula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calculatedColumnFormula>
    </tableColumn>
    <tableColumn id="31" xr3:uid="{DF50E974-BE67-4744-B8D1-2B555BCC627F}" name="Drawdown" dataDxfId="642">
      <calculatedColumnFormula>IF(Tabla33610673484[[#This Row],[Equity]]&lt;Tabla33610673484[[#This Row],[Equity Peak]],(Tabla33610673484[[#This Row],[Equity Peak]]-Tabla33610673484[[#This Row],[Equity]])/Tabla33610673484[[#This Row],[Equity Peak]],"")</calculatedColumnFormula>
    </tableColumn>
    <tableColumn id="17" xr3:uid="{D2C7771B-291D-4525-BA19-3EAC8D41956C}" name="Currency" dataDxfId="641">
      <calculatedColumnFormula>IF(B17="FX",N17,0)</calculatedColumnFormula>
    </tableColumn>
    <tableColumn id="18" xr3:uid="{C2198234-61CA-4260-92CF-03C0D03EB1F1}" name="Heat3" dataDxfId="640">
      <calculatedColumnFormula>IF(D17="O",IF(V17&lt;0,V17,0),0)</calculatedColumnFormula>
    </tableColumn>
    <tableColumn id="19" xr3:uid="{70BC6ECF-E505-4A4A-A005-15C515FD78C9}" name="Commodities" dataDxfId="639">
      <calculatedColumnFormula>IF(B17="COM",N17,0)</calculatedColumnFormula>
    </tableColumn>
    <tableColumn id="20" xr3:uid="{C388C078-FF8F-412D-A451-766EC0CB574A}" name="Heat4" dataDxfId="638">
      <calculatedColumnFormula>IF(D17="O",IF(X17&lt;0,X17,0),0)</calculatedColumnFormula>
    </tableColumn>
    <tableColumn id="21" xr3:uid="{34391A6E-CB55-4F4A-BF0F-4A77D57D749D}" name="Index" dataDxfId="637">
      <calculatedColumnFormula>IF(B17="IND",N17,0)</calculatedColumnFormula>
    </tableColumn>
    <tableColumn id="22" xr3:uid="{463CC4D9-AF28-4ECA-B9C2-4B177D2550F6}" name="Heat5" dataDxfId="636">
      <calculatedColumnFormula>IF(D17="O",IF(Z17&lt;0,Z17,0),0)</calculatedColumnFormula>
    </tableColumn>
    <tableColumn id="27" xr3:uid="{2E92A3C9-052D-4D04-A85E-43335B721E2B}" name="Cryptocurrency" dataDxfId="635">
      <calculatedColumnFormula>IF(B17="CRYPTO",N17,0)</calculatedColumnFormula>
    </tableColumn>
    <tableColumn id="28" xr3:uid="{99497EE8-098C-4425-B85C-58A3EB99ACBE}" name="Heat6" dataDxfId="634">
      <calculatedColumnFormula>IF(D17="O",IF(AB17&lt;0,AB17,0),0)</calculatedColumnFormula>
    </tableColumn>
    <tableColumn id="23" xr3:uid="{60072D67-F899-4157-BCBC-4538963D3A4A}" name="Length of _x000a_Trade" dataDxfId="633">
      <calculatedColumnFormula>IF(K17&lt;&gt;"",K17-E17,0)</calculatedColumnFormula>
    </tableColumn>
    <tableColumn id="24" xr3:uid="{44318096-FBB8-4E23-870F-4527A118D267}" name="Win" dataDxfId="632">
      <calculatedColumnFormula>IF(N17&gt;0,AD17,0)</calculatedColumnFormula>
    </tableColumn>
    <tableColumn id="25" xr3:uid="{7010DD04-86FF-48A4-8FD5-6A9882AA04F9}" name="Loss" dataDxfId="631">
      <calculatedColumnFormula>IF(N17&lt;0,AD17,0)</calculatedColumnFormula>
    </tableColumn>
    <tableColumn id="26" xr3:uid="{67E00B17-2FBE-40CC-BFCB-E7BB65886DB6}" name="Breakeven" dataDxfId="63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4B2D3EE-6DEE-4563-8AE5-C44A164DF5E7}" name="Tabla336106734817" displayName="Tabla336106734817" ref="B16:AG35" totalsRowShown="0" headerRowDxfId="621" dataDxfId="620">
  <autoFilter ref="B16:AG35" xr:uid="{00000000-0009-0000-0100-000009000000}"/>
  <sortState xmlns:xlrd2="http://schemas.microsoft.com/office/spreadsheetml/2017/richdata2" ref="B17:AG35">
    <sortCondition descending="1" ref="D16:D35"/>
  </sortState>
  <tableColumns count="32">
    <tableColumn id="1" xr3:uid="{4C2483DC-2144-406F-9D44-ABF0693AC1A2}" name="Inst" dataDxfId="619"/>
    <tableColumn id="2" xr3:uid="{3BAA3168-B7E6-4C8A-958D-32410BBE773C}" name="L/S" dataDxfId="618"/>
    <tableColumn id="3" xr3:uid="{990C8F5E-3DCF-4EBD-B021-8B33E3D77AF3}" name="O/C" dataDxfId="617">
      <calculatedColumnFormula>IF(E17&lt;&gt;"",IF(K17&lt;&gt;"","C","O"),"")</calculatedColumnFormula>
    </tableColumn>
    <tableColumn id="4" xr3:uid="{DF83505C-EBFC-4A9A-A4D5-1FAE127D1102}" name="DATE" dataDxfId="616"/>
    <tableColumn id="5" xr3:uid="{A6A3AC3A-6141-4118-A490-BE65CB472E56}" name="INST." dataDxfId="615"/>
    <tableColumn id="6" xr3:uid="{22F7D5DE-5711-4BEC-88C1-DB242EA12899}" name="ENTRY " dataDxfId="614"/>
    <tableColumn id="7" xr3:uid="{B51215F0-71EB-4854-9CCF-A41AFA2735A4}" name="STOP " dataDxfId="613"/>
    <tableColumn id="8" xr3:uid="{768AE2FA-F454-4917-8D51-D72827AED40F}" name="TR_x000a_(in Pips)" dataDxfId="612">
      <calculatedColumnFormula>ABS(G17-H17)</calculatedColumnFormula>
    </tableColumn>
    <tableColumn id="9" xr3:uid="{A236E27E-B8BA-475D-9FF8-550AD2C28945}" name="TARGET" dataDxfId="611"/>
    <tableColumn id="10" xr3:uid="{B4177339-E68E-44E3-BB3B-37CF86D863F7}" name="DATE2" dataDxfId="610"/>
    <tableColumn id="11" xr3:uid="{FBB50FF7-1F56-4FE5-9423-F931477A1F41}" name="EXIT" dataDxfId="609"/>
    <tableColumn id="12" xr3:uid="{07C87AD7-609E-4339-900C-84B27C0B1513}" name="RESULT" dataDxfId="608">
      <calculatedColumnFormula>ROUND(IF(C17="L",(L17-G17),(G17-L17)),4)</calculatedColumnFormula>
    </tableColumn>
    <tableColumn id="13" xr3:uid="{31917C22-5726-42A7-BB8F-5885283C7DF5}" name="No. of Rs" dataDxfId="607">
      <calculatedColumnFormula>IFERROR(ROUND((M17/I17),2),"")</calculatedColumnFormula>
    </tableColumn>
    <tableColumn id="14" xr3:uid="{8DB5188D-AAB8-465C-B4C0-FF389892A754}" name="Heat" dataDxfId="606">
      <calculatedColumnFormula>IF(D17="O",IF(N17&lt;0,N17,0),0)</calculatedColumnFormula>
    </tableColumn>
    <tableColumn id="15" xr3:uid="{24E06738-431D-4FF2-B7A8-DF9A3E55B0E1}" name=" TR WIN" dataDxfId="605">
      <calculatedColumnFormula>IF(N17&gt;= 0,N17,0)</calculatedColumnFormula>
    </tableColumn>
    <tableColumn id="16" xr3:uid="{6845ABC8-E0EF-4A16-9270-B042D4B6661D}" name=" TR LOSS" dataDxfId="604">
      <calculatedColumnFormula>IF(N17&lt;0,N17,0)</calculatedColumnFormula>
    </tableColumn>
    <tableColumn id="33" xr3:uid="{AC6460BD-A5CD-4A08-9D29-5E73ECFE8FF6}" name="Initial Losing Trade" dataDxfId="603">
      <calculatedColumnFormula>IF(AND(OFFSET(Tabla336106734817[[#This Row],[Equity]],1,0)="",Tabla336106734817[[#This Row],[No. of Rs]]&lt;0),"Yes",IF(AND(OFFSET(Tabla336106734817[[#This Row],[Initial Losing Trade]],1,0)="Yes",Tabla336106734817[[#This Row],[No. of Rs]]&lt;0),"Yes","No"))</calculatedColumnFormula>
    </tableColumn>
    <tableColumn id="30" xr3:uid="{96877A8E-59D1-40B6-90CB-D8FDEAEE0A39}" name="Equity" dataDxfId="602">
      <calculatedColumnFormula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calculatedColumnFormula>
    </tableColumn>
    <tableColumn id="32" xr3:uid="{E60F8DE2-81FD-48AF-ABF2-7130F9EBC4AC}" name="Equity Peak" dataDxfId="601">
      <calculatedColumnFormula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calculatedColumnFormula>
    </tableColumn>
    <tableColumn id="31" xr3:uid="{CDB25E75-9F6C-43B7-AE64-18D7DC364A77}" name="Drawdown" dataDxfId="600">
      <calculatedColumnFormula>IF(Tabla336106734817[[#This Row],[Equity]]&lt;Tabla336106734817[[#This Row],[Equity Peak]],(Tabla336106734817[[#This Row],[Equity Peak]]-Tabla336106734817[[#This Row],[Equity]])/Tabla336106734817[[#This Row],[Equity Peak]],"")</calculatedColumnFormula>
    </tableColumn>
    <tableColumn id="17" xr3:uid="{B36E0EEE-88EB-4CB8-844E-14AAD3F5D01F}" name="Currency" dataDxfId="599">
      <calculatedColumnFormula>IF(B17="FX",N17,0)</calculatedColumnFormula>
    </tableColumn>
    <tableColumn id="18" xr3:uid="{4A86B85E-1DE8-4030-BFC8-EB4B16237780}" name="Heat3" dataDxfId="598">
      <calculatedColumnFormula>IF(D17="O",IF(V17&lt;0,V17,0),0)</calculatedColumnFormula>
    </tableColumn>
    <tableColumn id="19" xr3:uid="{01873D22-5E7D-44B5-A2FB-FD7729B1D552}" name="Commodities" dataDxfId="597">
      <calculatedColumnFormula>IF(B17="COM",N17,0)</calculatedColumnFormula>
    </tableColumn>
    <tableColumn id="20" xr3:uid="{DAA34708-46E4-46B6-8F4A-2F68BD094AEA}" name="Heat4" dataDxfId="596">
      <calculatedColumnFormula>IF(D17="O",IF(X17&lt;0,X17,0),0)</calculatedColumnFormula>
    </tableColumn>
    <tableColumn id="21" xr3:uid="{0DF38C83-660B-424F-BA21-3D66CA7FC976}" name="Index" dataDxfId="595">
      <calculatedColumnFormula>IF(B17="IND",N17,0)</calculatedColumnFormula>
    </tableColumn>
    <tableColumn id="22" xr3:uid="{358C0FAD-B9D6-414A-815B-2CEA79223D54}" name="Heat5" dataDxfId="594">
      <calculatedColumnFormula>IF(D17="O",IF(Z17&lt;0,Z17,0),0)</calculatedColumnFormula>
    </tableColumn>
    <tableColumn id="27" xr3:uid="{238E7A16-4AEE-4272-AA28-274B4857B397}" name="Cryptocurrency" dataDxfId="593">
      <calculatedColumnFormula>IF(B17="CRYPTO",N17,0)</calculatedColumnFormula>
    </tableColumn>
    <tableColumn id="28" xr3:uid="{3DE0DB25-DB95-4923-90D2-F7C2F43F6EEE}" name="Heat6" dataDxfId="592">
      <calculatedColumnFormula>IF(D17="O",IF(AB17&lt;0,AB17,0),0)</calculatedColumnFormula>
    </tableColumn>
    <tableColumn id="23" xr3:uid="{F1ED3ABA-0307-4298-AA94-1BA67E421DE3}" name="Length of _x000a_Trade" dataDxfId="591">
      <calculatedColumnFormula>IF(K17&lt;&gt;"",K17-E17,0)</calculatedColumnFormula>
    </tableColumn>
    <tableColumn id="24" xr3:uid="{F5F1A77F-D286-4D86-A5C9-6B6FCE67D8B9}" name="Win" dataDxfId="590">
      <calculatedColumnFormula>IF(N17&gt;0,AD17,0)</calculatedColumnFormula>
    </tableColumn>
    <tableColumn id="25" xr3:uid="{3E8F66A5-907F-48B8-B6F0-0DFD82A33929}" name="Loss" dataDxfId="589">
      <calculatedColumnFormula>IF(N17&lt;0,AD17,0)</calculatedColumnFormula>
    </tableColumn>
    <tableColumn id="26" xr3:uid="{FB285BAC-D3ED-4D4B-9F36-A710560E4C39}" name="Breakeven" dataDxfId="58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C03A8E-E6D7-49B3-8DED-EDA1A68324A8}" name="Tabla33610673486" displayName="Tabla33610673486" ref="B16:AG38" totalsRowShown="0" headerRowDxfId="579" dataDxfId="578">
  <autoFilter ref="B16:AG38" xr:uid="{00000000-0009-0000-0100-000009000000}"/>
  <sortState xmlns:xlrd2="http://schemas.microsoft.com/office/spreadsheetml/2017/richdata2" ref="B17:AG38">
    <sortCondition descending="1" ref="D16:D38"/>
  </sortState>
  <tableColumns count="32">
    <tableColumn id="1" xr3:uid="{D340922A-49D2-4CC1-90FD-033258B8E2C4}" name="Inst" dataDxfId="577"/>
    <tableColumn id="2" xr3:uid="{6B5EA7B9-048C-4FDC-9221-14D24CEDF7BB}" name="L/S" dataDxfId="576"/>
    <tableColumn id="3" xr3:uid="{0B2225E9-A1AB-4C68-8402-8B60DC72CDE5}" name="O/C" dataDxfId="575">
      <calculatedColumnFormula>IF(E17&lt;&gt;"",IF(K17&lt;&gt;"","C","O"),"")</calculatedColumnFormula>
    </tableColumn>
    <tableColumn id="4" xr3:uid="{AB0468B2-2D94-4B0E-839E-A551F9AEBD64}" name="DATE" dataDxfId="574"/>
    <tableColumn id="5" xr3:uid="{E37210C6-9E7B-4676-9AC7-D4AA7E70EF80}" name="INST." dataDxfId="573"/>
    <tableColumn id="6" xr3:uid="{273EE200-EF48-4068-B9B7-2552CABCE1A1}" name="ENTRY " dataDxfId="572"/>
    <tableColumn id="7" xr3:uid="{3E581079-C1E3-4E9C-9911-E600D58B6CE9}" name="STOP " dataDxfId="571"/>
    <tableColumn id="8" xr3:uid="{3C6F9749-5D13-4168-A0AA-DEF4A71307D2}" name="TR_x000a_(in Pips)" dataDxfId="570">
      <calculatedColumnFormula>ABS(G17-H17)</calculatedColumnFormula>
    </tableColumn>
    <tableColumn id="9" xr3:uid="{01119C8C-B36F-4683-BEAA-410E5ED7D863}" name="TARGET" dataDxfId="569"/>
    <tableColumn id="10" xr3:uid="{2E15F228-E81C-484B-92E1-B1692EFEA0B8}" name="DATE2" dataDxfId="568"/>
    <tableColumn id="11" xr3:uid="{719B167C-4326-4680-A964-2EA627099EEE}" name="EXIT" dataDxfId="567"/>
    <tableColumn id="12" xr3:uid="{4CB5227F-58AE-49DB-8443-393E1218460B}" name="RESULT" dataDxfId="566">
      <calculatedColumnFormula>ROUND(IF(C17="L",(L17-G17),(G17-L17)),4)</calculatedColumnFormula>
    </tableColumn>
    <tableColumn id="13" xr3:uid="{D0488F0D-ED7E-4537-A4F2-B591526A7789}" name="No. of Rs" dataDxfId="565">
      <calculatedColumnFormula>IFERROR(ROUND((M17/I17),2),"")</calculatedColumnFormula>
    </tableColumn>
    <tableColumn id="14" xr3:uid="{0671EB80-57FA-4517-AE10-BE3E4420E1FB}" name="Heat" dataDxfId="564">
      <calculatedColumnFormula>IF(D17="O",IF(N17&lt;0,N17,0),0)</calculatedColumnFormula>
    </tableColumn>
    <tableColumn id="15" xr3:uid="{42D45C88-4B2C-485E-BC20-B7C6F00FB987}" name=" TR WIN" dataDxfId="563">
      <calculatedColumnFormula>IF(N17&gt;= 0,N17,0)</calculatedColumnFormula>
    </tableColumn>
    <tableColumn id="16" xr3:uid="{50CAFAF6-A4F0-4079-B583-81B2629D9E40}" name=" TR LOSS" dataDxfId="562">
      <calculatedColumnFormula>IF(N17&lt;0,N17,0)</calculatedColumnFormula>
    </tableColumn>
    <tableColumn id="33" xr3:uid="{6ABDA8D9-2AD5-40E8-9C15-1CFD15E6ADF7}" name="Initial Losing Trade" dataDxfId="561">
      <calculatedColumnFormula>IF(AND(OFFSET(Tabla33610673486[[#This Row],[Equity]],1,0)="",Tabla33610673486[[#This Row],[No. of Rs]]&lt;0),"Yes",IF(AND(OFFSET(Tabla33610673486[[#This Row],[Initial Losing Trade]],1,0)="Yes",Tabla33610673486[[#This Row],[No. of Rs]]&lt;0),"Yes","No"))</calculatedColumnFormula>
    </tableColumn>
    <tableColumn id="30" xr3:uid="{76ACB9BA-291E-4ABA-920B-784BB5436CC5}" name="Equity" dataDxfId="560">
      <calculatedColumnFormula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calculatedColumnFormula>
    </tableColumn>
    <tableColumn id="32" xr3:uid="{1DC52F9D-3A7C-451C-B9BC-88793E4F08FF}" name="Equity Peak" dataDxfId="559">
      <calculatedColumnFormula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calculatedColumnFormula>
    </tableColumn>
    <tableColumn id="31" xr3:uid="{E622EA1C-2E07-4E7E-965E-BC1597FC4B16}" name="Drawdown" dataDxfId="558">
      <calculatedColumnFormula>IF(Tabla33610673486[[#This Row],[Equity]]&lt;Tabla33610673486[[#This Row],[Equity Peak]],(Tabla33610673486[[#This Row],[Equity Peak]]-Tabla33610673486[[#This Row],[Equity]])/Tabla33610673486[[#This Row],[Equity Peak]],"")</calculatedColumnFormula>
    </tableColumn>
    <tableColumn id="17" xr3:uid="{36BD358E-1283-4635-901B-BD4347C5DAF7}" name="Currency" dataDxfId="557">
      <calculatedColumnFormula>IF(B17="FX",N17,0)</calculatedColumnFormula>
    </tableColumn>
    <tableColumn id="18" xr3:uid="{45C872BA-8FF6-49A0-8050-836243E2A146}" name="Heat3" dataDxfId="556">
      <calculatedColumnFormula>IF(D17="O",IF(V17&lt;0,V17,0),0)</calculatedColumnFormula>
    </tableColumn>
    <tableColumn id="19" xr3:uid="{8FD6A9CB-9DF0-44E7-9163-C77599170AC4}" name="Commodities" dataDxfId="555">
      <calculatedColumnFormula>IF(B17="COM",N17,0)</calculatedColumnFormula>
    </tableColumn>
    <tableColumn id="20" xr3:uid="{6633964F-38B2-43A9-8C13-59533B8DBE48}" name="Heat4" dataDxfId="554">
      <calculatedColumnFormula>IF(D17="O",IF(X17&lt;0,X17,0),0)</calculatedColumnFormula>
    </tableColumn>
    <tableColumn id="21" xr3:uid="{1F1C2C3B-E248-46B7-9800-55A63E3D6CDA}" name="Index" dataDxfId="553">
      <calculatedColumnFormula>IF(B17="IND",N17,0)</calculatedColumnFormula>
    </tableColumn>
    <tableColumn id="22" xr3:uid="{A18E2505-4A09-4E9F-BCE4-E2F3C2F557D6}" name="Heat5" dataDxfId="552">
      <calculatedColumnFormula>IF(D17="O",IF(Z17&lt;0,Z17,0),0)</calculatedColumnFormula>
    </tableColumn>
    <tableColumn id="27" xr3:uid="{31791ACC-502D-4960-9917-9EC2DC2CD1C4}" name="Cryptocurrency" dataDxfId="551">
      <calculatedColumnFormula>IF(B17="CRYPTO",N17,0)</calculatedColumnFormula>
    </tableColumn>
    <tableColumn id="28" xr3:uid="{ED78A28C-A416-4696-8521-7CDA75158909}" name="Heat6" dataDxfId="550">
      <calculatedColumnFormula>IF(D17="O",IF(AB17&lt;0,AB17,0),0)</calculatedColumnFormula>
    </tableColumn>
    <tableColumn id="23" xr3:uid="{6DF9ED41-D4AD-43D1-B2A5-A36A148CF4D7}" name="Length of _x000a_Trade" dataDxfId="549">
      <calculatedColumnFormula>IF(K17&lt;&gt;"",K17-E17,0)</calculatedColumnFormula>
    </tableColumn>
    <tableColumn id="24" xr3:uid="{34B55CAB-CAE5-42DC-A098-6932F32E5A92}" name="Win" dataDxfId="548">
      <calculatedColumnFormula>IF(N17&gt;0,AD17,0)</calculatedColumnFormula>
    </tableColumn>
    <tableColumn id="25" xr3:uid="{119273FF-F5D5-4DBF-96AC-29371F93A6A1}" name="Loss" dataDxfId="547">
      <calculatedColumnFormula>IF(N17&lt;0,AD17,0)</calculatedColumnFormula>
    </tableColumn>
    <tableColumn id="26" xr3:uid="{2F1D2166-56E1-473A-8150-5A6DFBDD46F5}" name="Breakeven" dataDxfId="54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8506A2A-5DEF-4DD3-A853-FA3B3E1B2823}" name="Tabla336106734818" displayName="Tabla336106734818" ref="B16:AG33" totalsRowShown="0" headerRowDxfId="537" dataDxfId="536">
  <autoFilter ref="B16:AG33" xr:uid="{00000000-0009-0000-0100-000009000000}"/>
  <sortState xmlns:xlrd2="http://schemas.microsoft.com/office/spreadsheetml/2017/richdata2" ref="B17:AG33">
    <sortCondition descending="1" ref="D16:D33"/>
  </sortState>
  <tableColumns count="32">
    <tableColumn id="1" xr3:uid="{D7746087-6354-4C2B-A6C9-594BC79DAB4C}" name="Inst" dataDxfId="535"/>
    <tableColumn id="2" xr3:uid="{1FD3AE6B-30C0-410A-9BC5-C337A9F49F38}" name="L/S" dataDxfId="534"/>
    <tableColumn id="3" xr3:uid="{D57048C9-44F0-4CFE-93AC-B3002AD014A3}" name="O/C" dataDxfId="533">
      <calculatedColumnFormula>IF(E17&lt;&gt;"",IF(K17&lt;&gt;"","C","O"),"")</calculatedColumnFormula>
    </tableColumn>
    <tableColumn id="4" xr3:uid="{77A05C42-5A44-4D15-895F-6CD46A54ED7D}" name="DATE" dataDxfId="532"/>
    <tableColumn id="5" xr3:uid="{66379AD3-D6B5-45A8-987E-4DA069910105}" name="INST." dataDxfId="531"/>
    <tableColumn id="6" xr3:uid="{85204021-E23C-4E13-8164-ECA04828573D}" name="ENTRY " dataDxfId="530"/>
    <tableColumn id="7" xr3:uid="{26A10545-40A6-43E1-9833-34D711E01328}" name="STOP " dataDxfId="529"/>
    <tableColumn id="8" xr3:uid="{803EDB19-957E-4DD1-98D4-6E97B54C17E0}" name="TR_x000a_(in Pips)" dataDxfId="528">
      <calculatedColumnFormula>ABS(G17-H17)</calculatedColumnFormula>
    </tableColumn>
    <tableColumn id="9" xr3:uid="{267A54D6-399F-4A0D-A2DD-CC149D44445E}" name="TARGET" dataDxfId="527"/>
    <tableColumn id="10" xr3:uid="{0BCB3C3E-B84F-432D-A5CF-441EF5C11924}" name="DATE2" dataDxfId="526"/>
    <tableColumn id="11" xr3:uid="{8D4E03F4-0EFA-46A0-9053-096FCA010DA6}" name="EXIT" dataDxfId="525"/>
    <tableColumn id="12" xr3:uid="{ED7735C0-4AC7-4E48-AB9C-4848FB2EC4D4}" name="RESULT" dataDxfId="524">
      <calculatedColumnFormula>ROUND(IF(C17="L",(L17-G17),(G17-L17)),4)</calculatedColumnFormula>
    </tableColumn>
    <tableColumn id="13" xr3:uid="{23D10C3F-194F-4B30-9508-929E54C53036}" name="No. of Rs" dataDxfId="523">
      <calculatedColumnFormula>IFERROR(ROUND((M17/I17),2),"")</calculatedColumnFormula>
    </tableColumn>
    <tableColumn id="14" xr3:uid="{32F9B4B9-1899-4613-8FEC-E53613F844D3}" name="Heat" dataDxfId="522">
      <calculatedColumnFormula>IF(D17="O",IF(N17&lt;0,N17,0),0)</calculatedColumnFormula>
    </tableColumn>
    <tableColumn id="15" xr3:uid="{D84727B7-DE72-4562-9750-2D60B7B10B72}" name=" TR WIN" dataDxfId="521">
      <calculatedColumnFormula>IF(N17&gt;= 0,N17,0)</calculatedColumnFormula>
    </tableColumn>
    <tableColumn id="16" xr3:uid="{1BE15FCC-22EF-4E9B-885C-73E797046850}" name=" TR LOSS" dataDxfId="520">
      <calculatedColumnFormula>IF(N17&lt;0,N17,0)</calculatedColumnFormula>
    </tableColumn>
    <tableColumn id="33" xr3:uid="{479FA716-71B6-4AC0-9DEE-43C0DC3926B7}" name="Initial Losing Trade" dataDxfId="519">
      <calculatedColumnFormula>IF(AND(OFFSET(Tabla336106734818[[#This Row],[Equity]],1,0)="",Tabla336106734818[[#This Row],[No. of Rs]]&lt;0),"Yes",IF(AND(OFFSET(Tabla336106734818[[#This Row],[Initial Losing Trade]],1,0)="Yes",Tabla336106734818[[#This Row],[No. of Rs]]&lt;0),"Yes","No"))</calculatedColumnFormula>
    </tableColumn>
    <tableColumn id="30" xr3:uid="{AFA71992-0E0C-4D49-95E9-45A491BE729F}" name="Equity" dataDxfId="518">
      <calculatedColumnFormula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calculatedColumnFormula>
    </tableColumn>
    <tableColumn id="32" xr3:uid="{AFB2BF74-E800-46C5-85EE-05649EA9B0F7}" name="Equity Peak" dataDxfId="517">
      <calculatedColumnFormula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calculatedColumnFormula>
    </tableColumn>
    <tableColumn id="31" xr3:uid="{280903CD-C5B1-4909-8D48-268D77F69B33}" name="Drawdown" dataDxfId="516">
      <calculatedColumnFormula>IF(Tabla336106734818[[#This Row],[Equity]]&lt;Tabla336106734818[[#This Row],[Equity Peak]],(Tabla336106734818[[#This Row],[Equity Peak]]-Tabla336106734818[[#This Row],[Equity]])/Tabla336106734818[[#This Row],[Equity Peak]],"")</calculatedColumnFormula>
    </tableColumn>
    <tableColumn id="17" xr3:uid="{736E8779-2EF7-4968-B0CB-A0B833B8C9B0}" name="Currency" dataDxfId="515">
      <calculatedColumnFormula>IF(B17="FX",N17,0)</calculatedColumnFormula>
    </tableColumn>
    <tableColumn id="18" xr3:uid="{FD251661-8904-4C47-BC46-EC5A2CE3E3FF}" name="Heat3" dataDxfId="514">
      <calculatedColumnFormula>IF(D17="O",IF(V17&lt;0,V17,0),0)</calculatedColumnFormula>
    </tableColumn>
    <tableColumn id="19" xr3:uid="{D1E5F526-23F4-4C62-804B-E205DA56595D}" name="Commodities" dataDxfId="513">
      <calculatedColumnFormula>IF(B17="COM",N17,0)</calculatedColumnFormula>
    </tableColumn>
    <tableColumn id="20" xr3:uid="{82CD73E3-852C-40DD-A602-DDD22C31DB77}" name="Heat4" dataDxfId="512">
      <calculatedColumnFormula>IF(D17="O",IF(X17&lt;0,X17,0),0)</calculatedColumnFormula>
    </tableColumn>
    <tableColumn id="21" xr3:uid="{5237A37D-111F-4B6E-B566-6F9805055F51}" name="Index" dataDxfId="511">
      <calculatedColumnFormula>IF(B17="IND",N17,0)</calculatedColumnFormula>
    </tableColumn>
    <tableColumn id="22" xr3:uid="{504971DE-F637-4BAE-83D5-2CBE5D7672E3}" name="Heat5" dataDxfId="510">
      <calculatedColumnFormula>IF(D17="O",IF(Z17&lt;0,Z17,0),0)</calculatedColumnFormula>
    </tableColumn>
    <tableColumn id="27" xr3:uid="{AC633394-6143-43E4-93F9-2B00CAA618DD}" name="Cryptocurrency" dataDxfId="509">
      <calculatedColumnFormula>IF(B17="CRYPTO",N17,0)</calculatedColumnFormula>
    </tableColumn>
    <tableColumn id="28" xr3:uid="{2513B771-A246-4B85-9D9D-4235669A4717}" name="Heat6" dataDxfId="508">
      <calculatedColumnFormula>IF(D17="O",IF(AB17&lt;0,AB17,0),0)</calculatedColumnFormula>
    </tableColumn>
    <tableColumn id="23" xr3:uid="{EDA4CB45-2070-4BAC-8076-5D77DD511EF2}" name="Length of _x000a_Trade" dataDxfId="507">
      <calculatedColumnFormula>IF(K17&lt;&gt;"",K17-E17,0)</calculatedColumnFormula>
    </tableColumn>
    <tableColumn id="24" xr3:uid="{2D33B4A2-9821-42BC-BB98-4CECF024CEEF}" name="Win" dataDxfId="506">
      <calculatedColumnFormula>IF(N17&gt;0,AD17,0)</calculatedColumnFormula>
    </tableColumn>
    <tableColumn id="25" xr3:uid="{80CEAFDA-2961-406A-9F8B-6A2EF9CFEBFB}" name="Loss" dataDxfId="505">
      <calculatedColumnFormula>IF(N17&lt;0,AD17,0)</calculatedColumnFormula>
    </tableColumn>
    <tableColumn id="26" xr3:uid="{EEE05F01-45F1-49F9-BE86-D13D44F9BFB6}" name="Breakeven" dataDxfId="50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9DCA823-828C-481A-9188-69D21C457E30}" name="Tabla33610673487" displayName="Tabla33610673487" ref="B16:AG62" totalsRowShown="0" headerRowDxfId="495" dataDxfId="494">
  <autoFilter ref="B16:AG62" xr:uid="{00000000-0009-0000-0100-000009000000}"/>
  <sortState xmlns:xlrd2="http://schemas.microsoft.com/office/spreadsheetml/2017/richdata2" ref="B17:AG62">
    <sortCondition descending="1" ref="D16:D62"/>
  </sortState>
  <tableColumns count="32">
    <tableColumn id="1" xr3:uid="{4605BAAA-E080-4432-9B73-DBD2235D2819}" name="Inst" dataDxfId="493"/>
    <tableColumn id="2" xr3:uid="{C0839395-578D-4CDC-BA63-4ADEFAD603AD}" name="L/S" dataDxfId="492"/>
    <tableColumn id="3" xr3:uid="{C6ED6F34-7E9A-4BD0-A8CE-0A4DC887C8BA}" name="O/C" dataDxfId="491">
      <calculatedColumnFormula>IF(E17&lt;&gt;"",IF(K17&lt;&gt;"","C","O"),"")</calculatedColumnFormula>
    </tableColumn>
    <tableColumn id="4" xr3:uid="{A9F43AB1-C3AB-41E8-BBE1-3F4CFB04CC82}" name="DATE" dataDxfId="490"/>
    <tableColumn id="5" xr3:uid="{66FF759F-C333-443A-A853-DBE7A8AFDA71}" name="INST." dataDxfId="489"/>
    <tableColumn id="6" xr3:uid="{89899C3B-AA75-42DE-83CF-57CE5D0A8729}" name="ENTRY " dataDxfId="488"/>
    <tableColumn id="7" xr3:uid="{F858B79A-F6E2-479B-BBEE-874CE9A283BF}" name="STOP " dataDxfId="487"/>
    <tableColumn id="8" xr3:uid="{4250225D-7C88-441C-BCD0-7490A3EE9B57}" name="TR_x000a_(in Pips)" dataDxfId="486">
      <calculatedColumnFormula>ABS(G17-H17)</calculatedColumnFormula>
    </tableColumn>
    <tableColumn id="9" xr3:uid="{D2A6617F-EACF-4FF3-8639-D66DEA261F25}" name="TARGET" dataDxfId="485"/>
    <tableColumn id="10" xr3:uid="{A7DE512D-B84C-4E8D-A6BD-2A9202BF4650}" name="DATE2" dataDxfId="484"/>
    <tableColumn id="11" xr3:uid="{10643205-20B7-45FC-8F7C-05778FCEB867}" name="EXIT" dataDxfId="483"/>
    <tableColumn id="12" xr3:uid="{8DD248FD-EBFF-46B2-AE67-CFC27BA15813}" name="RESULT" dataDxfId="482">
      <calculatedColumnFormula>ROUND(IF(C17="L",(L17-G17),(G17-L17)),4)</calculatedColumnFormula>
    </tableColumn>
    <tableColumn id="13" xr3:uid="{4921F856-9A68-4066-911D-5252B0A8197A}" name="No. of Rs" dataDxfId="481">
      <calculatedColumnFormula>IFERROR(ROUND((M17/I17),2),"")</calculatedColumnFormula>
    </tableColumn>
    <tableColumn id="14" xr3:uid="{95AA26AB-369C-482E-B90B-B425BAC7DDFE}" name="Heat" dataDxfId="480">
      <calculatedColumnFormula>IF(D17="O",IF(N17&lt;0,N17,0),0)</calculatedColumnFormula>
    </tableColumn>
    <tableColumn id="15" xr3:uid="{4CFDDBE5-F918-4430-B04D-2B644EF6085F}" name=" TR WIN" dataDxfId="479">
      <calculatedColumnFormula>IF(N17&gt;= 0,N17,0)</calculatedColumnFormula>
    </tableColumn>
    <tableColumn id="16" xr3:uid="{116EBDB1-4415-46B2-ACE1-DB3BA7A5B4B7}" name=" TR LOSS" dataDxfId="478">
      <calculatedColumnFormula>IF(N17&lt;0,N17,0)</calculatedColumnFormula>
    </tableColumn>
    <tableColumn id="33" xr3:uid="{F44A9986-7A16-478A-8476-DD11323A2587}" name="Initial Losing Trade" dataDxfId="477">
      <calculatedColumnFormula>IF(AND(OFFSET(Tabla33610673487[[#This Row],[Equity]],1,0)="",Tabla33610673487[[#This Row],[No. of Rs]]&lt;0),"Yes",IF(AND(OFFSET(Tabla33610673487[[#This Row],[Initial Losing Trade]],1,0)="Yes",Tabla33610673487[[#This Row],[No. of Rs]]&lt;0),"Yes","No"))</calculatedColumnFormula>
    </tableColumn>
    <tableColumn id="30" xr3:uid="{0877814F-3D0A-46B4-89D3-CE29B47C4D8C}" name="Equity" dataDxfId="476">
      <calculatedColumnFormula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calculatedColumnFormula>
    </tableColumn>
    <tableColumn id="32" xr3:uid="{B5DA1650-EDCA-43E5-BC70-A47E69675DF4}" name="Equity Peak" dataDxfId="475">
      <calculatedColumnFormula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calculatedColumnFormula>
    </tableColumn>
    <tableColumn id="31" xr3:uid="{21872658-69A7-4E4A-A11A-C31FD64E8B90}" name="Drawdown" dataDxfId="474">
      <calculatedColumnFormula>IF(Tabla33610673487[[#This Row],[Equity]]&lt;Tabla33610673487[[#This Row],[Equity Peak]],(Tabla33610673487[[#This Row],[Equity Peak]]-Tabla33610673487[[#This Row],[Equity]])/Tabla33610673487[[#This Row],[Equity Peak]],"")</calculatedColumnFormula>
    </tableColumn>
    <tableColumn id="17" xr3:uid="{E7665350-3CEA-4565-8EFB-564BAECFC76D}" name="Currency" dataDxfId="473">
      <calculatedColumnFormula>IF(B17="FX",N17,0)</calculatedColumnFormula>
    </tableColumn>
    <tableColumn id="18" xr3:uid="{E109A1A8-F707-40EB-91F7-6D7AAEE52A15}" name="Heat3" dataDxfId="472">
      <calculatedColumnFormula>IF(D17="O",IF(V17&lt;0,V17,0),0)</calculatedColumnFormula>
    </tableColumn>
    <tableColumn id="19" xr3:uid="{211A9DC5-F5CB-434A-A425-69414120CBEB}" name="Commodities" dataDxfId="471">
      <calculatedColumnFormula>IF(B17="COM",N17,0)</calculatedColumnFormula>
    </tableColumn>
    <tableColumn id="20" xr3:uid="{E1B42C24-B710-4768-BD4A-00413A1EC3DB}" name="Heat4" dataDxfId="470">
      <calculatedColumnFormula>IF(D17="O",IF(X17&lt;0,X17,0),0)</calculatedColumnFormula>
    </tableColumn>
    <tableColumn id="21" xr3:uid="{67371655-9382-47DE-80C5-C4B6BCB394DF}" name="Index" dataDxfId="469">
      <calculatedColumnFormula>IF(B17="IND",N17,0)</calculatedColumnFormula>
    </tableColumn>
    <tableColumn id="22" xr3:uid="{5EB862B9-0536-4B36-93BF-E175564B8DEC}" name="Heat5" dataDxfId="468">
      <calculatedColumnFormula>IF(D17="O",IF(Z17&lt;0,Z17,0),0)</calculatedColumnFormula>
    </tableColumn>
    <tableColumn id="27" xr3:uid="{B217A3C7-501F-4A98-9FAD-2DBDE248A2E1}" name="Cryptocurrency" dataDxfId="467">
      <calculatedColumnFormula>IF(B17="CRYPTO",N17,0)</calculatedColumnFormula>
    </tableColumn>
    <tableColumn id="28" xr3:uid="{4864EFC1-CD9D-4C14-8F9F-40226A819FC8}" name="Heat6" dataDxfId="466">
      <calculatedColumnFormula>IF(D17="O",IF(AB17&lt;0,AB17,0),0)</calculatedColumnFormula>
    </tableColumn>
    <tableColumn id="23" xr3:uid="{62982577-9E1F-42C1-8F0D-6393F5304BB4}" name="Length of _x000a_Trade" dataDxfId="465">
      <calculatedColumnFormula>IF(K17&lt;&gt;"",K17-E17,0)</calculatedColumnFormula>
    </tableColumn>
    <tableColumn id="24" xr3:uid="{215576A8-5C83-4D10-B143-AA4156E11038}" name="Win" dataDxfId="464">
      <calculatedColumnFormula>IF(N17&gt;0,AD17,0)</calculatedColumnFormula>
    </tableColumn>
    <tableColumn id="25" xr3:uid="{3B64A97B-5C3C-48F9-8CD4-90412237B9AD}" name="Loss" dataDxfId="463">
      <calculatedColumnFormula>IF(N17&lt;0,AD17,0)</calculatedColumnFormula>
    </tableColumn>
    <tableColumn id="26" xr3:uid="{CCC44D5E-F005-4DE6-B08C-E8DDE4CE6373}" name="Breakeven" dataDxfId="46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D55EFFD-332E-4659-8AD4-350CA9E0C643}" name="Tabla336106734820" displayName="Tabla336106734820" ref="B16:AG36" totalsRowShown="0" headerRowDxfId="453" dataDxfId="452">
  <autoFilter ref="B16:AG36" xr:uid="{00000000-0009-0000-0100-000009000000}"/>
  <sortState xmlns:xlrd2="http://schemas.microsoft.com/office/spreadsheetml/2017/richdata2" ref="B17:AG36">
    <sortCondition descending="1" ref="D16:D36"/>
  </sortState>
  <tableColumns count="32">
    <tableColumn id="1" xr3:uid="{858B929A-2ECE-4C71-B826-FD2D74C7C29C}" name="Inst" dataDxfId="451"/>
    <tableColumn id="2" xr3:uid="{953F9AF4-FDE0-40DA-A873-4C31B8211867}" name="L/S" dataDxfId="450"/>
    <tableColumn id="3" xr3:uid="{241EFCFE-5673-44B6-A91B-5CB8A2D9BA91}" name="O/C" dataDxfId="449">
      <calculatedColumnFormula>IF(E17&lt;&gt;"",IF(K17&lt;&gt;"","C","O"),"")</calculatedColumnFormula>
    </tableColumn>
    <tableColumn id="4" xr3:uid="{4E1D303E-8351-4F72-921D-5D53BB530A99}" name="DATE" dataDxfId="448"/>
    <tableColumn id="5" xr3:uid="{163F4342-E6DA-4917-8787-9D2E343E5DD8}" name="INST." dataDxfId="447"/>
    <tableColumn id="6" xr3:uid="{5FCEF02C-0AB9-4F39-907A-6A4C74EC1AB5}" name="ENTRY " dataDxfId="446"/>
    <tableColumn id="7" xr3:uid="{0975BC57-F98B-47DA-8C23-3866F6E7125F}" name="STOP " dataDxfId="445"/>
    <tableColumn id="8" xr3:uid="{86C07F0D-3290-4459-A8D3-EF6FB74A7285}" name="TR_x000a_(in Pips)" dataDxfId="444">
      <calculatedColumnFormula>ABS(G17-H17)</calculatedColumnFormula>
    </tableColumn>
    <tableColumn id="9" xr3:uid="{CB2DD69F-700F-468E-86CD-1D5E7A906CB0}" name="TARGET" dataDxfId="443"/>
    <tableColumn id="10" xr3:uid="{C49D63D1-34AE-4BAE-94F2-C59DF3D928AF}" name="DATE2" dataDxfId="442"/>
    <tableColumn id="11" xr3:uid="{FC66C145-3358-45D7-9AD9-56C9A98C94A3}" name="EXIT" dataDxfId="441"/>
    <tableColumn id="12" xr3:uid="{B56E9FCD-1466-4066-985D-552663A1E03A}" name="RESULT" dataDxfId="440">
      <calculatedColumnFormula>ROUND(IF(C17="L",(L17-G17),(G17-L17)),4)</calculatedColumnFormula>
    </tableColumn>
    <tableColumn id="13" xr3:uid="{08FC2666-7AB9-4B9F-9A1E-0E31198A35BE}" name="No. of Rs" dataDxfId="439">
      <calculatedColumnFormula>IFERROR(ROUND((M17/I17),2),"")</calculatedColumnFormula>
    </tableColumn>
    <tableColumn id="14" xr3:uid="{6BE3C59F-D9BE-4A62-9D80-7261C8062DA4}" name="Heat" dataDxfId="438">
      <calculatedColumnFormula>IF(D17="O",IF(N17&lt;0,N17,0),0)</calculatedColumnFormula>
    </tableColumn>
    <tableColumn id="15" xr3:uid="{A4BD4CCD-24BE-461B-A686-EA026D1E05D0}" name=" TR WIN" dataDxfId="437">
      <calculatedColumnFormula>IF(N17&gt;= 0,N17,0)</calculatedColumnFormula>
    </tableColumn>
    <tableColumn id="16" xr3:uid="{FFFBAAF5-6C4F-440C-B822-95EC9A87BABF}" name=" TR LOSS" dataDxfId="436">
      <calculatedColumnFormula>IF(N17&lt;0,N17,0)</calculatedColumnFormula>
    </tableColumn>
    <tableColumn id="33" xr3:uid="{875B0417-04BA-41EF-B98E-AEF823F8B008}" name="Initial Losing Trade" dataDxfId="435">
      <calculatedColumnFormula>IF(AND(OFFSET(Tabla336106734820[[#This Row],[Equity]],1,0)="",Tabla336106734820[[#This Row],[No. of Rs]]&lt;0),"Yes",IF(AND(OFFSET(Tabla336106734820[[#This Row],[Initial Losing Trade]],1,0)="Yes",Tabla336106734820[[#This Row],[No. of Rs]]&lt;0),"Yes","No"))</calculatedColumnFormula>
    </tableColumn>
    <tableColumn id="30" xr3:uid="{DF8156E3-C75C-4133-8DD3-0519B464F2FB}" name="Equity" dataDxfId="434">
      <calculatedColumnFormula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calculatedColumnFormula>
    </tableColumn>
    <tableColumn id="32" xr3:uid="{84B15EB0-0F2F-4E62-8677-A413E9D2C030}" name="Equity Peak" dataDxfId="433">
      <calculatedColumnFormula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calculatedColumnFormula>
    </tableColumn>
    <tableColumn id="31" xr3:uid="{0212806E-941C-4CC0-8C67-4BFD658FBA56}" name="Drawdown" dataDxfId="432">
      <calculatedColumnFormula>IF(Tabla336106734820[[#This Row],[Equity]]&lt;Tabla336106734820[[#This Row],[Equity Peak]],(Tabla336106734820[[#This Row],[Equity Peak]]-Tabla336106734820[[#This Row],[Equity]])/Tabla336106734820[[#This Row],[Equity Peak]],"")</calculatedColumnFormula>
    </tableColumn>
    <tableColumn id="17" xr3:uid="{6245FE13-A7B3-4ED6-B560-8DFB84FDD70F}" name="Currency" dataDxfId="431">
      <calculatedColumnFormula>IF(B17="FX",N17,0)</calculatedColumnFormula>
    </tableColumn>
    <tableColumn id="18" xr3:uid="{F9D3199C-294A-45CF-923B-8ACB9BED9DE7}" name="Heat3" dataDxfId="430">
      <calculatedColumnFormula>IF(D17="O",IF(V17&lt;0,V17,0),0)</calculatedColumnFormula>
    </tableColumn>
    <tableColumn id="19" xr3:uid="{FE6EB8C2-7113-4966-A868-B538B16D5F7C}" name="Commodities" dataDxfId="429">
      <calculatedColumnFormula>IF(B17="COM",N17,0)</calculatedColumnFormula>
    </tableColumn>
    <tableColumn id="20" xr3:uid="{78DE7D1F-2446-450C-B155-47050E3A75DB}" name="Heat4" dataDxfId="428">
      <calculatedColumnFormula>IF(D17="O",IF(X17&lt;0,X17,0),0)</calculatedColumnFormula>
    </tableColumn>
    <tableColumn id="21" xr3:uid="{0F030171-2555-481A-A477-29DC4C86836E}" name="Index" dataDxfId="427">
      <calculatedColumnFormula>IF(B17="IND",N17,0)</calculatedColumnFormula>
    </tableColumn>
    <tableColumn id="22" xr3:uid="{56C944A0-7368-41FF-A503-A8402B42D61E}" name="Heat5" dataDxfId="426">
      <calculatedColumnFormula>IF(D17="O",IF(Z17&lt;0,Z17,0),0)</calculatedColumnFormula>
    </tableColumn>
    <tableColumn id="27" xr3:uid="{4B6276F4-3995-4F7F-9961-7B44A7C21D9C}" name="Cryptocurrency" dataDxfId="425">
      <calculatedColumnFormula>IF(B17="CRYPTO",N17,0)</calculatedColumnFormula>
    </tableColumn>
    <tableColumn id="28" xr3:uid="{D4235797-5BAE-4889-8EF8-709E06A020B8}" name="Heat6" dataDxfId="424">
      <calculatedColumnFormula>IF(D17="O",IF(AB17&lt;0,AB17,0),0)</calculatedColumnFormula>
    </tableColumn>
    <tableColumn id="23" xr3:uid="{83E98E5A-3A30-42EA-9901-01A8184FD4A7}" name="Length of _x000a_Trade" dataDxfId="423">
      <calculatedColumnFormula>IF(K17&lt;&gt;"",K17-E17,0)</calculatedColumnFormula>
    </tableColumn>
    <tableColumn id="24" xr3:uid="{13622C59-F1F6-4F56-8619-8D16FBBA1846}" name="Win" dataDxfId="422">
      <calculatedColumnFormula>IF(N17&gt;0,AD17,0)</calculatedColumnFormula>
    </tableColumn>
    <tableColumn id="25" xr3:uid="{295E6261-4D0B-4400-B4E3-F71DB39390A1}" name="Loss" dataDxfId="421">
      <calculatedColumnFormula>IF(N17&lt;0,AD17,0)</calculatedColumnFormula>
    </tableColumn>
    <tableColumn id="26" xr3:uid="{CEEFF8F1-3D26-4EC5-A38E-58DBD02A0816}" name="Breakeven" dataDxfId="42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A7EED59-A505-4735-ABB7-55238989D4F5}" name="Tabla33610673489" displayName="Tabla33610673489" ref="B16:AG38" totalsRowShown="0" headerRowDxfId="411" dataDxfId="410">
  <autoFilter ref="B16:AG38" xr:uid="{00000000-0009-0000-0100-000009000000}"/>
  <sortState xmlns:xlrd2="http://schemas.microsoft.com/office/spreadsheetml/2017/richdata2" ref="B17:AG38">
    <sortCondition descending="1" ref="D16:D38"/>
  </sortState>
  <tableColumns count="32">
    <tableColumn id="1" xr3:uid="{D6C25AA8-4C9C-4374-9E33-30642C2592D5}" name="Inst" dataDxfId="409"/>
    <tableColumn id="2" xr3:uid="{ED0142E5-5212-44A6-AB08-8DB8F9E569C2}" name="L/S" dataDxfId="408"/>
    <tableColumn id="3" xr3:uid="{B2D2BA38-01D7-4AE3-B499-D3ECEF8B4725}" name="O/C" dataDxfId="407">
      <calculatedColumnFormula>IF(E17&lt;&gt;"",IF(K17&lt;&gt;"","C","O"),"")</calculatedColumnFormula>
    </tableColumn>
    <tableColumn id="4" xr3:uid="{B3743894-D648-4D35-A15B-9B9558E30DE8}" name="DATE" dataDxfId="406"/>
    <tableColumn id="5" xr3:uid="{F5454CEC-36C1-4976-8CD4-82D6A3D21894}" name="INST." dataDxfId="405"/>
    <tableColumn id="6" xr3:uid="{8C24A514-6246-496A-AF9D-4ACFB58E380D}" name="ENTRY " dataDxfId="404"/>
    <tableColumn id="7" xr3:uid="{7ADCA3AF-6271-4FB2-8A0E-9565700BACF7}" name="STOP " dataDxfId="403"/>
    <tableColumn id="8" xr3:uid="{4B3EA27F-7DB2-4FA7-AC7A-9EC9DED54ECE}" name="TR_x000a_(in Pips)" dataDxfId="402">
      <calculatedColumnFormula>ABS(G17-H17)</calculatedColumnFormula>
    </tableColumn>
    <tableColumn id="9" xr3:uid="{7E529C42-0136-4CCF-80BC-812B6A412B84}" name="TARGET" dataDxfId="401"/>
    <tableColumn id="10" xr3:uid="{2D05E442-A103-4F70-9FF7-A12076B5A877}" name="DATE2" dataDxfId="400"/>
    <tableColumn id="11" xr3:uid="{33B1B2DD-DFB8-427B-9E29-9858708E7862}" name="EXIT" dataDxfId="399"/>
    <tableColumn id="12" xr3:uid="{0051016F-AC27-4A25-A8E2-C73C38B918ED}" name="RESULT" dataDxfId="398">
      <calculatedColumnFormula>ROUND(IF(C17="L",(L17-G17),(G17-L17)),4)</calculatedColumnFormula>
    </tableColumn>
    <tableColumn id="13" xr3:uid="{8BD635E1-035F-4173-9FD7-BD23E9C2F1AB}" name="No. of Rs" dataDxfId="397">
      <calculatedColumnFormula>IFERROR(ROUND((M17/I17),2),"")</calculatedColumnFormula>
    </tableColumn>
    <tableColumn id="14" xr3:uid="{41F8303F-F3AF-4509-BF3E-D8DFC1D35C59}" name="Heat" dataDxfId="396">
      <calculatedColumnFormula>IF(D17="O",IF(N17&lt;0,N17,0),0)</calculatedColumnFormula>
    </tableColumn>
    <tableColumn id="15" xr3:uid="{C9A6FAF0-29D3-4F6E-B0B6-8089D415A43C}" name=" TR WIN" dataDxfId="395">
      <calculatedColumnFormula>IF(N17&gt;= 0,N17,0)</calculatedColumnFormula>
    </tableColumn>
    <tableColumn id="16" xr3:uid="{21FB96AB-3116-4163-A142-4B3A7B732970}" name=" TR LOSS" dataDxfId="394">
      <calculatedColumnFormula>IF(N17&lt;0,N17,0)</calculatedColumnFormula>
    </tableColumn>
    <tableColumn id="33" xr3:uid="{710B54AA-28A2-46DD-B18B-3A11B05559E0}" name="Initial Losing Trade" dataDxfId="393">
      <calculatedColumnFormula>IF(AND(OFFSET(Tabla33610673489[[#This Row],[Equity]],1,0)="",Tabla33610673489[[#This Row],[No. of Rs]]&lt;0),"Yes",IF(AND(OFFSET(Tabla33610673489[[#This Row],[Initial Losing Trade]],1,0)="Yes",Tabla33610673489[[#This Row],[No. of Rs]]&lt;0),"Yes","No"))</calculatedColumnFormula>
    </tableColumn>
    <tableColumn id="30" xr3:uid="{9CF8498F-CA42-4CB4-823C-E9DAFB509E90}" name="Equity" dataDxfId="392">
      <calculatedColumnFormula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calculatedColumnFormula>
    </tableColumn>
    <tableColumn id="32" xr3:uid="{DD95A26B-747B-4511-8324-73B665FF7B65}" name="Equity Peak" dataDxfId="391">
      <calculatedColumnFormula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calculatedColumnFormula>
    </tableColumn>
    <tableColumn id="31" xr3:uid="{BE167F1E-AEA0-4324-ADCC-D0B12EC35DF9}" name="Drawdown" dataDxfId="390">
      <calculatedColumnFormula>IF(Tabla33610673489[[#This Row],[Equity]]&lt;Tabla33610673489[[#This Row],[Equity Peak]],(Tabla33610673489[[#This Row],[Equity Peak]]-Tabla33610673489[[#This Row],[Equity]])/Tabla33610673489[[#This Row],[Equity Peak]],"")</calculatedColumnFormula>
    </tableColumn>
    <tableColumn id="17" xr3:uid="{6979F90E-6CF9-41AF-B1B1-ABA0FCB21631}" name="Currency" dataDxfId="389">
      <calculatedColumnFormula>IF(B17="FX",N17,0)</calculatedColumnFormula>
    </tableColumn>
    <tableColumn id="18" xr3:uid="{06658DD1-6520-4EC1-9CE6-95E06F64CC91}" name="Heat3" dataDxfId="388">
      <calculatedColumnFormula>IF(D17="O",IF(V17&lt;0,V17,0),0)</calculatedColumnFormula>
    </tableColumn>
    <tableColumn id="19" xr3:uid="{5FB277B2-386D-4402-837B-EA650E616424}" name="Commodities" dataDxfId="387">
      <calculatedColumnFormula>IF(B17="COM",N17,0)</calculatedColumnFormula>
    </tableColumn>
    <tableColumn id="20" xr3:uid="{5C7BE74E-F7F1-4315-A7B7-08E1162BD6D9}" name="Heat4" dataDxfId="386">
      <calculatedColumnFormula>IF(D17="O",IF(X17&lt;0,X17,0),0)</calculatedColumnFormula>
    </tableColumn>
    <tableColumn id="21" xr3:uid="{12D25617-2543-43E6-AE08-AA62CF873488}" name="Index" dataDxfId="385">
      <calculatedColumnFormula>IF(B17="IND",N17,0)</calculatedColumnFormula>
    </tableColumn>
    <tableColumn id="22" xr3:uid="{9ABEC3C0-DBA3-4935-B18C-BAEFD7201FC7}" name="Heat5" dataDxfId="384">
      <calculatedColumnFormula>IF(D17="O",IF(Z17&lt;0,Z17,0),0)</calculatedColumnFormula>
    </tableColumn>
    <tableColumn id="27" xr3:uid="{55418DE8-28F4-4F5B-AA7C-47249CE78957}" name="Cryptocurrency" dataDxfId="383">
      <calculatedColumnFormula>IF(B17="CRYPTO",N17,0)</calculatedColumnFormula>
    </tableColumn>
    <tableColumn id="28" xr3:uid="{CBE36B60-65F8-4EC6-872E-B967011C689F}" name="Heat6" dataDxfId="382">
      <calculatedColumnFormula>IF(D17="O",IF(AB17&lt;0,AB17,0),0)</calculatedColumnFormula>
    </tableColumn>
    <tableColumn id="23" xr3:uid="{7ACCB82F-9042-42B9-BCC3-FFF03C909595}" name="Length of _x000a_Trade" dataDxfId="381">
      <calculatedColumnFormula>IF(K17&lt;&gt;"",K17-E17,0)</calculatedColumnFormula>
    </tableColumn>
    <tableColumn id="24" xr3:uid="{F8BA6D8E-C951-4D69-BAF3-0DF90BD3EC5E}" name="Win" dataDxfId="380">
      <calculatedColumnFormula>IF(N17&gt;0,AD17,0)</calculatedColumnFormula>
    </tableColumn>
    <tableColumn id="25" xr3:uid="{282D384C-AB75-4CC3-B2B2-AC2D24FBD8B7}" name="Loss" dataDxfId="379">
      <calculatedColumnFormula>IF(N17&lt;0,AD17,0)</calculatedColumnFormula>
    </tableColumn>
    <tableColumn id="26" xr3:uid="{56EB4FBA-C987-48E0-A9B4-2E455009D843}" name="Breakeven" dataDxfId="37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CC8C6AD-D1E5-4844-AD94-4443A1184A63}" name="Tabla336106734821" displayName="Tabla336106734821" ref="B16:AG36" totalsRowShown="0" headerRowDxfId="369" dataDxfId="368">
  <autoFilter ref="B16:AG36" xr:uid="{00000000-0009-0000-0100-000009000000}"/>
  <sortState xmlns:xlrd2="http://schemas.microsoft.com/office/spreadsheetml/2017/richdata2" ref="B17:AG36">
    <sortCondition descending="1" ref="D16:D36"/>
  </sortState>
  <tableColumns count="32">
    <tableColumn id="1" xr3:uid="{3FBF67C7-4E04-471C-A975-DA96E5F7A08B}" name="Inst" dataDxfId="367"/>
    <tableColumn id="2" xr3:uid="{5137A883-ADE9-4CFB-AD76-68588BD29B5F}" name="L/S" dataDxfId="366"/>
    <tableColumn id="3" xr3:uid="{6BAF27B1-C264-4CA5-8163-772E96077465}" name="O/C" dataDxfId="365">
      <calculatedColumnFormula>IF(E17&lt;&gt;"",IF(K17&lt;&gt;"","C","O"),"")</calculatedColumnFormula>
    </tableColumn>
    <tableColumn id="4" xr3:uid="{C22704A5-01B5-480A-90BC-A4D680092E24}" name="DATE" dataDxfId="364"/>
    <tableColumn id="5" xr3:uid="{D8F8E754-52F4-41AA-9793-FE0A82DC1F6B}" name="INST." dataDxfId="363"/>
    <tableColumn id="6" xr3:uid="{242351F4-7937-4E4E-9031-155F32EAD725}" name="ENTRY " dataDxfId="362"/>
    <tableColumn id="7" xr3:uid="{E03B5EAB-2984-4503-857D-E8FF21B2B52D}" name="STOP " dataDxfId="361"/>
    <tableColumn id="8" xr3:uid="{2988A678-19ED-43B2-A0C8-7B075552B066}" name="TR_x000a_(in Pips)" dataDxfId="360">
      <calculatedColumnFormula>ABS(G17-H17)</calculatedColumnFormula>
    </tableColumn>
    <tableColumn id="9" xr3:uid="{45048CB5-9787-4D8C-95A9-08B3720972FF}" name="TARGET" dataDxfId="359"/>
    <tableColumn id="10" xr3:uid="{84AE38C6-F74B-4DBA-BFE3-826F47663CC1}" name="DATE2" dataDxfId="358"/>
    <tableColumn id="11" xr3:uid="{4D9BD64C-E3EA-4BFA-8B8E-9A270DB22947}" name="EXIT" dataDxfId="357"/>
    <tableColumn id="12" xr3:uid="{81CAA357-391B-46B7-9251-F2810F9A75C4}" name="RESULT" dataDxfId="356">
      <calculatedColumnFormula>ROUND(IF(C17="L",(L17-G17),(G17-L17)),4)</calculatedColumnFormula>
    </tableColumn>
    <tableColumn id="13" xr3:uid="{C48E48FA-2D8F-491A-941B-75EB4A7DC1DD}" name="No. of Rs" dataDxfId="355">
      <calculatedColumnFormula>IFERROR(ROUND((M17/I17),2),"")</calculatedColumnFormula>
    </tableColumn>
    <tableColumn id="14" xr3:uid="{A6AF1E0B-8F0A-43B9-AF76-4BE5D80AFBA5}" name="Heat" dataDxfId="354">
      <calculatedColumnFormula>IF(D17="O",IF(N17&lt;0,N17,0),0)</calculatedColumnFormula>
    </tableColumn>
    <tableColumn id="15" xr3:uid="{BBB8DD55-008B-4AD2-BB15-E898A094B856}" name=" TR WIN" dataDxfId="353">
      <calculatedColumnFormula>IF(N17&gt;= 0,N17,0)</calculatedColumnFormula>
    </tableColumn>
    <tableColumn id="16" xr3:uid="{EB332983-EB98-45BE-AA76-A4DAE237923E}" name=" TR LOSS" dataDxfId="352">
      <calculatedColumnFormula>IF(N17&lt;0,N17,0)</calculatedColumnFormula>
    </tableColumn>
    <tableColumn id="33" xr3:uid="{BF4689BA-5545-4643-A61A-CEFD9FA75D71}" name="Initial Losing Trade" dataDxfId="351">
      <calculatedColumnFormula>IF(AND(OFFSET(Tabla336106734821[[#This Row],[Equity]],1,0)="",Tabla336106734821[[#This Row],[No. of Rs]]&lt;0),"Yes",IF(AND(OFFSET(Tabla336106734821[[#This Row],[Initial Losing Trade]],1,0)="Yes",Tabla336106734821[[#This Row],[No. of Rs]]&lt;0),"Yes","No"))</calculatedColumnFormula>
    </tableColumn>
    <tableColumn id="30" xr3:uid="{4E861751-C979-466E-8C04-F63F0419C297}" name="Equity" dataDxfId="350">
      <calculatedColumnFormula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calculatedColumnFormula>
    </tableColumn>
    <tableColumn id="32" xr3:uid="{B83B9994-8120-4DE5-8E99-4857F5DED035}" name="Equity Peak" dataDxfId="349">
      <calculatedColumnFormula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calculatedColumnFormula>
    </tableColumn>
    <tableColumn id="31" xr3:uid="{815A20C6-8C68-422D-8009-08B288412650}" name="Drawdown" dataDxfId="348">
      <calculatedColumnFormula>IF(Tabla336106734821[[#This Row],[Equity]]&lt;Tabla336106734821[[#This Row],[Equity Peak]],(Tabla336106734821[[#This Row],[Equity Peak]]-Tabla336106734821[[#This Row],[Equity]])/Tabla336106734821[[#This Row],[Equity Peak]],"")</calculatedColumnFormula>
    </tableColumn>
    <tableColumn id="17" xr3:uid="{703AF3AE-4FF9-48A4-A8B7-46836C02F63A}" name="Currency" dataDxfId="347">
      <calculatedColumnFormula>IF(B17="FX",N17,0)</calculatedColumnFormula>
    </tableColumn>
    <tableColumn id="18" xr3:uid="{4A27A7F7-5A0C-4579-B012-9B622FD9A558}" name="Heat3" dataDxfId="346">
      <calculatedColumnFormula>IF(D17="O",IF(V17&lt;0,V17,0),0)</calculatedColumnFormula>
    </tableColumn>
    <tableColumn id="19" xr3:uid="{1BC1B91E-66F0-428F-9443-28AA2AFED178}" name="Commodities" dataDxfId="345">
      <calculatedColumnFormula>IF(B17="COM",N17,0)</calculatedColumnFormula>
    </tableColumn>
    <tableColumn id="20" xr3:uid="{A2C85671-3773-46D2-B539-B255F51AE9BF}" name="Heat4" dataDxfId="344">
      <calculatedColumnFormula>IF(D17="O",IF(X17&lt;0,X17,0),0)</calculatedColumnFormula>
    </tableColumn>
    <tableColumn id="21" xr3:uid="{9F41A49C-D9F9-4031-816D-BAC61AF58F97}" name="Index" dataDxfId="343">
      <calculatedColumnFormula>IF(B17="IND",N17,0)</calculatedColumnFormula>
    </tableColumn>
    <tableColumn id="22" xr3:uid="{1B96DD1E-8D70-4E26-913A-5A07656F04C6}" name="Heat5" dataDxfId="342">
      <calculatedColumnFormula>IF(D17="O",IF(Z17&lt;0,Z17,0),0)</calculatedColumnFormula>
    </tableColumn>
    <tableColumn id="27" xr3:uid="{71B9F141-E64F-4328-8C28-41CA95378FC7}" name="Cryptocurrency" dataDxfId="341">
      <calculatedColumnFormula>IF(B17="CRYPTO",N17,0)</calculatedColumnFormula>
    </tableColumn>
    <tableColumn id="28" xr3:uid="{402929B6-B3DB-494E-A25F-EF21F767C78A}" name="Heat6" dataDxfId="340">
      <calculatedColumnFormula>IF(D17="O",IF(AB17&lt;0,AB17,0),0)</calculatedColumnFormula>
    </tableColumn>
    <tableColumn id="23" xr3:uid="{1C4B9500-34A5-4D0A-AF18-C87BA0D9AA91}" name="Length of _x000a_Trade" dataDxfId="339">
      <calculatedColumnFormula>IF(K17&lt;&gt;"",K17-E17,0)</calculatedColumnFormula>
    </tableColumn>
    <tableColumn id="24" xr3:uid="{B6DD69A3-EC61-466D-B809-FB3BA6972DA8}" name="Win" dataDxfId="338">
      <calculatedColumnFormula>IF(N17&gt;0,AD17,0)</calculatedColumnFormula>
    </tableColumn>
    <tableColumn id="25" xr3:uid="{88377105-E046-44A6-B715-86D460078C1B}" name="Loss" dataDxfId="337">
      <calculatedColumnFormula>IF(N17&lt;0,AD17,0)</calculatedColumnFormula>
    </tableColumn>
    <tableColumn id="26" xr3:uid="{DC48B68A-B186-4E6F-8A08-4997BE86F0B1}" name="Breakeven" dataDxfId="33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00855CC-EEB5-4FC2-9FA5-63AD769B2CBE}" name="Tabla336106734822" displayName="Tabla336106734822" ref="B16:AG34" totalsRowShown="0" headerRowDxfId="327" dataDxfId="326">
  <autoFilter ref="B16:AG34" xr:uid="{00000000-0009-0000-0100-000009000000}"/>
  <sortState xmlns:xlrd2="http://schemas.microsoft.com/office/spreadsheetml/2017/richdata2" ref="B17:AG34">
    <sortCondition descending="1" ref="D16:D34"/>
  </sortState>
  <tableColumns count="32">
    <tableColumn id="1" xr3:uid="{1FE7D0F5-3BC8-435C-AA10-FB7481B3F28B}" name="Inst" dataDxfId="325"/>
    <tableColumn id="2" xr3:uid="{F14D403F-FDF0-48A0-89CC-AC9A4EC6BBEA}" name="L/S" dataDxfId="324"/>
    <tableColumn id="3" xr3:uid="{BABF426E-8996-4F93-98CF-405C11D11D5C}" name="O/C" dataDxfId="323">
      <calculatedColumnFormula>IF(E17&lt;&gt;"",IF(K17&lt;&gt;"","C","O"),"")</calculatedColumnFormula>
    </tableColumn>
    <tableColumn id="4" xr3:uid="{556729D9-07C4-42B2-8670-43D15AC8B7CB}" name="DATE" dataDxfId="322"/>
    <tableColumn id="5" xr3:uid="{04FCB49D-56F4-4409-83C4-13C654659D66}" name="INST." dataDxfId="321"/>
    <tableColumn id="6" xr3:uid="{705D341C-033E-42C6-B5C1-EA46AD716229}" name="ENTRY " dataDxfId="320"/>
    <tableColumn id="7" xr3:uid="{3F1BB6D0-D438-4E3E-ADC4-1D9A72BAAD25}" name="STOP " dataDxfId="319"/>
    <tableColumn id="8" xr3:uid="{74F159B2-4692-4B56-BDA4-FE372933EEA0}" name="TR_x000a_(in Pips)" dataDxfId="318">
      <calculatedColumnFormula>ABS(G17-H17)</calculatedColumnFormula>
    </tableColumn>
    <tableColumn id="9" xr3:uid="{C1938395-05B3-4066-915D-DA4C92C4ED58}" name="TARGET" dataDxfId="317"/>
    <tableColumn id="10" xr3:uid="{A415B6C8-EDF9-4C36-BD66-565B733B8D98}" name="DATE2" dataDxfId="316"/>
    <tableColumn id="11" xr3:uid="{0EC4D595-F438-47BC-9D5D-B4667FB4CA73}" name="EXIT" dataDxfId="315"/>
    <tableColumn id="12" xr3:uid="{3F86AFF9-F54A-4DC2-A40B-B58D59F03ACB}" name="RESULT" dataDxfId="314">
      <calculatedColumnFormula>ROUND(IF(C17="L",(L17-G17),(G17-L17)),4)</calculatedColumnFormula>
    </tableColumn>
    <tableColumn id="13" xr3:uid="{15938DD7-07D4-4653-BE15-3EBA8A9CFCAA}" name="No. of Rs" dataDxfId="313">
      <calculatedColumnFormula>IFERROR(ROUND((M17/I17),2),"")</calculatedColumnFormula>
    </tableColumn>
    <tableColumn id="14" xr3:uid="{7A933EB0-5C53-4732-893C-6D28A3A7EDD8}" name="Heat" dataDxfId="312">
      <calculatedColumnFormula>IF(D17="O",IF(N17&lt;0,N17,0),0)</calculatedColumnFormula>
    </tableColumn>
    <tableColumn id="15" xr3:uid="{FC97ACB5-5968-421E-82B6-63926C934D7D}" name=" TR WIN" dataDxfId="311">
      <calculatedColumnFormula>IF(N17&gt;= 0,N17,0)</calculatedColumnFormula>
    </tableColumn>
    <tableColumn id="16" xr3:uid="{4F82BFB5-DC62-4607-8641-AD1A61185BDA}" name=" TR LOSS" dataDxfId="310">
      <calculatedColumnFormula>IF(N17&lt;0,N17,0)</calculatedColumnFormula>
    </tableColumn>
    <tableColumn id="33" xr3:uid="{A1AFC65E-32D9-42AC-A777-AE2C961A7EE8}" name="Initial Losing Trade" dataDxfId="309">
      <calculatedColumnFormula>IF(AND(OFFSET(Tabla336106734822[[#This Row],[Equity]],1,0)="",Tabla336106734822[[#This Row],[No. of Rs]]&lt;0),"Yes",IF(AND(OFFSET(Tabla336106734822[[#This Row],[Initial Losing Trade]],1,0)="Yes",Tabla336106734822[[#This Row],[No. of Rs]]&lt;0),"Yes","No"))</calculatedColumnFormula>
    </tableColumn>
    <tableColumn id="30" xr3:uid="{72CCDF60-50F7-4472-B82E-653BDEE79660}" name="Equity" dataDxfId="308">
      <calculatedColumnFormula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calculatedColumnFormula>
    </tableColumn>
    <tableColumn id="32" xr3:uid="{4194D849-A4A9-416D-B48B-5CB2C341D5C7}" name="Equity Peak" dataDxfId="307">
      <calculatedColumnFormula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calculatedColumnFormula>
    </tableColumn>
    <tableColumn id="31" xr3:uid="{1E30D88E-B514-4B55-91D6-8C456AF5056C}" name="Drawdown" dataDxfId="306">
      <calculatedColumnFormula>IF(Tabla336106734822[[#This Row],[Equity]]&lt;Tabla336106734822[[#This Row],[Equity Peak]],(Tabla336106734822[[#This Row],[Equity Peak]]-Tabla336106734822[[#This Row],[Equity]])/Tabla336106734822[[#This Row],[Equity Peak]],"")</calculatedColumnFormula>
    </tableColumn>
    <tableColumn id="17" xr3:uid="{2A11015F-F975-4DE1-96F0-5FCBB24679C4}" name="Currency" dataDxfId="305">
      <calculatedColumnFormula>IF(B17="FX",N17,0)</calculatedColumnFormula>
    </tableColumn>
    <tableColumn id="18" xr3:uid="{9D949FE1-38B0-4493-89B3-3A33CCE76245}" name="Heat3" dataDxfId="304">
      <calculatedColumnFormula>IF(D17="O",IF(V17&lt;0,V17,0),0)</calculatedColumnFormula>
    </tableColumn>
    <tableColumn id="19" xr3:uid="{C9850E13-BA12-45DA-9453-5FD37631A22E}" name="Commodities" dataDxfId="303">
      <calculatedColumnFormula>IF(B17="COM",N17,0)</calculatedColumnFormula>
    </tableColumn>
    <tableColumn id="20" xr3:uid="{D43625F9-4CE5-413C-AD0B-BB32C384E088}" name="Heat4" dataDxfId="302">
      <calculatedColumnFormula>IF(D17="O",IF(X17&lt;0,X17,0),0)</calculatedColumnFormula>
    </tableColumn>
    <tableColumn id="21" xr3:uid="{982220ED-1820-4275-A448-CD3929243973}" name="Index" dataDxfId="301">
      <calculatedColumnFormula>IF(B17="IND",N17,0)</calculatedColumnFormula>
    </tableColumn>
    <tableColumn id="22" xr3:uid="{ECBC1292-FFAE-43B4-84AC-7D4025CBB69E}" name="Heat5" dataDxfId="300">
      <calculatedColumnFormula>IF(D17="O",IF(Z17&lt;0,Z17,0),0)</calculatedColumnFormula>
    </tableColumn>
    <tableColumn id="27" xr3:uid="{634DF477-B7B9-4A3C-8AAA-5B2B910E0993}" name="Cryptocurrency" dataDxfId="299">
      <calculatedColumnFormula>IF(B17="CRYPTO",N17,0)</calculatedColumnFormula>
    </tableColumn>
    <tableColumn id="28" xr3:uid="{57A40559-82FB-4C41-B5F0-1B6B5E48A69B}" name="Heat6" dataDxfId="298">
      <calculatedColumnFormula>IF(D17="O",IF(AB17&lt;0,AB17,0),0)</calculatedColumnFormula>
    </tableColumn>
    <tableColumn id="23" xr3:uid="{37E1C39D-DEBD-4DCF-A874-DB952341EE65}" name="Length of _x000a_Trade" dataDxfId="297">
      <calculatedColumnFormula>IF(K17&lt;&gt;"",K17-E17,0)</calculatedColumnFormula>
    </tableColumn>
    <tableColumn id="24" xr3:uid="{B51BD5C3-DF56-4F2F-8B67-D78D497269B2}" name="Win" dataDxfId="296">
      <calculatedColumnFormula>IF(N17&gt;0,AD17,0)</calculatedColumnFormula>
    </tableColumn>
    <tableColumn id="25" xr3:uid="{B5408AC8-4FD2-4E3A-96F4-7BB404E4FD6D}" name="Loss" dataDxfId="295">
      <calculatedColumnFormula>IF(N17&lt;0,AD17,0)</calculatedColumnFormula>
    </tableColumn>
    <tableColumn id="26" xr3:uid="{4FEBAC16-FDDE-4677-907B-1C14BFEE684E}" name="Breakeven" dataDxfId="29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8464C3-384A-4632-AD06-3E3BF4C9D76C}" name="Tabla336106734810" displayName="Tabla336106734810" ref="B16:AG24" totalsRowShown="0" headerRowDxfId="285" dataDxfId="284">
  <autoFilter ref="B16:AG24" xr:uid="{00000000-0009-0000-0100-000009000000}"/>
  <sortState xmlns:xlrd2="http://schemas.microsoft.com/office/spreadsheetml/2017/richdata2" ref="B17:AG24">
    <sortCondition descending="1" ref="D16:D24"/>
  </sortState>
  <tableColumns count="32">
    <tableColumn id="1" xr3:uid="{298990E8-D8BD-4720-A4C9-51EB7F96E208}" name="Inst" dataDxfId="283"/>
    <tableColumn id="2" xr3:uid="{6A51912E-7EF0-4F7A-9E9D-6E0917E07758}" name="L/S" dataDxfId="282"/>
    <tableColumn id="3" xr3:uid="{EA085394-568D-4EF7-A943-9A25D9349042}" name="O/C" dataDxfId="281">
      <calculatedColumnFormula>IF(E17&lt;&gt;"",IF(K17&lt;&gt;"","C","O"),"")</calculatedColumnFormula>
    </tableColumn>
    <tableColumn id="4" xr3:uid="{5D0D52E0-2786-4DD1-A3EF-1E91DE83EB9C}" name="DATE" dataDxfId="280"/>
    <tableColumn id="5" xr3:uid="{5E685B8B-61ED-45BC-A83E-2B6EEE8A56BA}" name="INST." dataDxfId="279"/>
    <tableColumn id="6" xr3:uid="{6CE941AA-890C-4278-9F76-D71B181D2179}" name="ENTRY " dataDxfId="278"/>
    <tableColumn id="7" xr3:uid="{24006556-A6D7-457F-8244-A8C60307A3B9}" name="STOP " dataDxfId="277"/>
    <tableColumn id="8" xr3:uid="{FF5475CF-43F9-4532-A8C7-30E19C55B2BC}" name="TR_x000a_(in Pips)" dataDxfId="276">
      <calculatedColumnFormula>ABS(G17-H17)</calculatedColumnFormula>
    </tableColumn>
    <tableColumn id="9" xr3:uid="{DFB04AC0-77FC-470C-B845-ED5FA1BEA83E}" name="TARGET" dataDxfId="275"/>
    <tableColumn id="10" xr3:uid="{684F1373-8CE2-47A0-B46D-F5164A05CCE5}" name="DATE2" dataDxfId="274"/>
    <tableColumn id="11" xr3:uid="{DB7EC1AC-2156-4FAA-AF98-7F331047E660}" name="EXIT" dataDxfId="273"/>
    <tableColumn id="12" xr3:uid="{6BF07722-2C56-4057-91E3-0ED790FA9103}" name="RESULT" dataDxfId="272">
      <calculatedColumnFormula>ROUND(IF(C17="L",(L17-G17),(G17-L17)),4)</calculatedColumnFormula>
    </tableColumn>
    <tableColumn id="13" xr3:uid="{AF978F4E-DA74-4B85-93A5-4BC294C97E8F}" name="No. of Rs" dataDxfId="271">
      <calculatedColumnFormula>IFERROR(ROUND((M17/I17),2),"")</calculatedColumnFormula>
    </tableColumn>
    <tableColumn id="14" xr3:uid="{42296D02-EE5F-4AEF-ABA7-31B4933FD0DB}" name="Heat" dataDxfId="270">
      <calculatedColumnFormula>IF(D17="O",IF(N17&lt;0,N17,0),0)</calculatedColumnFormula>
    </tableColumn>
    <tableColumn id="15" xr3:uid="{44AF871E-C29F-4F08-8B2A-D063011CA8F6}" name=" TR WIN" dataDxfId="269">
      <calculatedColumnFormula>IF(N17&gt;= 0,N17,0)</calculatedColumnFormula>
    </tableColumn>
    <tableColumn id="16" xr3:uid="{5A161A08-0860-4E32-A3F5-2AA346FD6261}" name=" TR LOSS" dataDxfId="268">
      <calculatedColumnFormula>IF(N17&lt;0,N17,0)</calculatedColumnFormula>
    </tableColumn>
    <tableColumn id="33" xr3:uid="{05F83F5D-73D1-459D-84E3-022DBCBE7CB0}" name="Initial Losing Trade" dataDxfId="267">
      <calculatedColumnFormula>IF(AND(OFFSET(Tabla336106734810[[#This Row],[Equity]],1,0)="",Tabla336106734810[[#This Row],[No. of Rs]]&lt;0),"Yes",IF(AND(OFFSET(Tabla336106734810[[#This Row],[Initial Losing Trade]],1,0)="Yes",Tabla336106734810[[#This Row],[No. of Rs]]&lt;0),"Yes","No"))</calculatedColumnFormula>
    </tableColumn>
    <tableColumn id="30" xr3:uid="{F9924444-10C7-487B-B02E-64F4A1D00375}" name="Equity" dataDxfId="266">
      <calculatedColumnFormula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calculatedColumnFormula>
    </tableColumn>
    <tableColumn id="32" xr3:uid="{14330FB8-B0DB-4EDA-8E44-4735D83A3F48}" name="Equity Peak" dataDxfId="265">
      <calculatedColumnFormula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calculatedColumnFormula>
    </tableColumn>
    <tableColumn id="31" xr3:uid="{DE73C393-DB7B-4221-8129-754DD53D0B52}" name="Drawdown" dataDxfId="264">
      <calculatedColumnFormula>IF(Tabla336106734810[[#This Row],[Equity]]&lt;Tabla336106734810[[#This Row],[Equity Peak]],(Tabla336106734810[[#This Row],[Equity Peak]]-Tabla336106734810[[#This Row],[Equity]])/Tabla336106734810[[#This Row],[Equity Peak]],"")</calculatedColumnFormula>
    </tableColumn>
    <tableColumn id="17" xr3:uid="{E832EA41-CCF7-4274-B7A7-F37B244136B2}" name="Currency" dataDxfId="263">
      <calculatedColumnFormula>IF(B17="FX",N17,0)</calculatedColumnFormula>
    </tableColumn>
    <tableColumn id="18" xr3:uid="{4D1D7E25-C875-40BA-AFA3-63B485D6CCAD}" name="Heat3" dataDxfId="262">
      <calculatedColumnFormula>IF(D17="O",IF(V17&lt;0,V17,0),0)</calculatedColumnFormula>
    </tableColumn>
    <tableColumn id="19" xr3:uid="{6AD69C0C-A236-4F46-BD44-1866540BE721}" name="Commodities" dataDxfId="261">
      <calculatedColumnFormula>IF(B17="COM",N17,0)</calculatedColumnFormula>
    </tableColumn>
    <tableColumn id="20" xr3:uid="{62440544-E31C-48F7-B0A6-4C90570A8695}" name="Heat4" dataDxfId="260">
      <calculatedColumnFormula>IF(D17="O",IF(X17&lt;0,X17,0),0)</calculatedColumnFormula>
    </tableColumn>
    <tableColumn id="21" xr3:uid="{7165CDF9-8F23-4F73-B840-9197731E888E}" name="Index" dataDxfId="259">
      <calculatedColumnFormula>IF(B17="IND",N17,0)</calculatedColumnFormula>
    </tableColumn>
    <tableColumn id="22" xr3:uid="{1ADDDF1C-22CB-449B-9B58-D23DB881D344}" name="Heat5" dataDxfId="258">
      <calculatedColumnFormula>IF(D17="O",IF(Z17&lt;0,Z17,0),0)</calculatedColumnFormula>
    </tableColumn>
    <tableColumn id="27" xr3:uid="{51AD1466-1544-4D4D-97AC-ABF2DB15718D}" name="Cryptocurrency" dataDxfId="257">
      <calculatedColumnFormula>IF(B17="CRYPTO",N17,0)</calculatedColumnFormula>
    </tableColumn>
    <tableColumn id="28" xr3:uid="{3C0EDA77-1466-4CD9-8804-9803E2B71356}" name="Heat6" dataDxfId="256">
      <calculatedColumnFormula>IF(D17="O",IF(AB17&lt;0,AB17,0),0)</calculatedColumnFormula>
    </tableColumn>
    <tableColumn id="23" xr3:uid="{2CD3BFE0-8262-4810-919E-F980DCC46BC8}" name="Length of _x000a_Trade" dataDxfId="255">
      <calculatedColumnFormula>IF(K17&lt;&gt;"",K17-E17,0)</calculatedColumnFormula>
    </tableColumn>
    <tableColumn id="24" xr3:uid="{8B33B193-6B1F-4787-BCD3-279A4B0DD8DC}" name="Win" dataDxfId="254">
      <calculatedColumnFormula>IF(N17&gt;0,AD17,0)</calculatedColumnFormula>
    </tableColumn>
    <tableColumn id="25" xr3:uid="{230DBCE2-03E1-467C-ABA8-54A3B568751B}" name="Loss" dataDxfId="253">
      <calculatedColumnFormula>IF(N17&lt;0,AD17,0)</calculatedColumnFormula>
    </tableColumn>
    <tableColumn id="26" xr3:uid="{4288B496-5D73-415A-B257-866325B914AF}" name="Breakeven" dataDxfId="25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77C6D2A-1FDB-41FD-AF1C-1963A7490F74}" name="Tabla336106734811" displayName="Tabla336106734811" ref="B16:AG28" totalsRowShown="0" headerRowDxfId="243" dataDxfId="242">
  <autoFilter ref="B16:AG28" xr:uid="{00000000-0009-0000-0100-000009000000}"/>
  <sortState xmlns:xlrd2="http://schemas.microsoft.com/office/spreadsheetml/2017/richdata2" ref="B17:AG28">
    <sortCondition descending="1" ref="D16:D28"/>
  </sortState>
  <tableColumns count="32">
    <tableColumn id="1" xr3:uid="{FF1E4D5D-EA8E-414A-9586-A4E0841AD60A}" name="Inst" dataDxfId="241"/>
    <tableColumn id="2" xr3:uid="{5FEF7A20-2C02-4C7B-819D-315126E706FA}" name="L/S" dataDxfId="240"/>
    <tableColumn id="3" xr3:uid="{9E32EB8B-F3B0-4D8A-872D-59D492AD9B83}" name="O/C" dataDxfId="239">
      <calculatedColumnFormula>IF(E17&lt;&gt;"",IF(K17&lt;&gt;"","C","O"),"")</calculatedColumnFormula>
    </tableColumn>
    <tableColumn id="4" xr3:uid="{2C2EB770-50EB-457D-B75F-FDFEA71CF28F}" name="DATE" dataDxfId="238"/>
    <tableColumn id="5" xr3:uid="{C788ACE4-6254-4F88-96FB-59066F6B2C1A}" name="INST." dataDxfId="237"/>
    <tableColumn id="6" xr3:uid="{07469194-375A-4E48-87A8-5636749F8782}" name="ENTRY " dataDxfId="236"/>
    <tableColumn id="7" xr3:uid="{EA2F072A-33BD-47D3-A2CA-CD7116B7361E}" name="STOP " dataDxfId="235"/>
    <tableColumn id="8" xr3:uid="{0BC93AD0-F67A-47C4-8DF0-44264358FEA6}" name="TR_x000a_(in Pips)" dataDxfId="234">
      <calculatedColumnFormula>ABS(G17-H17)</calculatedColumnFormula>
    </tableColumn>
    <tableColumn id="9" xr3:uid="{D4BE0477-9071-45AD-B62E-A259B8BD7600}" name="TARGET" dataDxfId="233"/>
    <tableColumn id="10" xr3:uid="{693B6F3C-D122-4CE6-A9A3-BC1838D89746}" name="DATE2" dataDxfId="232"/>
    <tableColumn id="11" xr3:uid="{2B4F6125-9E2C-44E4-8B66-EFF697F7CFD0}" name="EXIT" dataDxfId="231"/>
    <tableColumn id="12" xr3:uid="{DAB7F0CC-EF56-47C5-B7B1-BB6F814B78AD}" name="RESULT" dataDxfId="230">
      <calculatedColumnFormula>ROUND(IF(C17="L",(L17-G17),(G17-L17)),4)</calculatedColumnFormula>
    </tableColumn>
    <tableColumn id="13" xr3:uid="{28DB8BF7-9D3B-4BA9-9B50-64A598BAD451}" name="No. of Rs" dataDxfId="229">
      <calculatedColumnFormula>IFERROR(ROUND((M17/I17),2),"")</calculatedColumnFormula>
    </tableColumn>
    <tableColumn id="14" xr3:uid="{F3D66531-B53E-464F-A0B5-3BEA25466A35}" name="Heat" dataDxfId="228">
      <calculatedColumnFormula>IF(D17="O",IF(N17&lt;0,N17,0),0)</calculatedColumnFormula>
    </tableColumn>
    <tableColumn id="15" xr3:uid="{486CDF2E-CACB-44E1-AA0C-BF7E7D3E55CB}" name=" TR WIN" dataDxfId="227">
      <calculatedColumnFormula>IF(N17&gt;= 0,N17,0)</calculatedColumnFormula>
    </tableColumn>
    <tableColumn id="16" xr3:uid="{E08DBB0B-BBD8-40A2-968B-4A74EE33E028}" name=" TR LOSS" dataDxfId="226">
      <calculatedColumnFormula>IF(N17&lt;0,N17,0)</calculatedColumnFormula>
    </tableColumn>
    <tableColumn id="33" xr3:uid="{04AE0A89-43B3-4DA6-A953-0DAF9CD60527}" name="Initial Losing Trade" dataDxfId="225">
      <calculatedColumnFormula>IF(AND(OFFSET(Tabla336106734811[[#This Row],[Equity]],1,0)="",Tabla336106734811[[#This Row],[No. of Rs]]&lt;0),"Yes",IF(AND(OFFSET(Tabla336106734811[[#This Row],[Initial Losing Trade]],1,0)="Yes",Tabla336106734811[[#This Row],[No. of Rs]]&lt;0),"Yes","No"))</calculatedColumnFormula>
    </tableColumn>
    <tableColumn id="30" xr3:uid="{456A6795-EAFA-4469-AD48-D11105B7CDF4}" name="Equity" dataDxfId="224">
      <calculatedColumnFormula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calculatedColumnFormula>
    </tableColumn>
    <tableColumn id="32" xr3:uid="{F1F127AC-E396-46B3-83FF-4022821D67B3}" name="Equity Peak" dataDxfId="223">
      <calculatedColumnFormula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calculatedColumnFormula>
    </tableColumn>
    <tableColumn id="31" xr3:uid="{64D8F805-D9CD-48E2-BA81-6F3636097B00}" name="Drawdown" dataDxfId="222">
      <calculatedColumnFormula>IF(Tabla336106734811[[#This Row],[Equity]]&lt;Tabla336106734811[[#This Row],[Equity Peak]],(Tabla336106734811[[#This Row],[Equity Peak]]-Tabla336106734811[[#This Row],[Equity]])/Tabla336106734811[[#This Row],[Equity Peak]],"")</calculatedColumnFormula>
    </tableColumn>
    <tableColumn id="17" xr3:uid="{DBCEE32D-A82C-4493-B189-1095E1441A8B}" name="Currency" dataDxfId="221">
      <calculatedColumnFormula>IF(B17="FX",N17,0)</calculatedColumnFormula>
    </tableColumn>
    <tableColumn id="18" xr3:uid="{9A0ECD79-D65B-44D3-A525-974B1926374E}" name="Heat3" dataDxfId="220">
      <calculatedColumnFormula>IF(D17="O",IF(V17&lt;0,V17,0),0)</calculatedColumnFormula>
    </tableColumn>
    <tableColumn id="19" xr3:uid="{45F34A07-626A-4712-BF1A-A167EC7DA6B7}" name="Commodities" dataDxfId="219">
      <calculatedColumnFormula>IF(B17="COM",N17,0)</calculatedColumnFormula>
    </tableColumn>
    <tableColumn id="20" xr3:uid="{4DBA2330-364E-4CAC-9BF3-396A00AC3DBB}" name="Heat4" dataDxfId="218">
      <calculatedColumnFormula>IF(D17="O",IF(X17&lt;0,X17,0),0)</calculatedColumnFormula>
    </tableColumn>
    <tableColumn id="21" xr3:uid="{754809B7-83A4-4406-A130-3BD247541254}" name="Index" dataDxfId="217">
      <calculatedColumnFormula>IF(B17="IND",N17,0)</calculatedColumnFormula>
    </tableColumn>
    <tableColumn id="22" xr3:uid="{CFFB37D0-CC51-496A-BAD5-8D280D6723D9}" name="Heat5" dataDxfId="216">
      <calculatedColumnFormula>IF(D17="O",IF(Z17&lt;0,Z17,0),0)</calculatedColumnFormula>
    </tableColumn>
    <tableColumn id="27" xr3:uid="{C57EA122-F311-409B-9BA2-6EC200C69B24}" name="Cryptocurrency" dataDxfId="215">
      <calculatedColumnFormula>IF(B17="CRYPTO",N17,0)</calculatedColumnFormula>
    </tableColumn>
    <tableColumn id="28" xr3:uid="{FE8D8ACC-73FC-47C6-96B7-445D2EA4F08F}" name="Heat6" dataDxfId="214">
      <calculatedColumnFormula>IF(D17="O",IF(AB17&lt;0,AB17,0),0)</calculatedColumnFormula>
    </tableColumn>
    <tableColumn id="23" xr3:uid="{D56470F7-09E1-4F68-97AD-9369CA7C5DF4}" name="Length of _x000a_Trade" dataDxfId="213">
      <calculatedColumnFormula>IF(K17&lt;&gt;"",K17-E17,0)</calculatedColumnFormula>
    </tableColumn>
    <tableColumn id="24" xr3:uid="{789281FB-83F1-4DAA-96FD-B98D3DF787B8}" name="Win" dataDxfId="212">
      <calculatedColumnFormula>IF(N17&gt;0,AD17,0)</calculatedColumnFormula>
    </tableColumn>
    <tableColumn id="25" xr3:uid="{300EAEF3-513E-4EED-9356-F72C4E7B501C}" name="Loss" dataDxfId="211">
      <calculatedColumnFormula>IF(N17&lt;0,AD17,0)</calculatedColumnFormula>
    </tableColumn>
    <tableColumn id="26" xr3:uid="{469AEFE2-940B-4F5C-8749-FAC56C1E312B}" name="Breakeven" dataDxfId="21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4E817CC-D324-4089-A4D3-70736BAFDBED}" name="Tabla336106734812" displayName="Tabla336106734812" ref="B16:AG38" totalsRowShown="0" headerRowDxfId="201" dataDxfId="200">
  <autoFilter ref="B16:AG38" xr:uid="{00000000-0009-0000-0100-000009000000}"/>
  <sortState xmlns:xlrd2="http://schemas.microsoft.com/office/spreadsheetml/2017/richdata2" ref="B17:AG38">
    <sortCondition descending="1" ref="D16:D38"/>
  </sortState>
  <tableColumns count="32">
    <tableColumn id="1" xr3:uid="{53A972DA-7383-49EE-84EA-858DC559D742}" name="Inst" dataDxfId="199"/>
    <tableColumn id="2" xr3:uid="{CB02D374-1F1E-4926-A81C-5B7FE8183078}" name="L/S" dataDxfId="198"/>
    <tableColumn id="3" xr3:uid="{FAE8484F-9320-4B8E-B715-15D1F9A9CBE2}" name="O/C" dataDxfId="197">
      <calculatedColumnFormula>IF(E17&lt;&gt;"",IF(K17&lt;&gt;"","C","O"),"")</calculatedColumnFormula>
    </tableColumn>
    <tableColumn id="4" xr3:uid="{F963E4A7-4FA7-444C-A44E-B85CEBAB164B}" name="DATE" dataDxfId="196"/>
    <tableColumn id="5" xr3:uid="{311CA312-A860-400B-A894-FCB33BA6C06C}" name="INST." dataDxfId="195"/>
    <tableColumn id="6" xr3:uid="{0F50911E-8AA0-46D2-A520-FA14D0425371}" name="ENTRY " dataDxfId="194"/>
    <tableColumn id="7" xr3:uid="{47B4BF33-B8E3-4FC6-BE42-A17F8566A7DC}" name="STOP " dataDxfId="193"/>
    <tableColumn id="8" xr3:uid="{A2DCF3E4-FF53-4661-A898-8347BD06BB33}" name="TR_x000a_(in Pips)" dataDxfId="192">
      <calculatedColumnFormula>ABS(G17-H17)</calculatedColumnFormula>
    </tableColumn>
    <tableColumn id="9" xr3:uid="{E49B9930-BB18-46DD-B899-94A8A6AC8908}" name="TARGET" dataDxfId="191"/>
    <tableColumn id="10" xr3:uid="{3E6C6DA6-9D96-44CD-8EFE-952EE68B20E0}" name="DATE2" dataDxfId="190"/>
    <tableColumn id="11" xr3:uid="{FF9754C7-EFF1-4FF5-BC0D-5CFB5DE3E015}" name="EXIT" dataDxfId="189"/>
    <tableColumn id="12" xr3:uid="{32A8C413-A8D3-41B4-BFFB-C86378094E18}" name="RESULT" dataDxfId="188">
      <calculatedColumnFormula>ROUND(IF(C17="L",(L17-G17),(G17-L17)),4)</calculatedColumnFormula>
    </tableColumn>
    <tableColumn id="13" xr3:uid="{5E472420-A60E-42F0-9E7A-1B27F3F0901A}" name="No. of Rs" dataDxfId="187">
      <calculatedColumnFormula>IFERROR(ROUND((M17/I17),2),"")</calculatedColumnFormula>
    </tableColumn>
    <tableColumn id="14" xr3:uid="{BE9FE3F6-5D17-406E-82E6-33867DB59770}" name="Heat" dataDxfId="186">
      <calculatedColumnFormula>IF(D17="O",IF(N17&lt;0,N17,0),0)</calculatedColumnFormula>
    </tableColumn>
    <tableColumn id="15" xr3:uid="{D2FDBC9C-C1EA-40D0-867A-3BB05819BE16}" name=" TR WIN" dataDxfId="185">
      <calculatedColumnFormula>IF(N17&gt;= 0,N17,0)</calculatedColumnFormula>
    </tableColumn>
    <tableColumn id="16" xr3:uid="{B4587BD9-50D7-4093-B1E3-7EF934A589F1}" name=" TR LOSS" dataDxfId="184">
      <calculatedColumnFormula>IF(N17&lt;0,N17,0)</calculatedColumnFormula>
    </tableColumn>
    <tableColumn id="33" xr3:uid="{DC329D3D-8B88-4763-B5C8-58D1A0177D16}" name="Initial Losing Trade" dataDxfId="183">
      <calculatedColumnFormula>IF(AND(OFFSET(Tabla336106734812[[#This Row],[Equity]],1,0)="",Tabla336106734812[[#This Row],[No. of Rs]]&lt;0),"Yes",IF(AND(OFFSET(Tabla336106734812[[#This Row],[Initial Losing Trade]],1,0)="Yes",Tabla336106734812[[#This Row],[No. of Rs]]&lt;0),"Yes","No"))</calculatedColumnFormula>
    </tableColumn>
    <tableColumn id="30" xr3:uid="{3BDB2B29-2471-4DF7-B0AE-00BE70501A99}" name="Equity" dataDxfId="182">
      <calculatedColumnFormula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calculatedColumnFormula>
    </tableColumn>
    <tableColumn id="32" xr3:uid="{84E24910-D7F4-49BE-A6D5-3CE907036A5F}" name="Equity Peak" dataDxfId="181">
      <calculatedColumnFormula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calculatedColumnFormula>
    </tableColumn>
    <tableColumn id="31" xr3:uid="{CD81295E-4CCD-4A3C-A4CE-0E91FBD415DA}" name="Drawdown" dataDxfId="180">
      <calculatedColumnFormula>IF(Tabla336106734812[[#This Row],[Equity]]&lt;Tabla336106734812[[#This Row],[Equity Peak]],(Tabla336106734812[[#This Row],[Equity Peak]]-Tabla336106734812[[#This Row],[Equity]])/Tabla336106734812[[#This Row],[Equity Peak]],"")</calculatedColumnFormula>
    </tableColumn>
    <tableColumn id="17" xr3:uid="{CEC67D3F-EA1C-49E3-93F2-DC8033E500A9}" name="Currency" dataDxfId="179">
      <calculatedColumnFormula>IF(B17="FX",N17,0)</calculatedColumnFormula>
    </tableColumn>
    <tableColumn id="18" xr3:uid="{C2FEBD76-7980-48D2-9401-70A3A37CD167}" name="Heat3" dataDxfId="178">
      <calculatedColumnFormula>IF(D17="O",IF(V17&lt;0,V17,0),0)</calculatedColumnFormula>
    </tableColumn>
    <tableColumn id="19" xr3:uid="{C1358CE8-457E-4BAB-A3EA-72D8F9DE0EDD}" name="Commodities" dataDxfId="177">
      <calculatedColumnFormula>IF(B17="COM",N17,0)</calculatedColumnFormula>
    </tableColumn>
    <tableColumn id="20" xr3:uid="{EA29754C-BEA1-49D0-8007-A1345A1F4E5E}" name="Heat4" dataDxfId="176">
      <calculatedColumnFormula>IF(D17="O",IF(X17&lt;0,X17,0),0)</calculatedColumnFormula>
    </tableColumn>
    <tableColumn id="21" xr3:uid="{77779734-1687-4949-BBE2-FC716C6D282A}" name="Index" dataDxfId="175">
      <calculatedColumnFormula>IF(B17="IND",N17,0)</calculatedColumnFormula>
    </tableColumn>
    <tableColumn id="22" xr3:uid="{5191A4A2-3172-435F-81BB-3CAB9AD645A9}" name="Heat5" dataDxfId="174">
      <calculatedColumnFormula>IF(D17="O",IF(Z17&lt;0,Z17,0),0)</calculatedColumnFormula>
    </tableColumn>
    <tableColumn id="27" xr3:uid="{3BC0364D-B57E-4968-A828-B676E1271C08}" name="Cryptocurrency" dataDxfId="173">
      <calculatedColumnFormula>IF(B17="CRYPTO",N17,0)</calculatedColumnFormula>
    </tableColumn>
    <tableColumn id="28" xr3:uid="{34E7642A-D014-4D90-855D-A3532FB0B2F5}" name="Heat6" dataDxfId="172">
      <calculatedColumnFormula>IF(D17="O",IF(AB17&lt;0,AB17,0),0)</calculatedColumnFormula>
    </tableColumn>
    <tableColumn id="23" xr3:uid="{07D34815-28C7-4171-9B9D-DBDB27D1F75A}" name="Length of _x000a_Trade" dataDxfId="171">
      <calculatedColumnFormula>IF(K17&lt;&gt;"",K17-E17,0)</calculatedColumnFormula>
    </tableColumn>
    <tableColumn id="24" xr3:uid="{5AC12D34-9D0C-4F9A-81DD-FF818C82681B}" name="Win" dataDxfId="170">
      <calculatedColumnFormula>IF(N17&gt;0,AD17,0)</calculatedColumnFormula>
    </tableColumn>
    <tableColumn id="25" xr3:uid="{5FBB941C-4CAA-461D-A7F6-58C8493F5889}" name="Loss" dataDxfId="169">
      <calculatedColumnFormula>IF(N17&lt;0,AD17,0)</calculatedColumnFormula>
    </tableColumn>
    <tableColumn id="26" xr3:uid="{723FEC19-3F43-4741-B9F0-40D6062E787A}" name="Breakeven" dataDxfId="16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47EE516-3E7D-411C-B264-DA072B755767}" name="Tabla336106734823" displayName="Tabla336106734823" ref="B16:AG114" totalsRowShown="0" headerRowDxfId="159" dataDxfId="158">
  <autoFilter ref="B16:AG114" xr:uid="{00000000-0009-0000-0100-000009000000}"/>
  <sortState xmlns:xlrd2="http://schemas.microsoft.com/office/spreadsheetml/2017/richdata2" ref="B17:AG114">
    <sortCondition descending="1" ref="D16:D114"/>
  </sortState>
  <tableColumns count="32">
    <tableColumn id="1" xr3:uid="{76547B86-8B82-4139-A272-84D40083C674}" name="Inst" dataDxfId="157"/>
    <tableColumn id="2" xr3:uid="{EF3C0211-8C94-4D3F-A7A9-6B6786AF07B6}" name="L/S" dataDxfId="156"/>
    <tableColumn id="3" xr3:uid="{98B3DEBF-14C4-424C-A552-56332E225821}" name="O/C" dataDxfId="155">
      <calculatedColumnFormula>IF(E17&lt;&gt;"",IF(K17&lt;&gt;"","C","O"),"")</calculatedColumnFormula>
    </tableColumn>
    <tableColumn id="4" xr3:uid="{3BB4D282-6F26-4734-8042-58150D31E919}" name="DATE" dataDxfId="154"/>
    <tableColumn id="5" xr3:uid="{D805E331-08D3-4614-9652-14B91DAF1EFE}" name="INST." dataDxfId="153"/>
    <tableColumn id="6" xr3:uid="{D930B11B-0EBD-4409-BB41-86E49D5A4379}" name="ENTRY " dataDxfId="152"/>
    <tableColumn id="7" xr3:uid="{D4944D65-1837-4B76-9A48-50F496FF367B}" name="STOP " dataDxfId="151"/>
    <tableColumn id="8" xr3:uid="{1BA7C81F-402D-4736-A27F-8EDA5BAAC93E}" name="TR_x000a_(in Pips)" dataDxfId="150">
      <calculatedColumnFormula>ABS(G17-H17)</calculatedColumnFormula>
    </tableColumn>
    <tableColumn id="9" xr3:uid="{12F90881-8E05-45DF-A9DF-897C85F6F210}" name="TARGET" dataDxfId="149"/>
    <tableColumn id="10" xr3:uid="{708AAB9B-F6BE-48D1-AC45-6BAEF9F5C095}" name="DATE2" dataDxfId="148"/>
    <tableColumn id="11" xr3:uid="{72B62C3C-007D-4946-8D7A-6C477351ED97}" name="EXIT" dataDxfId="147"/>
    <tableColumn id="12" xr3:uid="{2CE2F469-70EF-4770-966B-D1A42DD74EE6}" name="RESULT" dataDxfId="146">
      <calculatedColumnFormula>ROUND(IF(C17="L",(L17-G17),(G17-L17)),4)</calculatedColumnFormula>
    </tableColumn>
    <tableColumn id="13" xr3:uid="{13CFD89D-9A10-42E4-B627-3664FAC3C084}" name="No. of Rs" dataDxfId="145">
      <calculatedColumnFormula>IFERROR(ROUND((M17/I17),2),"")</calculatedColumnFormula>
    </tableColumn>
    <tableColumn id="14" xr3:uid="{1A465676-2EEF-435F-B3BD-FECCE21AF7E8}" name="Heat" dataDxfId="144">
      <calculatedColumnFormula>IF(D17="O",IF(N17&lt;0,N17,0),0)</calculatedColumnFormula>
    </tableColumn>
    <tableColumn id="15" xr3:uid="{3360C281-219D-4A3A-AF53-27DE1A5BE960}" name=" TR WIN" dataDxfId="143">
      <calculatedColumnFormula>IF(N17&gt;= 0,N17,0)</calculatedColumnFormula>
    </tableColumn>
    <tableColumn id="16" xr3:uid="{D9D68F5C-97EF-4D1C-805C-86764D7E2C21}" name=" TR LOSS" dataDxfId="142">
      <calculatedColumnFormula>IF(N17&lt;0,N17,0)</calculatedColumnFormula>
    </tableColumn>
    <tableColumn id="33" xr3:uid="{78D601E9-48B8-4215-924B-04E9B987BD1E}" name="Initial Losing Trade" dataDxfId="141">
      <calculatedColumnFormula>IF(AND(OFFSET(Tabla336106734823[[#This Row],[Equity]],1,0)="",Tabla336106734823[[#This Row],[No. of Rs]]&lt;0),"Yes",IF(AND(OFFSET(Tabla336106734823[[#This Row],[Initial Losing Trade]],1,0)="Yes",Tabla336106734823[[#This Row],[No. of Rs]]&lt;0),"Yes","No"))</calculatedColumnFormula>
    </tableColumn>
    <tableColumn id="30" xr3:uid="{875C3017-CBDF-4DC8-A533-56FE042F0372}" name="Equity" dataDxfId="140">
      <calculatedColumnFormula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calculatedColumnFormula>
    </tableColumn>
    <tableColumn id="32" xr3:uid="{7949FFA7-A834-4341-91B8-671F3B261065}" name="Equity Peak" dataDxfId="139">
      <calculatedColumnFormula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calculatedColumnFormula>
    </tableColumn>
    <tableColumn id="31" xr3:uid="{8EBAC2FE-AC0F-474E-ADC7-DE0FF7B7E06A}" name="Drawdown" dataDxfId="138">
      <calculatedColumnFormula>IF(Tabla336106734823[[#This Row],[Equity]]&lt;Tabla336106734823[[#This Row],[Equity Peak]],(Tabla336106734823[[#This Row],[Equity Peak]]-Tabla336106734823[[#This Row],[Equity]])/Tabla336106734823[[#This Row],[Equity Peak]],"")</calculatedColumnFormula>
    </tableColumn>
    <tableColumn id="17" xr3:uid="{A2797E93-605C-4D79-8DF1-0C1668B24DF5}" name="Currency" dataDxfId="137">
      <calculatedColumnFormula>IF(B17="FX",N17,0)</calculatedColumnFormula>
    </tableColumn>
    <tableColumn id="18" xr3:uid="{FF3F1874-93C5-4CFC-9A3E-A8EF6DBF1105}" name="Heat3" dataDxfId="136">
      <calculatedColumnFormula>IF(D17="O",IF(V17&lt;0,V17,0),0)</calculatedColumnFormula>
    </tableColumn>
    <tableColumn id="19" xr3:uid="{D42FBBFC-D1B1-4A6F-A943-CE5B85665DE3}" name="Commodities" dataDxfId="135">
      <calculatedColumnFormula>IF(B17="COM",N17,0)</calculatedColumnFormula>
    </tableColumn>
    <tableColumn id="20" xr3:uid="{A63EF359-9694-4B42-8984-1FF3C0DA167F}" name="Heat4" dataDxfId="134">
      <calculatedColumnFormula>IF(D17="O",IF(X17&lt;0,X17,0),0)</calculatedColumnFormula>
    </tableColumn>
    <tableColumn id="21" xr3:uid="{E43C750C-ACEE-4971-8DBD-FFFD7E5612E1}" name="Index" dataDxfId="133">
      <calculatedColumnFormula>IF(B17="IND",N17,0)</calculatedColumnFormula>
    </tableColumn>
    <tableColumn id="22" xr3:uid="{DFBEF69C-D9FB-4D05-9F50-825B07F12FB3}" name="Heat5" dataDxfId="132">
      <calculatedColumnFormula>IF(D17="O",IF(Z17&lt;0,Z17,0),0)</calculatedColumnFormula>
    </tableColumn>
    <tableColumn id="27" xr3:uid="{175B2D50-E74D-470A-9325-EDBB57E86675}" name="Cryptocurrency" dataDxfId="131">
      <calculatedColumnFormula>IF(B17="CRYPTO",N17,0)</calculatedColumnFormula>
    </tableColumn>
    <tableColumn id="28" xr3:uid="{A2910574-945A-43B3-8E4F-DE91EFA981BA}" name="Heat6" dataDxfId="130">
      <calculatedColumnFormula>IF(D17="O",IF(AB17&lt;0,AB17,0),0)</calculatedColumnFormula>
    </tableColumn>
    <tableColumn id="23" xr3:uid="{71BC585F-9FA3-4B74-A39A-8FCC0CCD841F}" name="Length of _x000a_Trade" dataDxfId="129">
      <calculatedColumnFormula>IF(K17&lt;&gt;"",K17-E17,0)</calculatedColumnFormula>
    </tableColumn>
    <tableColumn id="24" xr3:uid="{7ED24035-6855-4C58-9D07-E39AD72E24C9}" name="Win" dataDxfId="128">
      <calculatedColumnFormula>IF(N17&gt;0,AD17,0)</calculatedColumnFormula>
    </tableColumn>
    <tableColumn id="25" xr3:uid="{17E670D4-CFE5-4109-B331-4AF4D68ABD01}" name="Loss" dataDxfId="127">
      <calculatedColumnFormula>IF(N17&lt;0,AD17,0)</calculatedColumnFormula>
    </tableColumn>
    <tableColumn id="26" xr3:uid="{0098ED18-867B-4764-8FA8-F1DFF0F18172}" name="Breakeven" dataDxfId="12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AD5AB27-989F-4E9B-9CE8-E641DAC31FC2}" name="Tabla336106734824" displayName="Tabla336106734824" ref="B16:AG39" totalsRowShown="0" headerRowDxfId="117" dataDxfId="116">
  <autoFilter ref="B16:AG39" xr:uid="{00000000-0009-0000-0100-000009000000}"/>
  <sortState xmlns:xlrd2="http://schemas.microsoft.com/office/spreadsheetml/2017/richdata2" ref="B17:AG39">
    <sortCondition descending="1" ref="D16:D39"/>
  </sortState>
  <tableColumns count="32">
    <tableColumn id="1" xr3:uid="{C5C11191-6405-4135-8385-938F1542C481}" name="Inst" dataDxfId="115"/>
    <tableColumn id="2" xr3:uid="{C17223AB-8D05-41B1-8A12-B55DE3F6A669}" name="L/S" dataDxfId="114"/>
    <tableColumn id="3" xr3:uid="{B2F14288-BA83-4244-9546-ACED6B565884}" name="O/C" dataDxfId="113">
      <calculatedColumnFormula>IF(E17&lt;&gt;"",IF(K17&lt;&gt;"","C","O"),"")</calculatedColumnFormula>
    </tableColumn>
    <tableColumn id="4" xr3:uid="{FF75CF6E-46DE-4D6E-BC14-3C61C1567D76}" name="DATE" dataDxfId="112"/>
    <tableColumn id="5" xr3:uid="{EDD560DA-BF4E-4980-8C1B-B8A059AC74DA}" name="INST." dataDxfId="111"/>
    <tableColumn id="6" xr3:uid="{EC999E7C-6734-470F-B6E7-1A3B2A9F8DEA}" name="ENTRY " dataDxfId="110"/>
    <tableColumn id="7" xr3:uid="{01171BA4-2E95-4980-B294-09538E9DCC50}" name="STOP " dataDxfId="109"/>
    <tableColumn id="8" xr3:uid="{1D940ED3-9195-4C70-ADB7-6B0CFA6B3DCE}" name="TR_x000a_(in Pips)" dataDxfId="108">
      <calculatedColumnFormula>ABS(G17-H17)</calculatedColumnFormula>
    </tableColumn>
    <tableColumn id="9" xr3:uid="{3CDE5D4D-7661-419E-8B05-02C871380264}" name="TARGET" dataDxfId="107"/>
    <tableColumn id="10" xr3:uid="{3F67EE85-329F-4A5D-8674-67FB7BE1C95E}" name="DATE2" dataDxfId="106"/>
    <tableColumn id="11" xr3:uid="{C3E29A01-E1DA-4768-8062-45674C78BA0B}" name="EXIT" dataDxfId="105"/>
    <tableColumn id="12" xr3:uid="{EC45313F-A1C3-4887-BEEA-9FD88A2915B7}" name="RESULT" dataDxfId="104">
      <calculatedColumnFormula>ROUND(IF(C17="L",(L17-G17),(G17-L17)),4)</calculatedColumnFormula>
    </tableColumn>
    <tableColumn id="13" xr3:uid="{B9D938EC-3A13-4A08-A462-C8A514AD6B55}" name="No. of Rs" dataDxfId="103">
      <calculatedColumnFormula>IFERROR(ROUND((M17/I17),2),"")</calculatedColumnFormula>
    </tableColumn>
    <tableColumn id="14" xr3:uid="{8BF4FC87-DF1D-4F86-8146-56569B0D4E57}" name="Heat" dataDxfId="102">
      <calculatedColumnFormula>IF(D17="O",IF(N17&lt;0,N17,0),0)</calculatedColumnFormula>
    </tableColumn>
    <tableColumn id="15" xr3:uid="{E7E3E0C5-7965-460F-ABF6-F0C48B4AB607}" name=" TR WIN" dataDxfId="101">
      <calculatedColumnFormula>IF(N17&gt;= 0,N17,0)</calculatedColumnFormula>
    </tableColumn>
    <tableColumn id="16" xr3:uid="{7A2CA8A2-2A56-4D07-ABC0-2BCB402CAF33}" name=" TR LOSS" dataDxfId="100">
      <calculatedColumnFormula>IF(N17&lt;0,N17,0)</calculatedColumnFormula>
    </tableColumn>
    <tableColumn id="33" xr3:uid="{4749C452-4CC0-4ADD-BE5E-DEAD7F399C36}" name="Initial Losing Trade" dataDxfId="99">
      <calculatedColumnFormula>IF(AND(OFFSET(Tabla336106734824[[#This Row],[Equity]],1,0)="",Tabla336106734824[[#This Row],[No. of Rs]]&lt;0),"Yes",IF(AND(OFFSET(Tabla336106734824[[#This Row],[Initial Losing Trade]],1,0)="Yes",Tabla336106734824[[#This Row],[No. of Rs]]&lt;0),"Yes","No"))</calculatedColumnFormula>
    </tableColumn>
    <tableColumn id="30" xr3:uid="{9FD46813-5577-4060-A1DE-052B121DC70A}" name="Equity" dataDxfId="98">
      <calculatedColumnFormula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calculatedColumnFormula>
    </tableColumn>
    <tableColumn id="32" xr3:uid="{CBF19844-C9BA-4B05-A1CE-EA1AC6327F6E}" name="Equity Peak" dataDxfId="97">
      <calculatedColumnFormula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calculatedColumnFormula>
    </tableColumn>
    <tableColumn id="31" xr3:uid="{6E0A3756-BADE-439C-912C-418354DBE9B6}" name="Drawdown" dataDxfId="96">
      <calculatedColumnFormula>IF(Tabla336106734824[[#This Row],[Equity]]&lt;Tabla336106734824[[#This Row],[Equity Peak]],(Tabla336106734824[[#This Row],[Equity Peak]]-Tabla336106734824[[#This Row],[Equity]])/Tabla336106734824[[#This Row],[Equity Peak]],"")</calculatedColumnFormula>
    </tableColumn>
    <tableColumn id="17" xr3:uid="{7FC9E447-5902-4E17-A89F-EC8222263A4A}" name="Currency" dataDxfId="95">
      <calculatedColumnFormula>IF(B17="FX",N17,0)</calculatedColumnFormula>
    </tableColumn>
    <tableColumn id="18" xr3:uid="{05433508-6178-4E29-A089-02842400EBBB}" name="Heat3" dataDxfId="94">
      <calculatedColumnFormula>IF(D17="O",IF(V17&lt;0,V17,0),0)</calculatedColumnFormula>
    </tableColumn>
    <tableColumn id="19" xr3:uid="{678A3C8D-0B2F-4FF1-85EC-CF7B583A57DF}" name="Commodities" dataDxfId="93">
      <calculatedColumnFormula>IF(B17="COM",N17,0)</calculatedColumnFormula>
    </tableColumn>
    <tableColumn id="20" xr3:uid="{D63DE512-ED37-45B8-93BF-7513B44226BF}" name="Heat4" dataDxfId="92">
      <calculatedColumnFormula>IF(D17="O",IF(X17&lt;0,X17,0),0)</calculatedColumnFormula>
    </tableColumn>
    <tableColumn id="21" xr3:uid="{2EF044BC-E7E4-4CB0-85E0-6599D50829DB}" name="Index" dataDxfId="91">
      <calculatedColumnFormula>IF(B17="IND",N17,0)</calculatedColumnFormula>
    </tableColumn>
    <tableColumn id="22" xr3:uid="{362703DB-C285-40C0-AB0A-D11469754A7D}" name="Heat5" dataDxfId="90">
      <calculatedColumnFormula>IF(D17="O",IF(Z17&lt;0,Z17,0),0)</calculatedColumnFormula>
    </tableColumn>
    <tableColumn id="27" xr3:uid="{96838E9E-FED0-49DD-BA5D-2113A7969C4A}" name="Cryptocurrency" dataDxfId="89">
      <calculatedColumnFormula>IF(B17="CRYPTO",N17,0)</calculatedColumnFormula>
    </tableColumn>
    <tableColumn id="28" xr3:uid="{BA6C4D5F-440B-4B45-9236-1594069B0FCC}" name="Heat6" dataDxfId="88">
      <calculatedColumnFormula>IF(D17="O",IF(AB17&lt;0,AB17,0),0)</calculatedColumnFormula>
    </tableColumn>
    <tableColumn id="23" xr3:uid="{FEFA5700-F78C-4631-B6CA-90BFB1B9878D}" name="Length of _x000a_Trade" dataDxfId="87">
      <calculatedColumnFormula>IF(K17&lt;&gt;"",K17-E17,0)</calculatedColumnFormula>
    </tableColumn>
    <tableColumn id="24" xr3:uid="{EFEAF37B-AED9-439C-83CE-74B25E75B301}" name="Win" dataDxfId="86">
      <calculatedColumnFormula>IF(N17&gt;0,AD17,0)</calculatedColumnFormula>
    </tableColumn>
    <tableColumn id="25" xr3:uid="{DC4FE53D-1E6F-4398-BB69-5227140EEBA8}" name="Loss" dataDxfId="85">
      <calculatedColumnFormula>IF(N17&lt;0,AD17,0)</calculatedColumnFormula>
    </tableColumn>
    <tableColumn id="26" xr3:uid="{B411D3C7-EE1C-4942-AE2D-DA5205501CD1}" name="Breakeven" dataDxfId="8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5FDAE18-0679-438E-8302-EAFA99962F52}" name="Tabla336106734825" displayName="Tabla336106734825" ref="B16:AG37" totalsRowShown="0" headerRowDxfId="75" dataDxfId="74">
  <autoFilter ref="B16:AG37" xr:uid="{00000000-0009-0000-0100-000009000000}"/>
  <sortState xmlns:xlrd2="http://schemas.microsoft.com/office/spreadsheetml/2017/richdata2" ref="B17:AG37">
    <sortCondition descending="1" ref="D16:D37"/>
  </sortState>
  <tableColumns count="32">
    <tableColumn id="1" xr3:uid="{BB33AFC9-1408-4470-B075-2826642090BD}" name="Inst" dataDxfId="73"/>
    <tableColumn id="2" xr3:uid="{12C1D6A0-0D6A-4063-AD0F-C02D9A7E5BB3}" name="L/S" dataDxfId="72"/>
    <tableColumn id="3" xr3:uid="{A579BB4E-3D0E-4016-9D25-4BF85ADE6B99}" name="O/C" dataDxfId="71">
      <calculatedColumnFormula>IF(E17&lt;&gt;"",IF(K17&lt;&gt;"","C","O"),"")</calculatedColumnFormula>
    </tableColumn>
    <tableColumn id="4" xr3:uid="{DF595538-2B59-4E26-9D9D-DD0CC2BB7783}" name="DATE" dataDxfId="70"/>
    <tableColumn id="5" xr3:uid="{EED7CFC2-E365-4A2A-9498-F1395FB4E2BD}" name="INST." dataDxfId="69"/>
    <tableColumn id="6" xr3:uid="{1D7EE1BD-7399-4D21-A5E2-F4C837AEE4E3}" name="ENTRY " dataDxfId="68"/>
    <tableColumn id="7" xr3:uid="{23758C06-6B13-42F2-B30F-77369D83A88C}" name="STOP " dataDxfId="67"/>
    <tableColumn id="8" xr3:uid="{2923D513-70A9-42D1-AC68-0D6F4554F1F8}" name="TR_x000a_(in Pips)" dataDxfId="66">
      <calculatedColumnFormula>ABS(G17-H17)</calculatedColumnFormula>
    </tableColumn>
    <tableColumn id="9" xr3:uid="{20002B95-F261-442B-819B-8C5689D9645D}" name="TARGET" dataDxfId="65"/>
    <tableColumn id="10" xr3:uid="{607E4C9C-F8A6-4ACC-88C8-6D6A339FA117}" name="DATE2" dataDxfId="64"/>
    <tableColumn id="11" xr3:uid="{D12693D9-9E2D-4DC9-82C7-24B17C9709C9}" name="EXIT" dataDxfId="63"/>
    <tableColumn id="12" xr3:uid="{493619C7-865C-448F-AF58-9F7FC651D20E}" name="RESULT" dataDxfId="62">
      <calculatedColumnFormula>ROUND(IF(C17="L",(L17-G17),(G17-L17)),4)</calculatedColumnFormula>
    </tableColumn>
    <tableColumn id="13" xr3:uid="{020E316D-77BF-488F-A967-A341E8C1B3E6}" name="No. of Rs" dataDxfId="61">
      <calculatedColumnFormula>IFERROR(ROUND((M17/I17),2),"")</calculatedColumnFormula>
    </tableColumn>
    <tableColumn id="14" xr3:uid="{81A30D7B-A71E-4305-AF4E-B7BA1B93C5ED}" name="Heat" dataDxfId="60">
      <calculatedColumnFormula>IF(D17="O",IF(N17&lt;0,N17,0),0)</calculatedColumnFormula>
    </tableColumn>
    <tableColumn id="15" xr3:uid="{3585B8B1-DA74-49E1-BC81-3A9FD6DB8462}" name=" TR WIN" dataDxfId="59">
      <calculatedColumnFormula>IF(N17&gt;= 0,N17,0)</calculatedColumnFormula>
    </tableColumn>
    <tableColumn id="16" xr3:uid="{45880575-EB8B-4E5A-B427-79FBE802EA42}" name=" TR LOSS" dataDxfId="58">
      <calculatedColumnFormula>IF(N17&lt;0,N17,0)</calculatedColumnFormula>
    </tableColumn>
    <tableColumn id="33" xr3:uid="{38D298B0-A085-48CC-BE58-3EA9D823D076}" name="Initial Losing Trade" dataDxfId="57">
      <calculatedColumnFormula>IF(AND(OFFSET(Tabla336106734825[[#This Row],[Equity]],1,0)="",Tabla336106734825[[#This Row],[No. of Rs]]&lt;0),"Yes",IF(AND(OFFSET(Tabla336106734825[[#This Row],[Initial Losing Trade]],1,0)="Yes",Tabla336106734825[[#This Row],[No. of Rs]]&lt;0),"Yes","No"))</calculatedColumnFormula>
    </tableColumn>
    <tableColumn id="30" xr3:uid="{0F5DEF2A-AD69-4B60-B84E-89DDF924A5FD}" name="Equity" dataDxfId="56">
      <calculatedColumnFormula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calculatedColumnFormula>
    </tableColumn>
    <tableColumn id="32" xr3:uid="{BEB2E456-5A0F-424A-AD3D-43323B308047}" name="Equity Peak" dataDxfId="55">
      <calculatedColumnFormula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calculatedColumnFormula>
    </tableColumn>
    <tableColumn id="31" xr3:uid="{B5F2A43F-B9A9-433B-9BF9-632EFF8F0335}" name="Drawdown" dataDxfId="54">
      <calculatedColumnFormula>IF(Tabla336106734825[[#This Row],[Equity]]&lt;Tabla336106734825[[#This Row],[Equity Peak]],(Tabla336106734825[[#This Row],[Equity Peak]]-Tabla336106734825[[#This Row],[Equity]])/Tabla336106734825[[#This Row],[Equity Peak]],"")</calculatedColumnFormula>
    </tableColumn>
    <tableColumn id="17" xr3:uid="{4F8774C1-B48C-4AC2-BD59-D9D8021EDB89}" name="Currency" dataDxfId="53">
      <calculatedColumnFormula>IF(B17="FX",N17,0)</calculatedColumnFormula>
    </tableColumn>
    <tableColumn id="18" xr3:uid="{7A9EB237-55D0-4502-A148-9F33E0065F99}" name="Heat3" dataDxfId="52">
      <calculatedColumnFormula>IF(D17="O",IF(V17&lt;0,V17,0),0)</calculatedColumnFormula>
    </tableColumn>
    <tableColumn id="19" xr3:uid="{61C52FDA-CA78-4950-85F3-F7295C6E14FA}" name="Commodities" dataDxfId="51">
      <calculatedColumnFormula>IF(B17="COM",N17,0)</calculatedColumnFormula>
    </tableColumn>
    <tableColumn id="20" xr3:uid="{32A84976-BDDB-471E-BEB8-B4B75E784F64}" name="Heat4" dataDxfId="50">
      <calculatedColumnFormula>IF(D17="O",IF(X17&lt;0,X17,0),0)</calculatedColumnFormula>
    </tableColumn>
    <tableColumn id="21" xr3:uid="{05BFE00E-944C-46AD-BBD3-150A5A51295B}" name="Index" dataDxfId="49">
      <calculatedColumnFormula>IF(B17="IND",N17,0)</calculatedColumnFormula>
    </tableColumn>
    <tableColumn id="22" xr3:uid="{34AE811A-26C4-46B7-B969-D4047174E644}" name="Heat5" dataDxfId="48">
      <calculatedColumnFormula>IF(D17="O",IF(Z17&lt;0,Z17,0),0)</calculatedColumnFormula>
    </tableColumn>
    <tableColumn id="27" xr3:uid="{5E24A57F-FEAF-42CA-A269-1B5A5A73A6B8}" name="Cryptocurrency" dataDxfId="47">
      <calculatedColumnFormula>IF(B17="CRYPTO",N17,0)</calculatedColumnFormula>
    </tableColumn>
    <tableColumn id="28" xr3:uid="{2CD98406-47A7-44C9-919E-376BB4EFB283}" name="Heat6" dataDxfId="46">
      <calculatedColumnFormula>IF(D17="O",IF(AB17&lt;0,AB17,0),0)</calculatedColumnFormula>
    </tableColumn>
    <tableColumn id="23" xr3:uid="{CDBB51B1-4A4E-47C0-9F3B-CA61C32D3CF8}" name="Length of _x000a_Trade" dataDxfId="45">
      <calculatedColumnFormula>IF(K17&lt;&gt;"",K17-E17,0)</calculatedColumnFormula>
    </tableColumn>
    <tableColumn id="24" xr3:uid="{1FCA95BC-531E-436E-A355-25FA66493CE2}" name="Win" dataDxfId="44">
      <calculatedColumnFormula>IF(N17&gt;0,AD17,0)</calculatedColumnFormula>
    </tableColumn>
    <tableColumn id="25" xr3:uid="{8C0647AF-190A-453D-B2AE-184BA5CE6783}" name="Loss" dataDxfId="43">
      <calculatedColumnFormula>IF(N17&lt;0,AD17,0)</calculatedColumnFormula>
    </tableColumn>
    <tableColumn id="26" xr3:uid="{A0B7E2D9-1E3D-44E4-AC90-FE5FF65BB429}" name="Breakeven" dataDxfId="4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D5CB1E6-9D23-49BE-83E1-2DE5D3BD92B0}" name="Tabla336106734826" displayName="Tabla336106734826" ref="B16:AG45" totalsRowShown="0" headerRowDxfId="33" dataDxfId="32">
  <autoFilter ref="B16:AG45" xr:uid="{00000000-0009-0000-0100-000009000000}"/>
  <sortState xmlns:xlrd2="http://schemas.microsoft.com/office/spreadsheetml/2017/richdata2" ref="B17:AG45">
    <sortCondition descending="1" ref="D16:D45"/>
  </sortState>
  <tableColumns count="32">
    <tableColumn id="1" xr3:uid="{295F7D1C-3E33-4BC7-8510-78230FECDA72}" name="Inst" dataDxfId="31"/>
    <tableColumn id="2" xr3:uid="{90DF6F2C-E3A5-4E61-8D27-1548EAFCD8DC}" name="L/S" dataDxfId="30"/>
    <tableColumn id="3" xr3:uid="{75AD0E6F-2440-4A01-97F5-204C4D565BBB}" name="O/C" dataDxfId="29">
      <calculatedColumnFormula>IF(E17&lt;&gt;"",IF(K17&lt;&gt;"","C","O"),"")</calculatedColumnFormula>
    </tableColumn>
    <tableColumn id="4" xr3:uid="{BC481DA4-D86C-4EEB-88F2-BE0F9CD76F3E}" name="DATE" dataDxfId="28"/>
    <tableColumn id="5" xr3:uid="{44406608-85E8-4677-BC6B-2180EABAE4E5}" name="INST." dataDxfId="27"/>
    <tableColumn id="6" xr3:uid="{ED245E6F-E85E-455F-BE7B-2FBC31918A9F}" name="ENTRY " dataDxfId="26"/>
    <tableColumn id="7" xr3:uid="{0BEC6482-7329-4B75-91AF-7C34B1254711}" name="STOP " dataDxfId="25"/>
    <tableColumn id="8" xr3:uid="{94B1EF3E-5957-4A13-9536-40597E3BD6B7}" name="TR_x000a_(in Pips)" dataDxfId="24">
      <calculatedColumnFormula>ABS(G17-H17)</calculatedColumnFormula>
    </tableColumn>
    <tableColumn id="9" xr3:uid="{E3AA3C98-B8B0-4F13-854E-136086910F65}" name="TARGET" dataDxfId="23"/>
    <tableColumn id="10" xr3:uid="{9684D0D0-3A7E-4D34-B802-2BE8D8E189A8}" name="DATE2" dataDxfId="22"/>
    <tableColumn id="11" xr3:uid="{EBC47998-63F1-41CE-B23E-2B618D09CE84}" name="EXIT" dataDxfId="21"/>
    <tableColumn id="12" xr3:uid="{AB24A352-A2B3-455F-B6FB-4A3E0DB922CC}" name="RESULT" dataDxfId="20">
      <calculatedColumnFormula>ROUND(IF(C17="L",(L17-G17),(G17-L17)),4)</calculatedColumnFormula>
    </tableColumn>
    <tableColumn id="13" xr3:uid="{01B58812-28B0-4489-A199-5C73479AB4BD}" name="No. of Rs" dataDxfId="19">
      <calculatedColumnFormula>IFERROR(ROUND((M17/I17),2),"")</calculatedColumnFormula>
    </tableColumn>
    <tableColumn id="14" xr3:uid="{505307BC-95FF-41DE-A99A-99752774AA0D}" name="Heat" dataDxfId="18">
      <calculatedColumnFormula>IF(D17="O",IF(N17&lt;0,N17,0),0)</calculatedColumnFormula>
    </tableColumn>
    <tableColumn id="15" xr3:uid="{23C67F6D-6002-4444-B11D-AFD44ED4F258}" name=" TR WIN" dataDxfId="17">
      <calculatedColumnFormula>IF(N17&gt;= 0,N17,0)</calculatedColumnFormula>
    </tableColumn>
    <tableColumn id="16" xr3:uid="{65038E08-5D1B-4FD2-A53B-FC7AE018195B}" name=" TR LOSS" dataDxfId="16">
      <calculatedColumnFormula>IF(N17&lt;0,N17,0)</calculatedColumnFormula>
    </tableColumn>
    <tableColumn id="33" xr3:uid="{A840F398-B77A-42AE-A1DF-DC4668F77FD3}" name="Initial Losing Trade" dataDxfId="15">
      <calculatedColumnFormula>IF(AND(OFFSET(Tabla336106734826[[#This Row],[Equity]],1,0)="",Tabla336106734826[[#This Row],[No. of Rs]]&lt;0),"Yes",IF(AND(OFFSET(Tabla336106734826[[#This Row],[Initial Losing Trade]],1,0)="Yes",Tabla336106734826[[#This Row],[No. of Rs]]&lt;0),"Yes","No"))</calculatedColumnFormula>
    </tableColumn>
    <tableColumn id="30" xr3:uid="{DD907129-CC1D-4982-84FA-6F0BD590BD15}" name="Equity" dataDxfId="14">
      <calculatedColumnFormula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calculatedColumnFormula>
    </tableColumn>
    <tableColumn id="32" xr3:uid="{B1791C2B-993B-450B-AEC6-B3A6DCCF77EE}" name="Equity Peak" dataDxfId="13">
      <calculatedColumnFormula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calculatedColumnFormula>
    </tableColumn>
    <tableColumn id="31" xr3:uid="{4042E923-D7B4-44D6-94C4-2328CD2E62A2}" name="Drawdown" dataDxfId="12">
      <calculatedColumnFormula>IF(Tabla336106734826[[#This Row],[Equity]]&lt;Tabla336106734826[[#This Row],[Equity Peak]],(Tabla336106734826[[#This Row],[Equity Peak]]-Tabla336106734826[[#This Row],[Equity]])/Tabla336106734826[[#This Row],[Equity Peak]],"")</calculatedColumnFormula>
    </tableColumn>
    <tableColumn id="17" xr3:uid="{992DE1F9-3F07-4D03-A9E4-CA8014A5FABF}" name="Currency" dataDxfId="11">
      <calculatedColumnFormula>IF(B17="FX",N17,0)</calculatedColumnFormula>
    </tableColumn>
    <tableColumn id="18" xr3:uid="{1DB880FB-924F-443E-9EEF-051E328265BE}" name="Heat3" dataDxfId="10">
      <calculatedColumnFormula>IF(D17="O",IF(V17&lt;0,V17,0),0)</calculatedColumnFormula>
    </tableColumn>
    <tableColumn id="19" xr3:uid="{E088D639-EFA5-43E2-9957-30EB46002E80}" name="Commodities" dataDxfId="9">
      <calculatedColumnFormula>IF(B17="COM",N17,0)</calculatedColumnFormula>
    </tableColumn>
    <tableColumn id="20" xr3:uid="{5FE80C2F-B1C9-460B-8279-DDD49552A361}" name="Heat4" dataDxfId="8">
      <calculatedColumnFormula>IF(D17="O",IF(X17&lt;0,X17,0),0)</calculatedColumnFormula>
    </tableColumn>
    <tableColumn id="21" xr3:uid="{C338248F-155D-49D7-B286-76B366670A69}" name="Index" dataDxfId="7">
      <calculatedColumnFormula>IF(B17="IND",N17,0)</calculatedColumnFormula>
    </tableColumn>
    <tableColumn id="22" xr3:uid="{EDED54AD-5239-4601-960C-39CC4CB6C605}" name="Heat5" dataDxfId="6">
      <calculatedColumnFormula>IF(D17="O",IF(Z17&lt;0,Z17,0),0)</calculatedColumnFormula>
    </tableColumn>
    <tableColumn id="27" xr3:uid="{D6542A1F-CDC0-404F-A8AD-2F2B23ADA684}" name="Cryptocurrency" dataDxfId="5">
      <calculatedColumnFormula>IF(B17="CRYPTO",N17,0)</calculatedColumnFormula>
    </tableColumn>
    <tableColumn id="28" xr3:uid="{1F1DEACE-C8FA-4BAD-9D46-E1F850A2AAF8}" name="Heat6" dataDxfId="4">
      <calculatedColumnFormula>IF(D17="O",IF(AB17&lt;0,AB17,0),0)</calculatedColumnFormula>
    </tableColumn>
    <tableColumn id="23" xr3:uid="{206F048B-3B9B-4D70-B174-0B50FE503E19}" name="Length of _x000a_Trade" dataDxfId="3">
      <calculatedColumnFormula>IF(K17&lt;&gt;"",K17-E17,0)</calculatedColumnFormula>
    </tableColumn>
    <tableColumn id="24" xr3:uid="{92623D2D-5C37-4E45-9996-B7701CF0B33B}" name="Win" dataDxfId="2">
      <calculatedColumnFormula>IF(N17&gt;0,AD17,0)</calculatedColumnFormula>
    </tableColumn>
    <tableColumn id="25" xr3:uid="{BF999D67-6714-4032-9CB3-093370C56128}" name="Loss" dataDxfId="1">
      <calculatedColumnFormula>IF(N17&lt;0,AD17,0)</calculatedColumnFormula>
    </tableColumn>
    <tableColumn id="26" xr3:uid="{3A62F536-C591-47E5-831B-C53C91638E36}" name="Breakeven" dataDxfId="0">
      <calculatedColumnFormula>IF(N17=0,AD17,0)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13C3-47FF-4FE9-8595-476BF59175BE}">
  <sheetPr codeName="Hoja8">
    <pageSetUpPr fitToPage="1"/>
  </sheetPr>
  <dimension ref="A1:AX573"/>
  <sheetViews>
    <sheetView showGridLines="0" showZeros="0" tabSelected="1" zoomScale="115" zoomScaleNormal="115" zoomScalePageLayoutView="99" workbookViewId="0">
      <pane ySplit="16" topLeftCell="A17" activePane="bottomLeft" state="frozen"/>
      <selection pane="bottomLeft" activeCell="B17" sqref="B17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COUNTA(Tabla33610673[Inst])</f>
        <v>557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242.80999999999992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106.74999999999997</v>
      </c>
      <c r="W6" s="18"/>
      <c r="X6" s="17">
        <f>+X13</f>
        <v>46.23</v>
      </c>
      <c r="Y6" s="19"/>
      <c r="Z6" s="17">
        <f>+Z13</f>
        <v>40.34999999999998</v>
      </c>
      <c r="AA6" s="19"/>
      <c r="AB6" s="17">
        <f>+AB13</f>
        <v>49.48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COUNTIF(Tabla33610673[No. of Rs],"&gt;0")</f>
        <v>185</v>
      </c>
      <c r="G7" s="24">
        <f>IFERROR((F7/$F$6),"")</f>
        <v>0.33213644524236985</v>
      </c>
      <c r="H7" s="78">
        <f>IFERROR((+P13/F7),"")</f>
        <v>2.522540540540541</v>
      </c>
      <c r="I7" s="227">
        <f>H7/H9</f>
        <v>4.1354970891556269</v>
      </c>
      <c r="J7" s="227">
        <f>AVERAGE(Tabla33610673[No. of Rs])</f>
        <v>0.43592459605026918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0.43964416622050168</v>
      </c>
      <c r="W7" s="27"/>
      <c r="X7" s="26">
        <f>IFERROR((X6/N6),"")</f>
        <v>0.19039578271076155</v>
      </c>
      <c r="Y7" s="28"/>
      <c r="Z7" s="26">
        <f>IFERROR((Z6/N6),"")</f>
        <v>0.16617931716156664</v>
      </c>
      <c r="AA7" s="28"/>
      <c r="AB7" s="26">
        <f>IFERROR((AB6/N6),"")</f>
        <v>0.20378073390717028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COUNTIF(Tabla33610673[No. of Rs],"=0")</f>
        <v>5</v>
      </c>
      <c r="G8" s="24">
        <f>IFERROR((F8/$F$6),"")</f>
        <v>8.9766606822262122E-3</v>
      </c>
      <c r="H8" s="78"/>
      <c r="I8" s="228"/>
      <c r="J8" s="228"/>
      <c r="K8" s="163"/>
      <c r="L8" s="212" t="s">
        <v>112</v>
      </c>
      <c r="M8" s="213"/>
      <c r="N8" s="195">
        <f ca="1">OFFSET(Tabla33610673[[#Headers],[Equity]],1,0)</f>
        <v>342810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COUNTIF(Tabla33610673[No. of Rs],"&lt;0")</f>
        <v>367</v>
      </c>
      <c r="G9" s="32">
        <f>IFERROR((F9/$F$6),"")</f>
        <v>0.65888689407540391</v>
      </c>
      <c r="H9" s="79">
        <f>IFERROR((-Q13/F9),"")</f>
        <v>0.60997275204359669</v>
      </c>
      <c r="I9" s="229"/>
      <c r="J9" s="229"/>
      <c r="K9" s="149"/>
      <c r="L9" s="230" t="s">
        <v>106</v>
      </c>
      <c r="M9" s="231"/>
      <c r="N9" s="125">
        <f ca="1">MAX(Tabla33610673[Drawdown])</f>
        <v>0.10905176448563138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OFFSET(Tabla33610673[[#Headers],[Drawdown]],1,0)</f>
        <v>1.4460671573137074E-2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IF(COUNTIFS(Tabla33610673[O/C],"O")&lt;1,"None",COUNTIFS(Tabla33610673[O/C],"O"))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SUM(Tabla33610673[No. of Rs])</f>
        <v>242.80999999999992</v>
      </c>
      <c r="O13" s="42">
        <f>SUM(Tabla33610673[Heat])</f>
        <v>0</v>
      </c>
      <c r="P13" s="43">
        <f>SUM(Tabla33610673[[ TR WIN]])</f>
        <v>466.67000000000007</v>
      </c>
      <c r="Q13" s="43">
        <f>SUM(Tabla33610673[[ TR LOSS]])</f>
        <v>-223.85999999999999</v>
      </c>
      <c r="R13" s="114"/>
      <c r="S13" s="115"/>
      <c r="T13" s="115"/>
      <c r="U13" s="121"/>
      <c r="V13" s="44">
        <f>SUM(Tabla33610673[Currency])</f>
        <v>106.74999999999997</v>
      </c>
      <c r="W13" s="44">
        <f>SUM(Tabla33610673[Heat3])</f>
        <v>0</v>
      </c>
      <c r="X13" s="44">
        <f>SUM(Tabla33610673[Commodities])</f>
        <v>46.23</v>
      </c>
      <c r="Y13" s="44">
        <f>SUM(Tabla33610673[Heat4])</f>
        <v>0</v>
      </c>
      <c r="Z13" s="44">
        <f>SUM(Tabla33610673[Index])</f>
        <v>40.34999999999998</v>
      </c>
      <c r="AA13" s="44">
        <f>SUM(Tabla33610673[Heat5])</f>
        <v>0</v>
      </c>
      <c r="AB13" s="44">
        <f>SUM(Tabla33610673[Cryptocurrency])</f>
        <v>49.48</v>
      </c>
      <c r="AC13" s="44">
        <f>SUM(Tabla33610673[Heat6])</f>
        <v>0</v>
      </c>
      <c r="AD13" s="75">
        <f>AVERAGEIF(Tabla33610673[Length of 
Trade],"&lt;&gt;0")</f>
        <v>5.6009001595853825</v>
      </c>
      <c r="AE13" s="75">
        <f>AVERAGEIF(Tabla33610673[Win],"&lt;&gt;0")</f>
        <v>10.297728978979245</v>
      </c>
      <c r="AF13" s="75">
        <f>AVERAGEIF(Tabla33610673[Loss],"&lt;&gt;0")</f>
        <v>3.2133401453227819</v>
      </c>
      <c r="AG13" s="76">
        <f>AVERAGEIF(Tabla33610673[Breakeven],"&lt;&gt;0")</f>
        <v>7.0651388888873043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196" t="s">
        <v>7</v>
      </c>
      <c r="C17" s="197" t="s">
        <v>15</v>
      </c>
      <c r="D17" s="198" t="str">
        <f t="shared" ref="D17:D80" si="0">IF(E17&lt;&gt;"",IF(K17&lt;&gt;"","C","O"),"")</f>
        <v>C</v>
      </c>
      <c r="E17" s="199">
        <v>44868.833333333336</v>
      </c>
      <c r="F17" s="200" t="s">
        <v>113</v>
      </c>
      <c r="G17" s="201">
        <v>148.238</v>
      </c>
      <c r="H17" s="201">
        <v>145.96799999999999</v>
      </c>
      <c r="I17" s="202">
        <f t="shared" ref="I17:I80" si="1">ABS(G17-H17)</f>
        <v>2.2700000000000102</v>
      </c>
      <c r="J17" s="201">
        <v>158.833</v>
      </c>
      <c r="K17" s="199">
        <v>44869.663194444445</v>
      </c>
      <c r="L17" s="201">
        <v>147.191</v>
      </c>
      <c r="M17" s="203">
        <f t="shared" ref="M17:M80" si="2">ROUND(IF(C17="L",(L17-G17),(G17-L17)),4)</f>
        <v>-1.0469999999999999</v>
      </c>
      <c r="N17" s="204">
        <f t="shared" ref="N17:N80" si="3">IFERROR(ROUND((M17/I17),2),"")</f>
        <v>-0.46</v>
      </c>
      <c r="O17" s="205">
        <f t="shared" ref="O17:O80" si="4">IF(D17="O",IF(N17&lt;0,N17,0),0)</f>
        <v>0</v>
      </c>
      <c r="P17" s="206">
        <f t="shared" ref="P17:P80" si="5">IF(N17&gt;= 0,N17,0)</f>
        <v>0</v>
      </c>
      <c r="Q17" s="206">
        <f t="shared" ref="Q17:Q80" si="6">IF(N17&lt;0,N17,0)</f>
        <v>-0.46</v>
      </c>
      <c r="R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342810</v>
      </c>
      <c r="T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17" s="208">
        <f ca="1">IF(Tabla33610673[[#This Row],[Equity]]&lt;Tabla33610673[[#This Row],[Equity Peak]],(Tabla33610673[[#This Row],[Equity Peak]]-Tabla33610673[[#This Row],[Equity]])/Tabla33610673[[#This Row],[Equity Peak]],"")</f>
        <v>1.4460671573137074E-2</v>
      </c>
      <c r="V17" s="209">
        <f t="shared" ref="V17:V80" si="7">IF(B17="FX",N17,0)</f>
        <v>-0.46</v>
      </c>
      <c r="W17" s="209">
        <f t="shared" ref="W17:W80" si="8">IF(D17="O",IF(V17&lt;0,V17,0),0)</f>
        <v>0</v>
      </c>
      <c r="X17" s="209">
        <f t="shared" ref="X17:X80" si="9">IF(B17="COM",N17,0)</f>
        <v>0</v>
      </c>
      <c r="Y17" s="209">
        <f t="shared" ref="Y17:Y80" si="10">IF(D17="O",IF(X17&lt;0,X17,0),0)</f>
        <v>0</v>
      </c>
      <c r="Z17" s="209">
        <f t="shared" ref="Z17:Z80" si="11">IF(B17="IND",N17,0)</f>
        <v>0</v>
      </c>
      <c r="AA17" s="205">
        <f t="shared" ref="AA17:AA80" si="12">IF(D17="O",IF(Z17&lt;0,Z17,0),0)</f>
        <v>0</v>
      </c>
      <c r="AB17" s="209">
        <f t="shared" ref="AB17:AB80" si="13">IF(B17="CRYPTO",N17,0)</f>
        <v>0</v>
      </c>
      <c r="AC17" s="205">
        <f t="shared" ref="AC17:AC80" si="14">IF(D17="O",IF(AB17&lt;0,AB17,0),0)</f>
        <v>0</v>
      </c>
      <c r="AD17" s="210">
        <f t="shared" ref="AD17:AD80" si="15">IF(K17&lt;&gt;"",K17-E17,0)</f>
        <v>0.82986111110949423</v>
      </c>
      <c r="AE17" s="210">
        <f t="shared" ref="AE17:AE80" si="16">IF(N17&gt;0,AD17,0)</f>
        <v>0</v>
      </c>
      <c r="AF17" s="210">
        <f t="shared" ref="AF17:AF80" si="17">IF(N17&lt;0,AD17,0)</f>
        <v>0.82986111110949423</v>
      </c>
      <c r="AG17" s="210">
        <f t="shared" ref="AG17:AG80" si="18">IF(N17=0,AD17,0)</f>
        <v>0</v>
      </c>
      <c r="AH17" s="176"/>
      <c r="AI17" s="109"/>
    </row>
    <row r="18" spans="1:35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44865.666666666664</v>
      </c>
      <c r="F18" s="200" t="s">
        <v>113</v>
      </c>
      <c r="G18" s="201">
        <v>148.744</v>
      </c>
      <c r="H18" s="201">
        <v>146.64500000000001</v>
      </c>
      <c r="I18" s="202">
        <f t="shared" si="1"/>
        <v>2.0989999999999895</v>
      </c>
      <c r="J18" s="201">
        <v>158.541</v>
      </c>
      <c r="K18" s="199">
        <v>44866.387499999997</v>
      </c>
      <c r="L18" s="201">
        <v>147.97499999999999</v>
      </c>
      <c r="M18" s="203">
        <f t="shared" si="2"/>
        <v>-0.76900000000000002</v>
      </c>
      <c r="N18" s="204">
        <f t="shared" si="3"/>
        <v>-0.37</v>
      </c>
      <c r="O18" s="205">
        <f t="shared" si="4"/>
        <v>0</v>
      </c>
      <c r="P18" s="206">
        <f t="shared" si="5"/>
        <v>0</v>
      </c>
      <c r="Q18" s="206">
        <f t="shared" si="6"/>
        <v>-0.37</v>
      </c>
      <c r="R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343270</v>
      </c>
      <c r="T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18" s="208">
        <f ca="1">IF(Tabla33610673[[#This Row],[Equity]]&lt;Tabla33610673[[#This Row],[Equity Peak]],(Tabla33610673[[#This Row],[Equity Peak]]-Tabla33610673[[#This Row],[Equity]])/Tabla33610673[[#This Row],[Equity Peak]],"")</f>
        <v>1.313822447102116E-2</v>
      </c>
      <c r="V18" s="209">
        <f t="shared" si="7"/>
        <v>-0.37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0.72083333333284827</v>
      </c>
      <c r="AE18" s="210">
        <f t="shared" si="16"/>
        <v>0</v>
      </c>
      <c r="AF18" s="210">
        <f t="shared" si="17"/>
        <v>0.72083333333284827</v>
      </c>
      <c r="AG18" s="210">
        <f t="shared" si="18"/>
        <v>0</v>
      </c>
    </row>
    <row r="19" spans="1:35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44858.125</v>
      </c>
      <c r="F19" s="200" t="s">
        <v>94</v>
      </c>
      <c r="G19" s="201">
        <v>7014.7</v>
      </c>
      <c r="H19" s="201">
        <v>6916.64</v>
      </c>
      <c r="I19" s="202">
        <f t="shared" si="1"/>
        <v>98.059999999999491</v>
      </c>
      <c r="J19" s="201">
        <v>7505.01</v>
      </c>
      <c r="K19" s="199">
        <v>44858.46597222222</v>
      </c>
      <c r="L19" s="201">
        <v>6928.2</v>
      </c>
      <c r="M19" s="203">
        <f t="shared" si="2"/>
        <v>-86.5</v>
      </c>
      <c r="N19" s="204">
        <f t="shared" si="3"/>
        <v>-0.88</v>
      </c>
      <c r="O19" s="205">
        <f t="shared" si="4"/>
        <v>0</v>
      </c>
      <c r="P19" s="206">
        <f t="shared" si="5"/>
        <v>0</v>
      </c>
      <c r="Q19" s="206">
        <f t="shared" si="6"/>
        <v>-0.88</v>
      </c>
      <c r="R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343640</v>
      </c>
      <c r="T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19" s="208">
        <f ca="1">IF(Tabla33610673[[#This Row],[Equity]]&lt;Tabla33610673[[#This Row],[Equity Peak]],(Tabla33610673[[#This Row],[Equity Peak]]-Tabla33610673[[#This Row],[Equity]])/Tabla33610673[[#This Row],[Equity Peak]],"")</f>
        <v>1.2074517019319227E-2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-0.88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0.34097222222044365</v>
      </c>
      <c r="AE19" s="210">
        <f t="shared" si="16"/>
        <v>0</v>
      </c>
      <c r="AF19" s="210">
        <f t="shared" si="17"/>
        <v>0.34097222222044365</v>
      </c>
      <c r="AG19" s="210">
        <f t="shared" si="18"/>
        <v>0</v>
      </c>
    </row>
    <row r="20" spans="1:35" ht="15" customHeight="1" x14ac:dyDescent="0.3">
      <c r="B20" s="196" t="s">
        <v>5</v>
      </c>
      <c r="C20" s="197" t="s">
        <v>13</v>
      </c>
      <c r="D20" s="198" t="str">
        <f t="shared" si="0"/>
        <v>C</v>
      </c>
      <c r="E20" s="199">
        <v>44853.625</v>
      </c>
      <c r="F20" s="200" t="s">
        <v>94</v>
      </c>
      <c r="G20" s="201">
        <v>6924.06</v>
      </c>
      <c r="H20" s="201">
        <v>7027.18</v>
      </c>
      <c r="I20" s="202">
        <f t="shared" si="1"/>
        <v>103.11999999999989</v>
      </c>
      <c r="J20" s="201">
        <v>6408.44</v>
      </c>
      <c r="K20" s="199">
        <v>44855.705555555556</v>
      </c>
      <c r="L20" s="201">
        <v>6951.1</v>
      </c>
      <c r="M20" s="203">
        <f t="shared" si="2"/>
        <v>-27.04</v>
      </c>
      <c r="N20" s="204">
        <f t="shared" si="3"/>
        <v>-0.26</v>
      </c>
      <c r="O20" s="205">
        <f t="shared" si="4"/>
        <v>0</v>
      </c>
      <c r="P20" s="206">
        <f t="shared" si="5"/>
        <v>0</v>
      </c>
      <c r="Q20" s="206">
        <f t="shared" si="6"/>
        <v>-0.26</v>
      </c>
      <c r="R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344520</v>
      </c>
      <c r="T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20" s="208">
        <f ca="1">IF(Tabla33610673[[#This Row],[Equity]]&lt;Tabla33610673[[#This Row],[Equity Peak]],(Tabla33610673[[#This Row],[Equity Peak]]-Tabla33610673[[#This Row],[Equity]])/Tabla33610673[[#This Row],[Equity Peak]],"")</f>
        <v>9.5446182152713888E-3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-0.26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2.0805555555562023</v>
      </c>
      <c r="AE20" s="210">
        <f t="shared" si="16"/>
        <v>0</v>
      </c>
      <c r="AF20" s="210">
        <f t="shared" si="17"/>
        <v>2.0805555555562023</v>
      </c>
      <c r="AG20" s="210">
        <f t="shared" si="18"/>
        <v>0</v>
      </c>
    </row>
    <row r="21" spans="1:35" ht="15" customHeight="1" x14ac:dyDescent="0.3">
      <c r="B21" s="196" t="s">
        <v>5</v>
      </c>
      <c r="C21" s="197" t="s">
        <v>15</v>
      </c>
      <c r="D21" s="198" t="str">
        <f t="shared" si="0"/>
        <v>C</v>
      </c>
      <c r="E21" s="199">
        <v>44852.458333333336</v>
      </c>
      <c r="F21" s="200" t="s">
        <v>94</v>
      </c>
      <c r="G21" s="201">
        <v>6994.05</v>
      </c>
      <c r="H21" s="201">
        <v>6868.07</v>
      </c>
      <c r="I21" s="202">
        <f t="shared" si="1"/>
        <v>125.98000000000047</v>
      </c>
      <c r="J21" s="201">
        <v>7623.94</v>
      </c>
      <c r="K21" s="199">
        <v>44853.44027777778</v>
      </c>
      <c r="L21" s="201">
        <v>6917.86</v>
      </c>
      <c r="M21" s="203">
        <f t="shared" si="2"/>
        <v>-76.19</v>
      </c>
      <c r="N21" s="204">
        <f t="shared" si="3"/>
        <v>-0.6</v>
      </c>
      <c r="O21" s="205">
        <f t="shared" si="4"/>
        <v>0</v>
      </c>
      <c r="P21" s="206">
        <f t="shared" si="5"/>
        <v>0</v>
      </c>
      <c r="Q21" s="206">
        <f t="shared" si="6"/>
        <v>-0.6</v>
      </c>
      <c r="R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344780</v>
      </c>
      <c r="T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21" s="208">
        <f ca="1">IF(Tabla33610673[[#This Row],[Equity]]&lt;Tabla33610673[[#This Row],[Equity Peak]],(Tabla33610673[[#This Row],[Equity Peak]]-Tabla33610673[[#This Row],[Equity]])/Tabla33610673[[#This Row],[Equity Peak]],"")</f>
        <v>8.7971481140754378E-3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-0.6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0.98194444444379769</v>
      </c>
      <c r="AE21" s="210">
        <f t="shared" si="16"/>
        <v>0</v>
      </c>
      <c r="AF21" s="210">
        <f t="shared" si="17"/>
        <v>0.98194444444379769</v>
      </c>
      <c r="AG21" s="210">
        <f t="shared" si="18"/>
        <v>0</v>
      </c>
    </row>
    <row r="22" spans="1:35" ht="15" customHeight="1" x14ac:dyDescent="0.3">
      <c r="B22" s="196" t="s">
        <v>5</v>
      </c>
      <c r="C22" s="197" t="s">
        <v>13</v>
      </c>
      <c r="D22" s="198" t="str">
        <f t="shared" si="0"/>
        <v>C</v>
      </c>
      <c r="E22" s="199">
        <v>44840.625</v>
      </c>
      <c r="F22" s="200" t="s">
        <v>94</v>
      </c>
      <c r="G22" s="201">
        <v>6993.57</v>
      </c>
      <c r="H22" s="201">
        <v>7096.31</v>
      </c>
      <c r="I22" s="202">
        <f t="shared" si="1"/>
        <v>102.74000000000069</v>
      </c>
      <c r="J22" s="201">
        <v>6479.88</v>
      </c>
      <c r="K22" s="199">
        <v>44847.893055555556</v>
      </c>
      <c r="L22" s="201">
        <v>6890.93</v>
      </c>
      <c r="M22" s="203">
        <f t="shared" si="2"/>
        <v>102.64</v>
      </c>
      <c r="N22" s="204">
        <f t="shared" si="3"/>
        <v>1</v>
      </c>
      <c r="O22" s="205">
        <f t="shared" si="4"/>
        <v>0</v>
      </c>
      <c r="P22" s="206">
        <f t="shared" si="5"/>
        <v>1</v>
      </c>
      <c r="Q22" s="206">
        <f t="shared" si="6"/>
        <v>0</v>
      </c>
      <c r="R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345380</v>
      </c>
      <c r="T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22" s="208">
        <f ca="1">IF(Tabla33610673[[#This Row],[Equity]]&lt;Tabla33610673[[#This Row],[Equity Peak]],(Tabla33610673[[#This Row],[Equity Peak]]-Tabla33610673[[#This Row],[Equity]])/Tabla33610673[[#This Row],[Equity Peak]],"")</f>
        <v>7.0722171113155475E-3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1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7.2680555555562023</v>
      </c>
      <c r="AE22" s="210">
        <f t="shared" si="16"/>
        <v>7.2680555555562023</v>
      </c>
      <c r="AF22" s="210">
        <f t="shared" si="17"/>
        <v>0</v>
      </c>
      <c r="AG22" s="210">
        <f t="shared" si="18"/>
        <v>0</v>
      </c>
    </row>
    <row r="23" spans="1:35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44830.166666666664</v>
      </c>
      <c r="F23" s="200" t="s">
        <v>113</v>
      </c>
      <c r="G23" s="201">
        <v>143.803</v>
      </c>
      <c r="H23" s="201">
        <v>140.84299999999999</v>
      </c>
      <c r="I23" s="202">
        <f t="shared" si="1"/>
        <v>2.960000000000008</v>
      </c>
      <c r="J23" s="201">
        <v>157.61699999999999</v>
      </c>
      <c r="K23" s="199">
        <v>44832.84652777778</v>
      </c>
      <c r="L23" s="201">
        <v>143.99199999999999</v>
      </c>
      <c r="M23" s="203">
        <f t="shared" si="2"/>
        <v>0.189</v>
      </c>
      <c r="N23" s="204">
        <f t="shared" si="3"/>
        <v>0.06</v>
      </c>
      <c r="O23" s="205">
        <f t="shared" si="4"/>
        <v>0</v>
      </c>
      <c r="P23" s="206">
        <f t="shared" si="5"/>
        <v>0.06</v>
      </c>
      <c r="Q23" s="206">
        <f t="shared" si="6"/>
        <v>0</v>
      </c>
      <c r="R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344380</v>
      </c>
      <c r="T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23" s="208">
        <f ca="1">IF(Tabla33610673[[#This Row],[Equity]]&lt;Tabla33610673[[#This Row],[Equity Peak]],(Tabla33610673[[#This Row],[Equity Peak]]-Tabla33610673[[#This Row],[Equity]])/Tabla33610673[[#This Row],[Equity Peak]],"")</f>
        <v>9.9471021159153634E-3</v>
      </c>
      <c r="V23" s="209">
        <f t="shared" si="7"/>
        <v>0.06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2.679861111115315</v>
      </c>
      <c r="AE23" s="210">
        <f t="shared" si="16"/>
        <v>2.679861111115315</v>
      </c>
      <c r="AF23" s="210">
        <f t="shared" si="17"/>
        <v>0</v>
      </c>
      <c r="AG23" s="210">
        <f t="shared" si="18"/>
        <v>0</v>
      </c>
    </row>
    <row r="24" spans="1:35" ht="15" customHeight="1" x14ac:dyDescent="0.3">
      <c r="B24" s="196" t="s">
        <v>5</v>
      </c>
      <c r="C24" s="197" t="s">
        <v>13</v>
      </c>
      <c r="D24" s="198" t="str">
        <f t="shared" si="0"/>
        <v>C</v>
      </c>
      <c r="E24" s="199">
        <v>44818.625</v>
      </c>
      <c r="F24" s="200" t="s">
        <v>94</v>
      </c>
      <c r="G24" s="201">
        <v>7266.24</v>
      </c>
      <c r="H24" s="201">
        <v>7361.02</v>
      </c>
      <c r="I24" s="202">
        <f t="shared" si="1"/>
        <v>94.780000000000655</v>
      </c>
      <c r="J24" s="201">
        <v>6792.32</v>
      </c>
      <c r="K24" s="199">
        <v>44824.420138888891</v>
      </c>
      <c r="L24" s="201">
        <v>7299.88</v>
      </c>
      <c r="M24" s="203">
        <f t="shared" si="2"/>
        <v>-33.64</v>
      </c>
      <c r="N24" s="204">
        <f t="shared" si="3"/>
        <v>-0.35</v>
      </c>
      <c r="O24" s="205">
        <f t="shared" si="4"/>
        <v>0</v>
      </c>
      <c r="P24" s="206">
        <f t="shared" si="5"/>
        <v>0</v>
      </c>
      <c r="Q24" s="206">
        <f t="shared" si="6"/>
        <v>-0.35</v>
      </c>
      <c r="R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344320</v>
      </c>
      <c r="T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24" s="208">
        <f ca="1">IF(Tabla33610673[[#This Row],[Equity]]&lt;Tabla33610673[[#This Row],[Equity Peak]],(Tabla33610673[[#This Row],[Equity Peak]]-Tabla33610673[[#This Row],[Equity]])/Tabla33610673[[#This Row],[Equity Peak]],"")</f>
        <v>1.0119595216191352E-2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-0.35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5.7951388888905058</v>
      </c>
      <c r="AE24" s="210">
        <f t="shared" si="16"/>
        <v>0</v>
      </c>
      <c r="AF24" s="210">
        <f t="shared" si="17"/>
        <v>5.7951388888905058</v>
      </c>
      <c r="AG24" s="210">
        <f t="shared" si="18"/>
        <v>0</v>
      </c>
    </row>
    <row r="25" spans="1:35" ht="15" customHeight="1" x14ac:dyDescent="0.3">
      <c r="B25" s="196" t="s">
        <v>5</v>
      </c>
      <c r="C25" s="197" t="s">
        <v>15</v>
      </c>
      <c r="D25" s="198" t="str">
        <f t="shared" si="0"/>
        <v>C</v>
      </c>
      <c r="E25" s="199">
        <v>44813.791666666664</v>
      </c>
      <c r="F25" s="200" t="s">
        <v>94</v>
      </c>
      <c r="G25" s="201">
        <v>7357.9</v>
      </c>
      <c r="H25" s="201">
        <v>7260.46</v>
      </c>
      <c r="I25" s="202">
        <f t="shared" si="1"/>
        <v>97.4399999999996</v>
      </c>
      <c r="J25" s="201">
        <v>7845.11</v>
      </c>
      <c r="K25" s="199">
        <v>44817.666666666664</v>
      </c>
      <c r="L25" s="201">
        <v>7422.29</v>
      </c>
      <c r="M25" s="203">
        <f t="shared" si="2"/>
        <v>64.39</v>
      </c>
      <c r="N25" s="204">
        <f t="shared" si="3"/>
        <v>0.66</v>
      </c>
      <c r="O25" s="205">
        <f t="shared" si="4"/>
        <v>0</v>
      </c>
      <c r="P25" s="206">
        <f t="shared" si="5"/>
        <v>0.66</v>
      </c>
      <c r="Q25" s="206">
        <f t="shared" si="6"/>
        <v>0</v>
      </c>
      <c r="R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344670</v>
      </c>
      <c r="T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25" s="208">
        <f ca="1">IF(Tabla33610673[[#This Row],[Equity]]&lt;Tabla33610673[[#This Row],[Equity Peak]],(Tabla33610673[[#This Row],[Equity Peak]]-Tabla33610673[[#This Row],[Equity]])/Tabla33610673[[#This Row],[Equity Peak]],"")</f>
        <v>9.1133854645814166E-3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0.66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3.875</v>
      </c>
      <c r="AE25" s="210">
        <f t="shared" si="16"/>
        <v>3.875</v>
      </c>
      <c r="AF25" s="210">
        <f t="shared" si="17"/>
        <v>0</v>
      </c>
      <c r="AG25" s="210">
        <f t="shared" si="18"/>
        <v>0</v>
      </c>
    </row>
    <row r="26" spans="1:35" ht="15" customHeight="1" x14ac:dyDescent="0.3">
      <c r="B26" s="196" t="s">
        <v>5</v>
      </c>
      <c r="C26" s="197" t="s">
        <v>13</v>
      </c>
      <c r="D26" s="198" t="str">
        <f t="shared" si="0"/>
        <v>C</v>
      </c>
      <c r="E26" s="199">
        <v>44799.791666666664</v>
      </c>
      <c r="F26" s="200" t="s">
        <v>94</v>
      </c>
      <c r="G26" s="201">
        <v>7426.04</v>
      </c>
      <c r="H26" s="201">
        <v>7515.35</v>
      </c>
      <c r="I26" s="202">
        <f t="shared" si="1"/>
        <v>89.3100000000004</v>
      </c>
      <c r="J26" s="201">
        <v>6979.48</v>
      </c>
      <c r="K26" s="199">
        <v>44803.430555555555</v>
      </c>
      <c r="L26" s="201">
        <v>7466.07</v>
      </c>
      <c r="M26" s="203">
        <f t="shared" si="2"/>
        <v>-40.03</v>
      </c>
      <c r="N26" s="204">
        <f t="shared" si="3"/>
        <v>-0.45</v>
      </c>
      <c r="O26" s="205">
        <f t="shared" si="4"/>
        <v>0</v>
      </c>
      <c r="P26" s="206">
        <f t="shared" si="5"/>
        <v>0</v>
      </c>
      <c r="Q26" s="206">
        <f t="shared" si="6"/>
        <v>-0.45</v>
      </c>
      <c r="R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344010</v>
      </c>
      <c r="T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26" s="208">
        <f ca="1">IF(Tabla33610673[[#This Row],[Equity]]&lt;Tabla33610673[[#This Row],[Equity Peak]],(Tabla33610673[[#This Row],[Equity Peak]]-Tabla33610673[[#This Row],[Equity]])/Tabla33610673[[#This Row],[Equity Peak]],"")</f>
        <v>1.1010809567617295E-2</v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-0.45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3.6388888888905058</v>
      </c>
      <c r="AE26" s="210">
        <f t="shared" si="16"/>
        <v>0</v>
      </c>
      <c r="AF26" s="210">
        <f t="shared" si="17"/>
        <v>3.6388888888905058</v>
      </c>
      <c r="AG26" s="210">
        <f t="shared" si="18"/>
        <v>0</v>
      </c>
    </row>
    <row r="27" spans="1:35" ht="15" customHeight="1" x14ac:dyDescent="0.3">
      <c r="B27" s="196" t="s">
        <v>5</v>
      </c>
      <c r="C27" s="197" t="s">
        <v>15</v>
      </c>
      <c r="D27" s="198" t="str">
        <f t="shared" si="0"/>
        <v>C</v>
      </c>
      <c r="E27" s="199">
        <v>44799.125</v>
      </c>
      <c r="F27" s="200" t="s">
        <v>94</v>
      </c>
      <c r="G27" s="201">
        <v>7498.91</v>
      </c>
      <c r="H27" s="201">
        <v>7415.5</v>
      </c>
      <c r="I27" s="202">
        <f t="shared" si="1"/>
        <v>83.409999999999854</v>
      </c>
      <c r="J27" s="201">
        <v>7915.96</v>
      </c>
      <c r="K27" s="199">
        <v>44799.709722222222</v>
      </c>
      <c r="L27" s="201">
        <v>7452.45</v>
      </c>
      <c r="M27" s="203">
        <f t="shared" si="2"/>
        <v>-46.46</v>
      </c>
      <c r="N27" s="204">
        <f t="shared" si="3"/>
        <v>-0.56000000000000005</v>
      </c>
      <c r="O27" s="205">
        <f t="shared" si="4"/>
        <v>0</v>
      </c>
      <c r="P27" s="206">
        <f t="shared" si="5"/>
        <v>0</v>
      </c>
      <c r="Q27" s="206">
        <f t="shared" si="6"/>
        <v>-0.56000000000000005</v>
      </c>
      <c r="R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344460</v>
      </c>
      <c r="T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27" s="208">
        <f ca="1">IF(Tabla33610673[[#This Row],[Equity]]&lt;Tabla33610673[[#This Row],[Equity Peak]],(Tabla33610673[[#This Row],[Equity Peak]]-Tabla33610673[[#This Row],[Equity]])/Tabla33610673[[#This Row],[Equity Peak]],"")</f>
        <v>9.7171113155473787E-3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-0.56000000000000005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0.58472222222189885</v>
      </c>
      <c r="AE27" s="210">
        <f t="shared" si="16"/>
        <v>0</v>
      </c>
      <c r="AF27" s="210">
        <f t="shared" si="17"/>
        <v>0.58472222222189885</v>
      </c>
      <c r="AG27" s="210">
        <f t="shared" si="18"/>
        <v>0</v>
      </c>
    </row>
    <row r="28" spans="1:35" ht="15" customHeight="1" x14ac:dyDescent="0.3">
      <c r="B28" s="196" t="s">
        <v>5</v>
      </c>
      <c r="C28" s="197" t="s">
        <v>13</v>
      </c>
      <c r="D28" s="198" t="str">
        <f t="shared" si="0"/>
        <v>C</v>
      </c>
      <c r="E28" s="199">
        <v>44798.791666666664</v>
      </c>
      <c r="F28" s="200" t="s">
        <v>94</v>
      </c>
      <c r="G28" s="201">
        <v>7480.51</v>
      </c>
      <c r="H28" s="201">
        <v>7561.55</v>
      </c>
      <c r="I28" s="202">
        <f t="shared" si="1"/>
        <v>81.039999999999964</v>
      </c>
      <c r="J28" s="201">
        <v>7075.3</v>
      </c>
      <c r="K28" s="199">
        <v>44799.125</v>
      </c>
      <c r="L28" s="201">
        <v>7498.91</v>
      </c>
      <c r="M28" s="203">
        <f t="shared" si="2"/>
        <v>-18.399999999999999</v>
      </c>
      <c r="N28" s="204">
        <f t="shared" si="3"/>
        <v>-0.23</v>
      </c>
      <c r="O28" s="205">
        <f t="shared" si="4"/>
        <v>0</v>
      </c>
      <c r="P28" s="206">
        <f t="shared" si="5"/>
        <v>0</v>
      </c>
      <c r="Q28" s="206">
        <f t="shared" si="6"/>
        <v>-0.23</v>
      </c>
      <c r="R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345020</v>
      </c>
      <c r="T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28" s="208">
        <f ca="1">IF(Tabla33610673[[#This Row],[Equity]]&lt;Tabla33610673[[#This Row],[Equity Peak]],(Tabla33610673[[#This Row],[Equity Peak]]-Tabla33610673[[#This Row],[Equity]])/Tabla33610673[[#This Row],[Equity Peak]],"")</f>
        <v>8.1071757129714817E-3</v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-0.23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0.33333333333575865</v>
      </c>
      <c r="AE28" s="210">
        <f t="shared" si="16"/>
        <v>0</v>
      </c>
      <c r="AF28" s="210">
        <f t="shared" si="17"/>
        <v>0.33333333333575865</v>
      </c>
      <c r="AG28" s="210">
        <f t="shared" si="18"/>
        <v>0</v>
      </c>
    </row>
    <row r="29" spans="1:35" ht="15" customHeight="1" x14ac:dyDescent="0.3">
      <c r="B29" s="196" t="s">
        <v>5</v>
      </c>
      <c r="C29" s="197" t="s">
        <v>15</v>
      </c>
      <c r="D29" s="198" t="str">
        <f t="shared" si="0"/>
        <v>C</v>
      </c>
      <c r="E29" s="199">
        <v>44798.458333333336</v>
      </c>
      <c r="F29" s="200" t="s">
        <v>94</v>
      </c>
      <c r="G29" s="201">
        <v>7533.46</v>
      </c>
      <c r="H29" s="201">
        <v>7455.52</v>
      </c>
      <c r="I29" s="202">
        <f t="shared" si="1"/>
        <v>77.9399999999996</v>
      </c>
      <c r="J29" s="201">
        <v>7923.14</v>
      </c>
      <c r="K29" s="199">
        <v>44798.568749999999</v>
      </c>
      <c r="L29" s="201">
        <v>7473.69</v>
      </c>
      <c r="M29" s="203">
        <f t="shared" si="2"/>
        <v>-59.77</v>
      </c>
      <c r="N29" s="204">
        <f t="shared" si="3"/>
        <v>-0.77</v>
      </c>
      <c r="O29" s="205">
        <f t="shared" si="4"/>
        <v>0</v>
      </c>
      <c r="P29" s="206">
        <f t="shared" si="5"/>
        <v>0</v>
      </c>
      <c r="Q29" s="206">
        <f t="shared" si="6"/>
        <v>-0.77</v>
      </c>
      <c r="R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345250</v>
      </c>
      <c r="T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29" s="208">
        <f ca="1">IF(Tabla33610673[[#This Row],[Equity]]&lt;Tabla33610673[[#This Row],[Equity Peak]],(Tabla33610673[[#This Row],[Equity Peak]]-Tabla33610673[[#This Row],[Equity]])/Tabla33610673[[#This Row],[Equity Peak]],"")</f>
        <v>7.4459521619135239E-3</v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-0.77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0.11041666666278616</v>
      </c>
      <c r="AE29" s="210">
        <f t="shared" si="16"/>
        <v>0</v>
      </c>
      <c r="AF29" s="210">
        <f t="shared" si="17"/>
        <v>0.11041666666278616</v>
      </c>
      <c r="AG29" s="210">
        <f t="shared" si="18"/>
        <v>0</v>
      </c>
    </row>
    <row r="30" spans="1:35" ht="15" customHeight="1" x14ac:dyDescent="0.3">
      <c r="B30" s="196" t="s">
        <v>5</v>
      </c>
      <c r="C30" s="197" t="s">
        <v>13</v>
      </c>
      <c r="D30" s="198" t="str">
        <f t="shared" si="0"/>
        <v>C</v>
      </c>
      <c r="E30" s="199">
        <v>44797.125</v>
      </c>
      <c r="F30" s="200" t="s">
        <v>94</v>
      </c>
      <c r="G30" s="201">
        <v>7478.71</v>
      </c>
      <c r="H30" s="201">
        <v>7551.91</v>
      </c>
      <c r="I30" s="202">
        <f t="shared" si="1"/>
        <v>73.199999999999818</v>
      </c>
      <c r="J30" s="201">
        <v>7112.72</v>
      </c>
      <c r="K30" s="199">
        <v>44797.787499999999</v>
      </c>
      <c r="L30" s="201">
        <v>7481.62</v>
      </c>
      <c r="M30" s="203">
        <f t="shared" si="2"/>
        <v>-2.91</v>
      </c>
      <c r="N30" s="204">
        <f t="shared" si="3"/>
        <v>-0.04</v>
      </c>
      <c r="O30" s="205">
        <f t="shared" si="4"/>
        <v>0</v>
      </c>
      <c r="P30" s="206">
        <f t="shared" si="5"/>
        <v>0</v>
      </c>
      <c r="Q30" s="206">
        <f t="shared" si="6"/>
        <v>-0.04</v>
      </c>
      <c r="R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346020</v>
      </c>
      <c r="T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30" s="208">
        <f ca="1">IF(Tabla33610673[[#This Row],[Equity]]&lt;Tabla33610673[[#This Row],[Equity Peak]],(Tabla33610673[[#This Row],[Equity Peak]]-Tabla33610673[[#This Row],[Equity]])/Tabla33610673[[#This Row],[Equity Peak]],"")</f>
        <v>5.2322907083716648E-3</v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-0.04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0.66249999999854481</v>
      </c>
      <c r="AE30" s="210">
        <f t="shared" si="16"/>
        <v>0</v>
      </c>
      <c r="AF30" s="210">
        <f t="shared" si="17"/>
        <v>0.66249999999854481</v>
      </c>
      <c r="AG30" s="210">
        <f t="shared" si="18"/>
        <v>0</v>
      </c>
    </row>
    <row r="31" spans="1:35" ht="15" customHeight="1" x14ac:dyDescent="0.3">
      <c r="B31" s="196" t="s">
        <v>7</v>
      </c>
      <c r="C31" s="197" t="s">
        <v>15</v>
      </c>
      <c r="D31" s="198" t="str">
        <f t="shared" si="0"/>
        <v>C</v>
      </c>
      <c r="E31" s="199">
        <v>44790.166666666664</v>
      </c>
      <c r="F31" s="200" t="s">
        <v>113</v>
      </c>
      <c r="G31" s="201">
        <v>134.13399999999999</v>
      </c>
      <c r="H31" s="201">
        <v>132.60599999999999</v>
      </c>
      <c r="I31" s="202">
        <f t="shared" si="1"/>
        <v>1.5279999999999916</v>
      </c>
      <c r="J31" s="201">
        <v>141.26599999999999</v>
      </c>
      <c r="K31" s="199">
        <v>44796.700694444444</v>
      </c>
      <c r="L31" s="201">
        <v>136.66200000000001</v>
      </c>
      <c r="M31" s="203">
        <f t="shared" si="2"/>
        <v>2.528</v>
      </c>
      <c r="N31" s="204">
        <f t="shared" si="3"/>
        <v>1.65</v>
      </c>
      <c r="O31" s="205">
        <f t="shared" si="4"/>
        <v>0</v>
      </c>
      <c r="P31" s="206">
        <f t="shared" si="5"/>
        <v>1.65</v>
      </c>
      <c r="Q31" s="206">
        <f t="shared" si="6"/>
        <v>0</v>
      </c>
      <c r="R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346060</v>
      </c>
      <c r="T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31" s="208">
        <f ca="1">IF(Tabla33610673[[#This Row],[Equity]]&lt;Tabla33610673[[#This Row],[Equity Peak]],(Tabla33610673[[#This Row],[Equity Peak]]-Tabla33610673[[#This Row],[Equity]])/Tabla33610673[[#This Row],[Equity Peak]],"")</f>
        <v>5.1172953081876724E-3</v>
      </c>
      <c r="V31" s="209">
        <f t="shared" si="7"/>
        <v>1.65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6.5340277777795563</v>
      </c>
      <c r="AE31" s="210">
        <f t="shared" si="16"/>
        <v>6.5340277777795563</v>
      </c>
      <c r="AF31" s="210">
        <f t="shared" si="17"/>
        <v>0</v>
      </c>
      <c r="AG31" s="210">
        <f t="shared" si="18"/>
        <v>0</v>
      </c>
    </row>
    <row r="32" spans="1:35" ht="15" customHeight="1" x14ac:dyDescent="0.3">
      <c r="B32" s="196" t="s">
        <v>7</v>
      </c>
      <c r="C32" s="197" t="s">
        <v>15</v>
      </c>
      <c r="D32" s="198" t="str">
        <f t="shared" si="0"/>
        <v>C</v>
      </c>
      <c r="E32" s="199">
        <v>44781.333333333336</v>
      </c>
      <c r="F32" s="200" t="s">
        <v>113</v>
      </c>
      <c r="G32" s="201">
        <v>135.255</v>
      </c>
      <c r="H32" s="201">
        <v>133.14500000000001</v>
      </c>
      <c r="I32" s="202">
        <f t="shared" si="1"/>
        <v>2.1099999999999852</v>
      </c>
      <c r="J32" s="201">
        <v>145.1</v>
      </c>
      <c r="K32" s="199">
        <v>44783.645833333336</v>
      </c>
      <c r="L32" s="201">
        <v>134.62299999999999</v>
      </c>
      <c r="M32" s="203">
        <f t="shared" si="2"/>
        <v>-0.63200000000000001</v>
      </c>
      <c r="N32" s="204">
        <f t="shared" si="3"/>
        <v>-0.3</v>
      </c>
      <c r="O32" s="205">
        <f t="shared" si="4"/>
        <v>0</v>
      </c>
      <c r="P32" s="206">
        <f t="shared" si="5"/>
        <v>0</v>
      </c>
      <c r="Q32" s="206">
        <f t="shared" si="6"/>
        <v>-0.3</v>
      </c>
      <c r="R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344410</v>
      </c>
      <c r="T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32" s="208">
        <f ca="1">IF(Tabla33610673[[#This Row],[Equity]]&lt;Tabla33610673[[#This Row],[Equity Peak]],(Tabla33610673[[#This Row],[Equity Peak]]-Tabla33610673[[#This Row],[Equity]])/Tabla33610673[[#This Row],[Equity Peak]],"")</f>
        <v>9.8608555657773694E-3</v>
      </c>
      <c r="V32" s="209">
        <f t="shared" si="7"/>
        <v>-0.3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2.3125</v>
      </c>
      <c r="AE32" s="210">
        <f t="shared" si="16"/>
        <v>0</v>
      </c>
      <c r="AF32" s="210">
        <f t="shared" si="17"/>
        <v>2.3125</v>
      </c>
      <c r="AG32" s="210">
        <f t="shared" si="18"/>
        <v>0</v>
      </c>
    </row>
    <row r="33" spans="2:33" ht="15" customHeight="1" x14ac:dyDescent="0.3">
      <c r="B33" s="196" t="s">
        <v>5</v>
      </c>
      <c r="C33" s="197" t="s">
        <v>15</v>
      </c>
      <c r="D33" s="198" t="str">
        <f t="shared" si="0"/>
        <v>C</v>
      </c>
      <c r="E33" s="199">
        <v>44760.458333333336</v>
      </c>
      <c r="F33" s="200" t="s">
        <v>94</v>
      </c>
      <c r="G33" s="201">
        <v>7248.93</v>
      </c>
      <c r="H33" s="201">
        <v>7127.48</v>
      </c>
      <c r="I33" s="202">
        <f t="shared" si="1"/>
        <v>121.45000000000073</v>
      </c>
      <c r="J33" s="201">
        <v>7856.17</v>
      </c>
      <c r="K33" s="199">
        <v>44762.840277777781</v>
      </c>
      <c r="L33" s="201">
        <v>7244.71</v>
      </c>
      <c r="M33" s="203">
        <f t="shared" si="2"/>
        <v>-4.22</v>
      </c>
      <c r="N33" s="204">
        <f t="shared" si="3"/>
        <v>-0.03</v>
      </c>
      <c r="O33" s="205">
        <f t="shared" si="4"/>
        <v>0</v>
      </c>
      <c r="P33" s="206">
        <f t="shared" si="5"/>
        <v>0</v>
      </c>
      <c r="Q33" s="206">
        <f t="shared" si="6"/>
        <v>-0.03</v>
      </c>
      <c r="R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344710</v>
      </c>
      <c r="T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33" s="208">
        <f ca="1">IF(Tabla33610673[[#This Row],[Equity]]&lt;Tabla33610673[[#This Row],[Equity Peak]],(Tabla33610673[[#This Row],[Equity Peak]]-Tabla33610673[[#This Row],[Equity]])/Tabla33610673[[#This Row],[Equity Peak]],"")</f>
        <v>8.9983900643974234E-3</v>
      </c>
      <c r="V33" s="209">
        <f t="shared" si="7"/>
        <v>0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-0.03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2.3819444444452529</v>
      </c>
      <c r="AE33" s="210">
        <f t="shared" si="16"/>
        <v>0</v>
      </c>
      <c r="AF33" s="210">
        <f t="shared" si="17"/>
        <v>2.3819444444452529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0"/>
        <v>C</v>
      </c>
      <c r="E34" s="199">
        <v>44756.166666666664</v>
      </c>
      <c r="F34" s="200" t="s">
        <v>113</v>
      </c>
      <c r="G34" s="201">
        <v>137.917</v>
      </c>
      <c r="H34" s="201">
        <v>136.49100000000001</v>
      </c>
      <c r="I34" s="202">
        <f t="shared" si="1"/>
        <v>1.4259999999999877</v>
      </c>
      <c r="J34" s="201">
        <v>144.57300000000001</v>
      </c>
      <c r="K34" s="199">
        <v>44760.463194444441</v>
      </c>
      <c r="L34" s="201">
        <v>137.97</v>
      </c>
      <c r="M34" s="203">
        <f t="shared" si="2"/>
        <v>5.2999999999999999E-2</v>
      </c>
      <c r="N34" s="204">
        <f t="shared" si="3"/>
        <v>0.04</v>
      </c>
      <c r="O34" s="205">
        <f t="shared" si="4"/>
        <v>0</v>
      </c>
      <c r="P34" s="206">
        <f t="shared" si="5"/>
        <v>0.04</v>
      </c>
      <c r="Q34" s="206">
        <f t="shared" si="6"/>
        <v>0</v>
      </c>
      <c r="R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344740</v>
      </c>
      <c r="T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34" s="208">
        <f ca="1">IF(Tabla33610673[[#This Row],[Equity]]&lt;Tabla33610673[[#This Row],[Equity Peak]],(Tabla33610673[[#This Row],[Equity Peak]]-Tabla33610673[[#This Row],[Equity]])/Tabla33610673[[#This Row],[Equity Peak]],"")</f>
        <v>8.9121435142594293E-3</v>
      </c>
      <c r="V34" s="209">
        <f t="shared" si="7"/>
        <v>0.04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4.296527777776646</v>
      </c>
      <c r="AE34" s="210">
        <f t="shared" si="16"/>
        <v>4.296527777776646</v>
      </c>
      <c r="AF34" s="210">
        <f t="shared" si="17"/>
        <v>0</v>
      </c>
      <c r="AG34" s="210">
        <f t="shared" si="18"/>
        <v>0</v>
      </c>
    </row>
    <row r="35" spans="2:33" ht="15" customHeight="1" x14ac:dyDescent="0.3">
      <c r="B35" s="196" t="s">
        <v>5</v>
      </c>
      <c r="C35" s="197" t="s">
        <v>13</v>
      </c>
      <c r="D35" s="198" t="str">
        <f t="shared" si="0"/>
        <v>C</v>
      </c>
      <c r="E35" s="199">
        <v>44755.458333333336</v>
      </c>
      <c r="F35" s="200" t="s">
        <v>94</v>
      </c>
      <c r="G35" s="201">
        <v>7134.68</v>
      </c>
      <c r="H35" s="201">
        <v>7241.11</v>
      </c>
      <c r="I35" s="202">
        <f t="shared" si="1"/>
        <v>106.42999999999938</v>
      </c>
      <c r="J35" s="201">
        <v>6602.53</v>
      </c>
      <c r="K35" s="199">
        <v>44757.725694444445</v>
      </c>
      <c r="L35" s="201">
        <v>7148</v>
      </c>
      <c r="M35" s="203">
        <f t="shared" si="2"/>
        <v>-13.32</v>
      </c>
      <c r="N35" s="204">
        <f t="shared" si="3"/>
        <v>-0.13</v>
      </c>
      <c r="O35" s="205">
        <f t="shared" si="4"/>
        <v>0</v>
      </c>
      <c r="P35" s="206">
        <f t="shared" si="5"/>
        <v>0</v>
      </c>
      <c r="Q35" s="206">
        <f t="shared" si="6"/>
        <v>-0.13</v>
      </c>
      <c r="R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344700</v>
      </c>
      <c r="T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35" s="208">
        <f ca="1">IF(Tabla33610673[[#This Row],[Equity]]&lt;Tabla33610673[[#This Row],[Equity Peak]],(Tabla33610673[[#This Row],[Equity Peak]]-Tabla33610673[[#This Row],[Equity]])/Tabla33610673[[#This Row],[Equity Peak]],"")</f>
        <v>9.0271389144434225E-3</v>
      </c>
      <c r="V35" s="209">
        <f t="shared" si="7"/>
        <v>0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-0.13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2.2673611111094942</v>
      </c>
      <c r="AE35" s="210">
        <f t="shared" si="16"/>
        <v>0</v>
      </c>
      <c r="AF35" s="210">
        <f t="shared" si="17"/>
        <v>2.2673611111094942</v>
      </c>
      <c r="AG35" s="210">
        <f t="shared" si="18"/>
        <v>0</v>
      </c>
    </row>
    <row r="36" spans="2:33" ht="15" customHeight="1" x14ac:dyDescent="0.3">
      <c r="B36" s="196" t="s">
        <v>5</v>
      </c>
      <c r="C36" s="197" t="s">
        <v>15</v>
      </c>
      <c r="D36" s="198" t="str">
        <f t="shared" si="0"/>
        <v>C</v>
      </c>
      <c r="E36" s="199">
        <v>44755.291666666664</v>
      </c>
      <c r="F36" s="200" t="s">
        <v>94</v>
      </c>
      <c r="G36" s="201">
        <v>7202.3</v>
      </c>
      <c r="H36" s="201">
        <v>7096.63</v>
      </c>
      <c r="I36" s="202">
        <f t="shared" si="1"/>
        <v>105.67000000000007</v>
      </c>
      <c r="J36" s="201">
        <v>7730.66</v>
      </c>
      <c r="K36" s="199">
        <v>44755.458333333336</v>
      </c>
      <c r="L36" s="201">
        <v>7134.68</v>
      </c>
      <c r="M36" s="203">
        <f t="shared" si="2"/>
        <v>-67.62</v>
      </c>
      <c r="N36" s="204">
        <f t="shared" si="3"/>
        <v>-0.64</v>
      </c>
      <c r="O36" s="205">
        <f t="shared" si="4"/>
        <v>0</v>
      </c>
      <c r="P36" s="206">
        <f t="shared" si="5"/>
        <v>0</v>
      </c>
      <c r="Q36" s="206">
        <f t="shared" si="6"/>
        <v>-0.64</v>
      </c>
      <c r="R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344830</v>
      </c>
      <c r="T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36" s="208">
        <f ca="1">IF(Tabla33610673[[#This Row],[Equity]]&lt;Tabla33610673[[#This Row],[Equity Peak]],(Tabla33610673[[#This Row],[Equity Peak]]-Tabla33610673[[#This Row],[Equity]])/Tabla33610673[[#This Row],[Equity Peak]],"")</f>
        <v>8.653403863845447E-3</v>
      </c>
      <c r="V36" s="209">
        <f t="shared" si="7"/>
        <v>0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-0.64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0.16666666667151731</v>
      </c>
      <c r="AE36" s="210">
        <f t="shared" si="16"/>
        <v>0</v>
      </c>
      <c r="AF36" s="210">
        <f t="shared" si="17"/>
        <v>0.16666666667151731</v>
      </c>
      <c r="AG36" s="210">
        <f t="shared" si="18"/>
        <v>0</v>
      </c>
    </row>
    <row r="37" spans="2:33" ht="15" customHeight="1" x14ac:dyDescent="0.3">
      <c r="B37" s="196" t="s">
        <v>7</v>
      </c>
      <c r="C37" s="197" t="s">
        <v>15</v>
      </c>
      <c r="D37" s="198" t="str">
        <f t="shared" si="0"/>
        <v>C</v>
      </c>
      <c r="E37" s="199">
        <v>44753.666666666664</v>
      </c>
      <c r="F37" s="200" t="s">
        <v>113</v>
      </c>
      <c r="G37" s="201">
        <v>137.59200000000001</v>
      </c>
      <c r="H37" s="201">
        <v>135.84399999999999</v>
      </c>
      <c r="I37" s="202">
        <f t="shared" si="1"/>
        <v>1.7480000000000189</v>
      </c>
      <c r="J37" s="201">
        <v>145.74799999999999</v>
      </c>
      <c r="K37" s="199">
        <v>44754.595833333333</v>
      </c>
      <c r="L37" s="201">
        <v>136.71899999999999</v>
      </c>
      <c r="M37" s="203">
        <f t="shared" si="2"/>
        <v>-0.873</v>
      </c>
      <c r="N37" s="204">
        <f t="shared" si="3"/>
        <v>-0.5</v>
      </c>
      <c r="O37" s="205">
        <f t="shared" si="4"/>
        <v>0</v>
      </c>
      <c r="P37" s="206">
        <f t="shared" si="5"/>
        <v>0</v>
      </c>
      <c r="Q37" s="206">
        <f t="shared" si="6"/>
        <v>-0.5</v>
      </c>
      <c r="R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345470</v>
      </c>
      <c r="T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37" s="208">
        <f ca="1">IF(Tabla33610673[[#This Row],[Equity]]&lt;Tabla33610673[[#This Row],[Equity Peak]],(Tabla33610673[[#This Row],[Equity Peak]]-Tabla33610673[[#This Row],[Equity]])/Tabla33610673[[#This Row],[Equity Peak]],"")</f>
        <v>6.8134774609015635E-3</v>
      </c>
      <c r="V37" s="209">
        <f t="shared" si="7"/>
        <v>-0.5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0.92916666666860692</v>
      </c>
      <c r="AE37" s="210">
        <f t="shared" si="16"/>
        <v>0</v>
      </c>
      <c r="AF37" s="210">
        <f t="shared" si="17"/>
        <v>0.92916666666860692</v>
      </c>
      <c r="AG37" s="210">
        <f t="shared" si="18"/>
        <v>0</v>
      </c>
    </row>
    <row r="38" spans="2:33" ht="15" customHeight="1" x14ac:dyDescent="0.3">
      <c r="B38" s="196" t="s">
        <v>5</v>
      </c>
      <c r="C38" s="197" t="s">
        <v>13</v>
      </c>
      <c r="D38" s="198" t="str">
        <f t="shared" si="0"/>
        <v>C</v>
      </c>
      <c r="E38" s="199">
        <v>44747.625</v>
      </c>
      <c r="F38" s="200" t="s">
        <v>94</v>
      </c>
      <c r="G38" s="201">
        <v>7130.04</v>
      </c>
      <c r="H38" s="201">
        <v>7251.27</v>
      </c>
      <c r="I38" s="202">
        <f t="shared" si="1"/>
        <v>121.23000000000047</v>
      </c>
      <c r="J38" s="201">
        <v>6523.88</v>
      </c>
      <c r="K38" s="199">
        <v>44748.431250000001</v>
      </c>
      <c r="L38" s="201">
        <v>7160.77</v>
      </c>
      <c r="M38" s="203">
        <f t="shared" si="2"/>
        <v>-30.73</v>
      </c>
      <c r="N38" s="204">
        <f t="shared" si="3"/>
        <v>-0.25</v>
      </c>
      <c r="O38" s="205">
        <f t="shared" si="4"/>
        <v>0</v>
      </c>
      <c r="P38" s="206">
        <f t="shared" si="5"/>
        <v>0</v>
      </c>
      <c r="Q38" s="206">
        <f t="shared" si="6"/>
        <v>-0.25</v>
      </c>
      <c r="R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345970</v>
      </c>
      <c r="T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38" s="208">
        <f ca="1">IF(Tabla33610673[[#This Row],[Equity]]&lt;Tabla33610673[[#This Row],[Equity Peak]],(Tabla33610673[[#This Row],[Equity Peak]]-Tabla33610673[[#This Row],[Equity]])/Tabla33610673[[#This Row],[Equity Peak]],"")</f>
        <v>5.3760349586016555E-3</v>
      </c>
      <c r="V38" s="209">
        <f t="shared" si="7"/>
        <v>0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-0.25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0.80625000000145519</v>
      </c>
      <c r="AE38" s="210">
        <f t="shared" si="16"/>
        <v>0</v>
      </c>
      <c r="AF38" s="210">
        <f t="shared" si="17"/>
        <v>0.80625000000145519</v>
      </c>
      <c r="AG38" s="210">
        <f t="shared" si="18"/>
        <v>0</v>
      </c>
    </row>
    <row r="39" spans="2:33" ht="15" customHeight="1" x14ac:dyDescent="0.3">
      <c r="B39" s="196" t="s">
        <v>5</v>
      </c>
      <c r="C39" s="197" t="s">
        <v>15</v>
      </c>
      <c r="D39" s="198" t="str">
        <f t="shared" si="0"/>
        <v>C</v>
      </c>
      <c r="E39" s="199">
        <v>44746.625</v>
      </c>
      <c r="F39" s="200" t="s">
        <v>94</v>
      </c>
      <c r="G39" s="201">
        <v>7248.23</v>
      </c>
      <c r="H39" s="201">
        <v>7121.51</v>
      </c>
      <c r="I39" s="202">
        <f t="shared" si="1"/>
        <v>126.71999999999935</v>
      </c>
      <c r="J39" s="201">
        <v>7881.85</v>
      </c>
      <c r="K39" s="199">
        <v>44747.479166666664</v>
      </c>
      <c r="L39" s="201">
        <v>7164.61</v>
      </c>
      <c r="M39" s="203">
        <f t="shared" si="2"/>
        <v>-83.62</v>
      </c>
      <c r="N39" s="204">
        <f t="shared" si="3"/>
        <v>-0.66</v>
      </c>
      <c r="O39" s="205">
        <f t="shared" si="4"/>
        <v>0</v>
      </c>
      <c r="P39" s="206">
        <f t="shared" si="5"/>
        <v>0</v>
      </c>
      <c r="Q39" s="206">
        <f t="shared" si="6"/>
        <v>-0.66</v>
      </c>
      <c r="R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346220</v>
      </c>
      <c r="T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39" s="208">
        <f ca="1">IF(Tabla33610673[[#This Row],[Equity]]&lt;Tabla33610673[[#This Row],[Equity Peak]],(Tabla33610673[[#This Row],[Equity Peak]]-Tabla33610673[[#This Row],[Equity]])/Tabla33610673[[#This Row],[Equity Peak]],"")</f>
        <v>4.657313707451702E-3</v>
      </c>
      <c r="V39" s="209">
        <f t="shared" si="7"/>
        <v>0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-0.66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0.85416666666424135</v>
      </c>
      <c r="AE39" s="210">
        <f t="shared" si="16"/>
        <v>0</v>
      </c>
      <c r="AF39" s="210">
        <f t="shared" si="17"/>
        <v>0.85416666666424135</v>
      </c>
      <c r="AG39" s="210">
        <f t="shared" si="18"/>
        <v>0</v>
      </c>
    </row>
    <row r="40" spans="2:33" ht="15" customHeight="1" x14ac:dyDescent="0.3">
      <c r="B40" s="196" t="s">
        <v>5</v>
      </c>
      <c r="C40" s="197" t="s">
        <v>13</v>
      </c>
      <c r="D40" s="198" t="str">
        <f t="shared" si="0"/>
        <v>C</v>
      </c>
      <c r="E40" s="199">
        <v>44742.625</v>
      </c>
      <c r="F40" s="200" t="s">
        <v>94</v>
      </c>
      <c r="G40" s="201">
        <v>7161.24</v>
      </c>
      <c r="H40" s="201">
        <v>7262.54</v>
      </c>
      <c r="I40" s="202">
        <f t="shared" si="1"/>
        <v>101.30000000000018</v>
      </c>
      <c r="J40" s="201">
        <v>6654.73</v>
      </c>
      <c r="K40" s="199">
        <v>44743.938888888886</v>
      </c>
      <c r="L40" s="201">
        <v>7225.68</v>
      </c>
      <c r="M40" s="203">
        <f t="shared" si="2"/>
        <v>-64.44</v>
      </c>
      <c r="N40" s="204">
        <f t="shared" si="3"/>
        <v>-0.64</v>
      </c>
      <c r="O40" s="205">
        <f t="shared" si="4"/>
        <v>0</v>
      </c>
      <c r="P40" s="206">
        <f t="shared" si="5"/>
        <v>0</v>
      </c>
      <c r="Q40" s="206">
        <f t="shared" si="6"/>
        <v>-0.64</v>
      </c>
      <c r="R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346880</v>
      </c>
      <c r="T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40" s="208">
        <f ca="1">IF(Tabla33610673[[#This Row],[Equity]]&lt;Tabla33610673[[#This Row],[Equity Peak]],(Tabla33610673[[#This Row],[Equity Peak]]-Tabla33610673[[#This Row],[Equity]])/Tabla33610673[[#This Row],[Equity Peak]],"")</f>
        <v>2.7598896044158236E-3</v>
      </c>
      <c r="V40" s="209">
        <f t="shared" si="7"/>
        <v>0</v>
      </c>
      <c r="W40" s="209">
        <f t="shared" si="8"/>
        <v>0</v>
      </c>
      <c r="X40" s="209">
        <f t="shared" si="9"/>
        <v>0</v>
      </c>
      <c r="Y40" s="209">
        <f t="shared" si="10"/>
        <v>0</v>
      </c>
      <c r="Z40" s="209">
        <f t="shared" si="11"/>
        <v>-0.64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1.3138888888861402</v>
      </c>
      <c r="AE40" s="210">
        <f t="shared" si="16"/>
        <v>0</v>
      </c>
      <c r="AF40" s="210">
        <f t="shared" si="17"/>
        <v>1.3138888888861402</v>
      </c>
      <c r="AG40" s="210">
        <f t="shared" si="18"/>
        <v>0</v>
      </c>
    </row>
    <row r="41" spans="2:33" ht="15" customHeight="1" x14ac:dyDescent="0.3">
      <c r="B41" s="196" t="s">
        <v>5</v>
      </c>
      <c r="C41" s="197" t="s">
        <v>15</v>
      </c>
      <c r="D41" s="198" t="str">
        <f t="shared" si="0"/>
        <v>C</v>
      </c>
      <c r="E41" s="199">
        <v>44739.458333333336</v>
      </c>
      <c r="F41" s="200" t="s">
        <v>94</v>
      </c>
      <c r="G41" s="201">
        <v>7277.43</v>
      </c>
      <c r="H41" s="201">
        <v>7150.15</v>
      </c>
      <c r="I41" s="202">
        <f t="shared" si="1"/>
        <v>127.28000000000065</v>
      </c>
      <c r="J41" s="201">
        <v>7913.84</v>
      </c>
      <c r="K41" s="199">
        <v>44740.956250000003</v>
      </c>
      <c r="L41" s="201">
        <v>7271.91</v>
      </c>
      <c r="M41" s="203">
        <f t="shared" si="2"/>
        <v>-5.52</v>
      </c>
      <c r="N41" s="204">
        <f t="shared" si="3"/>
        <v>-0.04</v>
      </c>
      <c r="O41" s="205">
        <f t="shared" si="4"/>
        <v>0</v>
      </c>
      <c r="P41" s="206">
        <f t="shared" si="5"/>
        <v>0</v>
      </c>
      <c r="Q41" s="206">
        <f t="shared" si="6"/>
        <v>-0.04</v>
      </c>
      <c r="R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347520</v>
      </c>
      <c r="T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41" s="208">
        <f ca="1">IF(Tabla33610673[[#This Row],[Equity]]&lt;Tabla33610673[[#This Row],[Equity Peak]],(Tabla33610673[[#This Row],[Equity Peak]]-Tabla33610673[[#This Row],[Equity]])/Tabla33610673[[#This Row],[Equity Peak]],"")</f>
        <v>9.1996320147194111E-4</v>
      </c>
      <c r="V41" s="209">
        <f t="shared" si="7"/>
        <v>0</v>
      </c>
      <c r="W41" s="209">
        <f t="shared" si="8"/>
        <v>0</v>
      </c>
      <c r="X41" s="209">
        <f t="shared" si="9"/>
        <v>0</v>
      </c>
      <c r="Y41" s="209">
        <f t="shared" si="10"/>
        <v>0</v>
      </c>
      <c r="Z41" s="209">
        <f t="shared" si="11"/>
        <v>-0.04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1.4979166666671517</v>
      </c>
      <c r="AE41" s="210">
        <f t="shared" si="16"/>
        <v>0</v>
      </c>
      <c r="AF41" s="210">
        <f t="shared" si="17"/>
        <v>1.4979166666671517</v>
      </c>
      <c r="AG41" s="210">
        <f t="shared" si="18"/>
        <v>0</v>
      </c>
    </row>
    <row r="42" spans="2:33" ht="15" customHeight="1" x14ac:dyDescent="0.3">
      <c r="B42" s="196" t="s">
        <v>7</v>
      </c>
      <c r="C42" s="197" t="s">
        <v>15</v>
      </c>
      <c r="D42" s="198" t="str">
        <f t="shared" si="0"/>
        <v>C</v>
      </c>
      <c r="E42" s="199">
        <v>44733.666666666664</v>
      </c>
      <c r="F42" s="200" t="s">
        <v>113</v>
      </c>
      <c r="G42" s="201">
        <v>136.233</v>
      </c>
      <c r="H42" s="201">
        <v>134.84800000000001</v>
      </c>
      <c r="I42" s="202">
        <f t="shared" si="1"/>
        <v>1.3849999999999909</v>
      </c>
      <c r="J42" s="201">
        <v>142.69800000000001</v>
      </c>
      <c r="K42" s="199">
        <v>44734.533333333333</v>
      </c>
      <c r="L42" s="201">
        <v>135.85</v>
      </c>
      <c r="M42" s="203">
        <f t="shared" si="2"/>
        <v>-0.38300000000000001</v>
      </c>
      <c r="N42" s="204">
        <f t="shared" si="3"/>
        <v>-0.28000000000000003</v>
      </c>
      <c r="O42" s="205">
        <f t="shared" si="4"/>
        <v>0</v>
      </c>
      <c r="P42" s="206">
        <f t="shared" si="5"/>
        <v>0</v>
      </c>
      <c r="Q42" s="206">
        <f t="shared" si="6"/>
        <v>-0.28000000000000003</v>
      </c>
      <c r="R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347560</v>
      </c>
      <c r="T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42" s="208">
        <f ca="1">IF(Tabla33610673[[#This Row],[Equity]]&lt;Tabla33610673[[#This Row],[Equity Peak]],(Tabla33610673[[#This Row],[Equity Peak]]-Tabla33610673[[#This Row],[Equity]])/Tabla33610673[[#This Row],[Equity Peak]],"")</f>
        <v>8.049678012879485E-4</v>
      </c>
      <c r="V42" s="209">
        <f t="shared" si="7"/>
        <v>-0.28000000000000003</v>
      </c>
      <c r="W42" s="209">
        <f t="shared" si="8"/>
        <v>0</v>
      </c>
      <c r="X42" s="209">
        <f t="shared" si="9"/>
        <v>0</v>
      </c>
      <c r="Y42" s="209">
        <f t="shared" si="10"/>
        <v>0</v>
      </c>
      <c r="Z42" s="209">
        <f t="shared" si="11"/>
        <v>0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0.86666666666860692</v>
      </c>
      <c r="AE42" s="210">
        <f t="shared" si="16"/>
        <v>0</v>
      </c>
      <c r="AF42" s="210">
        <f t="shared" si="17"/>
        <v>0.86666666666860692</v>
      </c>
      <c r="AG42" s="210">
        <f t="shared" si="18"/>
        <v>0</v>
      </c>
    </row>
    <row r="43" spans="2:33" ht="15" customHeight="1" x14ac:dyDescent="0.3">
      <c r="B43" s="196" t="s">
        <v>5</v>
      </c>
      <c r="C43" s="197" t="s">
        <v>13</v>
      </c>
      <c r="D43" s="198" t="str">
        <f t="shared" si="0"/>
        <v>C</v>
      </c>
      <c r="E43" s="199">
        <v>44721.791666666664</v>
      </c>
      <c r="F43" s="200" t="s">
        <v>94</v>
      </c>
      <c r="G43" s="201">
        <v>7485.12</v>
      </c>
      <c r="H43" s="201">
        <v>7570.24</v>
      </c>
      <c r="I43" s="202">
        <f t="shared" si="1"/>
        <v>85.119999999999891</v>
      </c>
      <c r="J43" s="201">
        <v>7059.53</v>
      </c>
      <c r="K43" s="199">
        <v>44727.484722222223</v>
      </c>
      <c r="L43" s="201">
        <v>7268.74</v>
      </c>
      <c r="M43" s="203">
        <f t="shared" si="2"/>
        <v>216.38</v>
      </c>
      <c r="N43" s="204">
        <f t="shared" si="3"/>
        <v>2.54</v>
      </c>
      <c r="O43" s="205">
        <f t="shared" si="4"/>
        <v>0</v>
      </c>
      <c r="P43" s="206">
        <f t="shared" si="5"/>
        <v>2.54</v>
      </c>
      <c r="Q43" s="206">
        <f t="shared" si="6"/>
        <v>0</v>
      </c>
      <c r="R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347840</v>
      </c>
      <c r="T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347840</v>
      </c>
      <c r="U4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3" s="209">
        <f t="shared" si="7"/>
        <v>0</v>
      </c>
      <c r="W43" s="209">
        <f t="shared" si="8"/>
        <v>0</v>
      </c>
      <c r="X43" s="209">
        <f t="shared" si="9"/>
        <v>0</v>
      </c>
      <c r="Y43" s="209">
        <f t="shared" si="10"/>
        <v>0</v>
      </c>
      <c r="Z43" s="209">
        <f t="shared" si="11"/>
        <v>2.54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5.6930555555591127</v>
      </c>
      <c r="AE43" s="210">
        <f t="shared" si="16"/>
        <v>5.6930555555591127</v>
      </c>
      <c r="AF43" s="210">
        <f t="shared" si="17"/>
        <v>0</v>
      </c>
      <c r="AG43" s="210">
        <f t="shared" si="18"/>
        <v>0</v>
      </c>
    </row>
    <row r="44" spans="2:33" ht="15" customHeight="1" x14ac:dyDescent="0.3">
      <c r="B44" s="196" t="s">
        <v>7</v>
      </c>
      <c r="C44" s="197" t="s">
        <v>15</v>
      </c>
      <c r="D44" s="198" t="str">
        <f t="shared" si="0"/>
        <v>C</v>
      </c>
      <c r="E44" s="199">
        <v>44712.666666666664</v>
      </c>
      <c r="F44" s="200" t="s">
        <v>113</v>
      </c>
      <c r="G44" s="201">
        <v>128.66</v>
      </c>
      <c r="H44" s="201">
        <v>127.28</v>
      </c>
      <c r="I44" s="202">
        <f t="shared" si="1"/>
        <v>1.3799999999999955</v>
      </c>
      <c r="J44" s="201">
        <v>135.101</v>
      </c>
      <c r="K44" s="199">
        <v>44721.570138888892</v>
      </c>
      <c r="L44" s="201">
        <v>133.19900000000001</v>
      </c>
      <c r="M44" s="203">
        <f t="shared" si="2"/>
        <v>4.5389999999999997</v>
      </c>
      <c r="N44" s="204">
        <f t="shared" si="3"/>
        <v>3.29</v>
      </c>
      <c r="O44" s="205">
        <f t="shared" si="4"/>
        <v>0</v>
      </c>
      <c r="P44" s="206">
        <f t="shared" si="5"/>
        <v>3.29</v>
      </c>
      <c r="Q44" s="206">
        <f t="shared" si="6"/>
        <v>0</v>
      </c>
      <c r="R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345300</v>
      </c>
      <c r="T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345300</v>
      </c>
      <c r="U4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4" s="209">
        <f t="shared" si="7"/>
        <v>3.29</v>
      </c>
      <c r="W44" s="209">
        <f t="shared" si="8"/>
        <v>0</v>
      </c>
      <c r="X44" s="209">
        <f t="shared" si="9"/>
        <v>0</v>
      </c>
      <c r="Y44" s="209">
        <f t="shared" si="10"/>
        <v>0</v>
      </c>
      <c r="Z44" s="209">
        <f t="shared" si="11"/>
        <v>0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8.9034722222277196</v>
      </c>
      <c r="AE44" s="210">
        <f t="shared" si="16"/>
        <v>8.9034722222277196</v>
      </c>
      <c r="AF44" s="210">
        <f t="shared" si="17"/>
        <v>0</v>
      </c>
      <c r="AG44" s="210">
        <f t="shared" si="18"/>
        <v>0</v>
      </c>
    </row>
    <row r="45" spans="2:33" ht="15" customHeight="1" x14ac:dyDescent="0.3">
      <c r="B45" s="196" t="s">
        <v>5</v>
      </c>
      <c r="C45" s="197" t="s">
        <v>15</v>
      </c>
      <c r="D45" s="198" t="str">
        <f t="shared" si="0"/>
        <v>C</v>
      </c>
      <c r="E45" s="199">
        <v>44704.291666666664</v>
      </c>
      <c r="F45" s="200" t="s">
        <v>94</v>
      </c>
      <c r="G45" s="201">
        <v>7427.45</v>
      </c>
      <c r="H45" s="201">
        <v>7293.74</v>
      </c>
      <c r="I45" s="202">
        <f t="shared" si="1"/>
        <v>133.71000000000004</v>
      </c>
      <c r="J45" s="201">
        <v>8096.02</v>
      </c>
      <c r="K45" s="199">
        <v>44713.731249999997</v>
      </c>
      <c r="L45" s="201">
        <v>7562.95</v>
      </c>
      <c r="M45" s="203">
        <f t="shared" si="2"/>
        <v>135.5</v>
      </c>
      <c r="N45" s="204">
        <f t="shared" si="3"/>
        <v>1.01</v>
      </c>
      <c r="O45" s="205">
        <f t="shared" si="4"/>
        <v>0</v>
      </c>
      <c r="P45" s="206">
        <f t="shared" si="5"/>
        <v>1.01</v>
      </c>
      <c r="Q45" s="206">
        <f t="shared" si="6"/>
        <v>0</v>
      </c>
      <c r="R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342010</v>
      </c>
      <c r="T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45" s="208">
        <f ca="1">IF(Tabla33610673[[#This Row],[Equity]]&lt;Tabla33610673[[#This Row],[Equity Peak]],(Tabla33610673[[#This Row],[Equity Peak]]-Tabla33610673[[#This Row],[Equity]])/Tabla33610673[[#This Row],[Equity Peak]],"")</f>
        <v>8.1801980776534519E-4</v>
      </c>
      <c r="V45" s="209">
        <f t="shared" si="7"/>
        <v>0</v>
      </c>
      <c r="W45" s="209">
        <f t="shared" si="8"/>
        <v>0</v>
      </c>
      <c r="X45" s="209">
        <f t="shared" si="9"/>
        <v>0</v>
      </c>
      <c r="Y45" s="209">
        <f t="shared" si="10"/>
        <v>0</v>
      </c>
      <c r="Z45" s="209">
        <f t="shared" si="11"/>
        <v>1.01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9.4395833333328483</v>
      </c>
      <c r="AE45" s="210">
        <f t="shared" si="16"/>
        <v>9.4395833333328483</v>
      </c>
      <c r="AF45" s="210">
        <f t="shared" si="17"/>
        <v>0</v>
      </c>
      <c r="AG45" s="210">
        <f t="shared" si="18"/>
        <v>0</v>
      </c>
    </row>
    <row r="46" spans="2:33" ht="15" customHeight="1" x14ac:dyDescent="0.3">
      <c r="B46" s="196" t="s">
        <v>5</v>
      </c>
      <c r="C46" s="197" t="s">
        <v>13</v>
      </c>
      <c r="D46" s="198" t="str">
        <f t="shared" si="0"/>
        <v>C</v>
      </c>
      <c r="E46" s="199">
        <v>44700.458333333336</v>
      </c>
      <c r="F46" s="200" t="s">
        <v>94</v>
      </c>
      <c r="G46" s="201">
        <v>7306.48</v>
      </c>
      <c r="H46" s="201">
        <v>7406.32</v>
      </c>
      <c r="I46" s="202">
        <f t="shared" si="1"/>
        <v>99.840000000000146</v>
      </c>
      <c r="J46" s="201">
        <v>6807.29</v>
      </c>
      <c r="K46" s="199">
        <v>44701.179166666669</v>
      </c>
      <c r="L46" s="201">
        <v>7357.91</v>
      </c>
      <c r="M46" s="203">
        <f t="shared" si="2"/>
        <v>-51.43</v>
      </c>
      <c r="N46" s="204">
        <f t="shared" si="3"/>
        <v>-0.52</v>
      </c>
      <c r="O46" s="205">
        <f t="shared" si="4"/>
        <v>0</v>
      </c>
      <c r="P46" s="206">
        <f t="shared" si="5"/>
        <v>0</v>
      </c>
      <c r="Q46" s="206">
        <f t="shared" si="6"/>
        <v>-0.52</v>
      </c>
      <c r="R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341000</v>
      </c>
      <c r="T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46" s="208">
        <f ca="1">IF(Tabla33610673[[#This Row],[Equity]]&lt;Tabla33610673[[#This Row],[Equity Peak]],(Tabla33610673[[#This Row],[Equity Peak]]-Tabla33610673[[#This Row],[Equity]])/Tabla33610673[[#This Row],[Equity Peak]],"")</f>
        <v>3.768734114347483E-3</v>
      </c>
      <c r="V46" s="209">
        <f t="shared" si="7"/>
        <v>0</v>
      </c>
      <c r="W46" s="209">
        <f t="shared" si="8"/>
        <v>0</v>
      </c>
      <c r="X46" s="209">
        <f t="shared" si="9"/>
        <v>0</v>
      </c>
      <c r="Y46" s="209">
        <f t="shared" si="10"/>
        <v>0</v>
      </c>
      <c r="Z46" s="209">
        <f t="shared" si="11"/>
        <v>-0.52</v>
      </c>
      <c r="AA46" s="205">
        <f t="shared" si="12"/>
        <v>0</v>
      </c>
      <c r="AB46" s="209">
        <f t="shared" si="13"/>
        <v>0</v>
      </c>
      <c r="AC46" s="205">
        <f t="shared" si="14"/>
        <v>0</v>
      </c>
      <c r="AD46" s="210">
        <f t="shared" si="15"/>
        <v>0.72083333333284827</v>
      </c>
      <c r="AE46" s="210">
        <f t="shared" si="16"/>
        <v>0</v>
      </c>
      <c r="AF46" s="210">
        <f t="shared" si="17"/>
        <v>0.72083333333284827</v>
      </c>
      <c r="AG46" s="210">
        <f t="shared" si="18"/>
        <v>0</v>
      </c>
    </row>
    <row r="47" spans="2:33" ht="15" customHeight="1" x14ac:dyDescent="0.3">
      <c r="B47" s="196" t="s">
        <v>5</v>
      </c>
      <c r="C47" s="197" t="s">
        <v>15</v>
      </c>
      <c r="D47" s="198" t="str">
        <f t="shared" si="0"/>
        <v>C</v>
      </c>
      <c r="E47" s="199">
        <v>44697.625</v>
      </c>
      <c r="F47" s="200" t="s">
        <v>94</v>
      </c>
      <c r="G47" s="201">
        <v>7407.08</v>
      </c>
      <c r="H47" s="201">
        <v>7279.09</v>
      </c>
      <c r="I47" s="202">
        <f t="shared" si="1"/>
        <v>127.98999999999978</v>
      </c>
      <c r="J47" s="201">
        <v>8047.05</v>
      </c>
      <c r="K47" s="199">
        <v>44699.79583333333</v>
      </c>
      <c r="L47" s="201">
        <v>7424.83</v>
      </c>
      <c r="M47" s="203">
        <f t="shared" si="2"/>
        <v>17.75</v>
      </c>
      <c r="N47" s="204">
        <f t="shared" si="3"/>
        <v>0.14000000000000001</v>
      </c>
      <c r="O47" s="205">
        <f t="shared" si="4"/>
        <v>0</v>
      </c>
      <c r="P47" s="206">
        <f t="shared" si="5"/>
        <v>0.14000000000000001</v>
      </c>
      <c r="Q47" s="206">
        <f t="shared" si="6"/>
        <v>0</v>
      </c>
      <c r="R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341520</v>
      </c>
      <c r="T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47" s="208">
        <f ca="1">IF(Tabla33610673[[#This Row],[Equity]]&lt;Tabla33610673[[#This Row],[Equity Peak]],(Tabla33610673[[#This Row],[Equity Peak]]-Tabla33610673[[#This Row],[Equity]])/Tabla33610673[[#This Row],[Equity Peak]],"")</f>
        <v>2.2495544713546992E-3</v>
      </c>
      <c r="V47" s="209">
        <f t="shared" si="7"/>
        <v>0</v>
      </c>
      <c r="W47" s="209">
        <f t="shared" si="8"/>
        <v>0</v>
      </c>
      <c r="X47" s="209">
        <f t="shared" si="9"/>
        <v>0</v>
      </c>
      <c r="Y47" s="209">
        <f t="shared" si="10"/>
        <v>0</v>
      </c>
      <c r="Z47" s="209">
        <f t="shared" si="11"/>
        <v>0.14000000000000001</v>
      </c>
      <c r="AA47" s="205">
        <f t="shared" si="12"/>
        <v>0</v>
      </c>
      <c r="AB47" s="209">
        <f t="shared" si="13"/>
        <v>0</v>
      </c>
      <c r="AC47" s="205">
        <f t="shared" si="14"/>
        <v>0</v>
      </c>
      <c r="AD47" s="210">
        <f t="shared" si="15"/>
        <v>2.1708333333299379</v>
      </c>
      <c r="AE47" s="210">
        <f t="shared" si="16"/>
        <v>2.1708333333299379</v>
      </c>
      <c r="AF47" s="210">
        <f t="shared" si="17"/>
        <v>0</v>
      </c>
      <c r="AG47" s="210">
        <f t="shared" si="18"/>
        <v>0</v>
      </c>
    </row>
    <row r="48" spans="2:33" ht="15" customHeight="1" x14ac:dyDescent="0.3">
      <c r="B48" s="196" t="s">
        <v>5</v>
      </c>
      <c r="C48" s="197" t="s">
        <v>13</v>
      </c>
      <c r="D48" s="198" t="str">
        <f t="shared" si="0"/>
        <v>C</v>
      </c>
      <c r="E48" s="199">
        <v>44687.291666666664</v>
      </c>
      <c r="F48" s="200" t="s">
        <v>94</v>
      </c>
      <c r="G48" s="201">
        <v>7501.33</v>
      </c>
      <c r="H48" s="201">
        <v>7609.65</v>
      </c>
      <c r="I48" s="202">
        <f t="shared" si="1"/>
        <v>108.31999999999971</v>
      </c>
      <c r="J48" s="201">
        <v>6959.72</v>
      </c>
      <c r="K48" s="199">
        <v>44692.738888888889</v>
      </c>
      <c r="L48" s="201">
        <v>7345.48</v>
      </c>
      <c r="M48" s="203">
        <f t="shared" si="2"/>
        <v>155.85</v>
      </c>
      <c r="N48" s="204">
        <f t="shared" si="3"/>
        <v>1.44</v>
      </c>
      <c r="O48" s="205">
        <f t="shared" si="4"/>
        <v>0</v>
      </c>
      <c r="P48" s="206">
        <f t="shared" si="5"/>
        <v>1.44</v>
      </c>
      <c r="Q48" s="206">
        <f t="shared" si="6"/>
        <v>0</v>
      </c>
      <c r="R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341380</v>
      </c>
      <c r="T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48" s="208">
        <f ca="1">IF(Tabla33610673[[#This Row],[Equity]]&lt;Tabla33610673[[#This Row],[Equity Peak]],(Tabla33610673[[#This Row],[Equity Peak]]-Tabla33610673[[#This Row],[Equity]])/Tabla33610673[[#This Row],[Equity Peak]],"")</f>
        <v>2.658564375237372E-3</v>
      </c>
      <c r="V48" s="209">
        <f t="shared" si="7"/>
        <v>0</v>
      </c>
      <c r="W48" s="209">
        <f t="shared" si="8"/>
        <v>0</v>
      </c>
      <c r="X48" s="209">
        <f t="shared" si="9"/>
        <v>0</v>
      </c>
      <c r="Y48" s="209">
        <f t="shared" si="10"/>
        <v>0</v>
      </c>
      <c r="Z48" s="209">
        <f t="shared" si="11"/>
        <v>1.44</v>
      </c>
      <c r="AA48" s="205">
        <f t="shared" si="12"/>
        <v>0</v>
      </c>
      <c r="AB48" s="209">
        <f t="shared" si="13"/>
        <v>0</v>
      </c>
      <c r="AC48" s="205">
        <f t="shared" si="14"/>
        <v>0</v>
      </c>
      <c r="AD48" s="210">
        <f t="shared" si="15"/>
        <v>5.4472222222248092</v>
      </c>
      <c r="AE48" s="210">
        <f t="shared" si="16"/>
        <v>5.4472222222248092</v>
      </c>
      <c r="AF48" s="210">
        <f t="shared" si="17"/>
        <v>0</v>
      </c>
      <c r="AG48" s="210">
        <f t="shared" si="18"/>
        <v>0</v>
      </c>
    </row>
    <row r="49" spans="2:33" ht="15" customHeight="1" x14ac:dyDescent="0.3">
      <c r="B49" s="196" t="s">
        <v>5</v>
      </c>
      <c r="C49" s="197" t="s">
        <v>15</v>
      </c>
      <c r="D49" s="198" t="str">
        <f t="shared" si="0"/>
        <v>C</v>
      </c>
      <c r="E49" s="199">
        <v>44684.791666666664</v>
      </c>
      <c r="F49" s="200" t="s">
        <v>94</v>
      </c>
      <c r="G49" s="201">
        <v>7562.96</v>
      </c>
      <c r="H49" s="201">
        <v>7454.82</v>
      </c>
      <c r="I49" s="202">
        <f t="shared" si="1"/>
        <v>108.14000000000033</v>
      </c>
      <c r="J49" s="201">
        <v>8103.65</v>
      </c>
      <c r="K49" s="199">
        <v>44686.743750000001</v>
      </c>
      <c r="L49" s="201">
        <v>7527.51</v>
      </c>
      <c r="M49" s="203">
        <f t="shared" si="2"/>
        <v>-35.450000000000003</v>
      </c>
      <c r="N49" s="204">
        <f t="shared" si="3"/>
        <v>-0.33</v>
      </c>
      <c r="O49" s="205">
        <f t="shared" si="4"/>
        <v>0</v>
      </c>
      <c r="P49" s="206">
        <f t="shared" si="5"/>
        <v>0</v>
      </c>
      <c r="Q49" s="206">
        <f t="shared" si="6"/>
        <v>-0.33</v>
      </c>
      <c r="R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339940</v>
      </c>
      <c r="T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49" s="208">
        <f ca="1">IF(Tabla33610673[[#This Row],[Equity]]&lt;Tabla33610673[[#This Row],[Equity Peak]],(Tabla33610673[[#This Row],[Equity Peak]]-Tabla33610673[[#This Row],[Equity]])/Tabla33610673[[#This Row],[Equity Peak]],"")</f>
        <v>6.865523386602004E-3</v>
      </c>
      <c r="V49" s="209">
        <f t="shared" si="7"/>
        <v>0</v>
      </c>
      <c r="W49" s="209">
        <f t="shared" si="8"/>
        <v>0</v>
      </c>
      <c r="X49" s="209">
        <f t="shared" si="9"/>
        <v>0</v>
      </c>
      <c r="Y49" s="209">
        <f t="shared" si="10"/>
        <v>0</v>
      </c>
      <c r="Z49" s="209">
        <f t="shared" si="11"/>
        <v>-0.33</v>
      </c>
      <c r="AA49" s="205">
        <f t="shared" si="12"/>
        <v>0</v>
      </c>
      <c r="AB49" s="209">
        <f t="shared" si="13"/>
        <v>0</v>
      </c>
      <c r="AC49" s="205">
        <f t="shared" si="14"/>
        <v>0</v>
      </c>
      <c r="AD49" s="210">
        <f t="shared" si="15"/>
        <v>1.9520833333372138</v>
      </c>
      <c r="AE49" s="210">
        <f t="shared" si="16"/>
        <v>0</v>
      </c>
      <c r="AF49" s="210">
        <f t="shared" si="17"/>
        <v>1.9520833333372138</v>
      </c>
      <c r="AG49" s="210">
        <f t="shared" si="18"/>
        <v>0</v>
      </c>
    </row>
    <row r="50" spans="2:33" ht="15" customHeight="1" x14ac:dyDescent="0.3">
      <c r="B50" s="196" t="s">
        <v>5</v>
      </c>
      <c r="C50" s="197" t="s">
        <v>13</v>
      </c>
      <c r="D50" s="198" t="str">
        <f t="shared" si="0"/>
        <v>C</v>
      </c>
      <c r="E50" s="199">
        <v>44684.125</v>
      </c>
      <c r="F50" s="200" t="s">
        <v>94</v>
      </c>
      <c r="G50" s="201">
        <v>7455.81</v>
      </c>
      <c r="H50" s="201">
        <v>7558.39</v>
      </c>
      <c r="I50" s="202">
        <f t="shared" si="1"/>
        <v>102.57999999999993</v>
      </c>
      <c r="J50" s="201">
        <v>6942.91</v>
      </c>
      <c r="K50" s="199">
        <v>44684.425000000003</v>
      </c>
      <c r="L50" s="201">
        <v>7515.29</v>
      </c>
      <c r="M50" s="203">
        <f t="shared" si="2"/>
        <v>-59.48</v>
      </c>
      <c r="N50" s="204">
        <f t="shared" si="3"/>
        <v>-0.57999999999999996</v>
      </c>
      <c r="O50" s="205">
        <f t="shared" si="4"/>
        <v>0</v>
      </c>
      <c r="P50" s="206">
        <f t="shared" si="5"/>
        <v>0</v>
      </c>
      <c r="Q50" s="206">
        <f t="shared" si="6"/>
        <v>-0.57999999999999996</v>
      </c>
      <c r="R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340270</v>
      </c>
      <c r="T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50" s="208">
        <f ca="1">IF(Tabla33610673[[#This Row],[Equity]]&lt;Tabla33610673[[#This Row],[Equity Peak]],(Tabla33610673[[#This Row],[Equity Peak]]-Tabla33610673[[#This Row],[Equity]])/Tabla33610673[[#This Row],[Equity Peak]],"")</f>
        <v>5.9014286131642757E-3</v>
      </c>
      <c r="V50" s="209">
        <f t="shared" si="7"/>
        <v>0</v>
      </c>
      <c r="W50" s="209">
        <f t="shared" si="8"/>
        <v>0</v>
      </c>
      <c r="X50" s="209">
        <f t="shared" si="9"/>
        <v>0</v>
      </c>
      <c r="Y50" s="209">
        <f t="shared" si="10"/>
        <v>0</v>
      </c>
      <c r="Z50" s="209">
        <f t="shared" si="11"/>
        <v>-0.57999999999999996</v>
      </c>
      <c r="AA50" s="205">
        <f t="shared" si="12"/>
        <v>0</v>
      </c>
      <c r="AB50" s="209">
        <f t="shared" si="13"/>
        <v>0</v>
      </c>
      <c r="AC50" s="205">
        <f t="shared" si="14"/>
        <v>0</v>
      </c>
      <c r="AD50" s="210">
        <f t="shared" si="15"/>
        <v>0.30000000000291038</v>
      </c>
      <c r="AE50" s="210">
        <f t="shared" si="16"/>
        <v>0</v>
      </c>
      <c r="AF50" s="210">
        <f t="shared" si="17"/>
        <v>0.30000000000291038</v>
      </c>
      <c r="AG50" s="210">
        <f t="shared" si="18"/>
        <v>0</v>
      </c>
    </row>
    <row r="51" spans="2:33" ht="15" customHeight="1" x14ac:dyDescent="0.3">
      <c r="B51" s="196" t="s">
        <v>5</v>
      </c>
      <c r="C51" s="197" t="s">
        <v>15</v>
      </c>
      <c r="D51" s="198" t="str">
        <f t="shared" si="0"/>
        <v>C</v>
      </c>
      <c r="E51" s="199">
        <v>44680.291666666664</v>
      </c>
      <c r="F51" s="200" t="s">
        <v>94</v>
      </c>
      <c r="G51" s="201">
        <v>7557.3</v>
      </c>
      <c r="H51" s="201">
        <v>7458.17</v>
      </c>
      <c r="I51" s="202">
        <f t="shared" si="1"/>
        <v>99.130000000000109</v>
      </c>
      <c r="J51" s="201">
        <v>8052.93</v>
      </c>
      <c r="K51" s="199">
        <v>44680.912499999999</v>
      </c>
      <c r="L51" s="201">
        <v>7481.51</v>
      </c>
      <c r="M51" s="203">
        <f t="shared" si="2"/>
        <v>-75.790000000000006</v>
      </c>
      <c r="N51" s="204">
        <f t="shared" si="3"/>
        <v>-0.76</v>
      </c>
      <c r="O51" s="205">
        <f t="shared" si="4"/>
        <v>0</v>
      </c>
      <c r="P51" s="206">
        <f t="shared" si="5"/>
        <v>0</v>
      </c>
      <c r="Q51" s="206">
        <f t="shared" si="6"/>
        <v>-0.76</v>
      </c>
      <c r="R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340850</v>
      </c>
      <c r="T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51" s="208">
        <f ca="1">IF(Tabla33610673[[#This Row],[Equity]]&lt;Tabla33610673[[#This Row],[Equity Peak]],(Tabla33610673[[#This Row],[Equity Peak]]-Tabla33610673[[#This Row],[Equity]])/Tabla33610673[[#This Row],[Equity Peak]],"")</f>
        <v>4.206959011364632E-3</v>
      </c>
      <c r="V51" s="209">
        <f t="shared" si="7"/>
        <v>0</v>
      </c>
      <c r="W51" s="209">
        <f t="shared" si="8"/>
        <v>0</v>
      </c>
      <c r="X51" s="209">
        <f t="shared" si="9"/>
        <v>0</v>
      </c>
      <c r="Y51" s="209">
        <f t="shared" si="10"/>
        <v>0</v>
      </c>
      <c r="Z51" s="209">
        <f t="shared" si="11"/>
        <v>-0.76</v>
      </c>
      <c r="AA51" s="205">
        <f t="shared" si="12"/>
        <v>0</v>
      </c>
      <c r="AB51" s="209">
        <f t="shared" si="13"/>
        <v>0</v>
      </c>
      <c r="AC51" s="205">
        <f t="shared" si="14"/>
        <v>0</v>
      </c>
      <c r="AD51" s="210">
        <f t="shared" si="15"/>
        <v>0.62083333333430346</v>
      </c>
      <c r="AE51" s="210">
        <f t="shared" si="16"/>
        <v>0</v>
      </c>
      <c r="AF51" s="210">
        <f t="shared" si="17"/>
        <v>0.62083333333430346</v>
      </c>
      <c r="AG51" s="210">
        <f t="shared" si="18"/>
        <v>0</v>
      </c>
    </row>
    <row r="52" spans="2:33" ht="15" customHeight="1" x14ac:dyDescent="0.3">
      <c r="B52" s="196" t="s">
        <v>5</v>
      </c>
      <c r="C52" s="197" t="s">
        <v>13</v>
      </c>
      <c r="D52" s="198" t="str">
        <f t="shared" si="0"/>
        <v>C</v>
      </c>
      <c r="E52" s="199">
        <v>44673.791666666664</v>
      </c>
      <c r="F52" s="200" t="s">
        <v>94</v>
      </c>
      <c r="G52" s="201">
        <v>7527.64</v>
      </c>
      <c r="H52" s="201">
        <v>7619.67</v>
      </c>
      <c r="I52" s="202">
        <f t="shared" si="1"/>
        <v>92.029999999999745</v>
      </c>
      <c r="J52" s="201">
        <v>7067.5</v>
      </c>
      <c r="K52" s="199">
        <v>44677.261805555558</v>
      </c>
      <c r="L52" s="201">
        <v>7472.18</v>
      </c>
      <c r="M52" s="203">
        <f t="shared" si="2"/>
        <v>55.46</v>
      </c>
      <c r="N52" s="204">
        <f t="shared" si="3"/>
        <v>0.6</v>
      </c>
      <c r="O52" s="205">
        <f t="shared" si="4"/>
        <v>0</v>
      </c>
      <c r="P52" s="206">
        <f t="shared" si="5"/>
        <v>0.6</v>
      </c>
      <c r="Q52" s="206">
        <f t="shared" si="6"/>
        <v>0</v>
      </c>
      <c r="R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341610</v>
      </c>
      <c r="T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52" s="208">
        <f ca="1">IF(Tabla33610673[[#This Row],[Equity]]&lt;Tabla33610673[[#This Row],[Equity Peak]],(Tabla33610673[[#This Row],[Equity Peak]]-Tabla33610673[[#This Row],[Equity]])/Tabla33610673[[#This Row],[Equity Peak]],"")</f>
        <v>1.9866195331444095E-3</v>
      </c>
      <c r="V52" s="209">
        <f t="shared" si="7"/>
        <v>0</v>
      </c>
      <c r="W52" s="209">
        <f t="shared" si="8"/>
        <v>0</v>
      </c>
      <c r="X52" s="209">
        <f t="shared" si="9"/>
        <v>0</v>
      </c>
      <c r="Y52" s="209">
        <f t="shared" si="10"/>
        <v>0</v>
      </c>
      <c r="Z52" s="209">
        <f t="shared" si="11"/>
        <v>0.6</v>
      </c>
      <c r="AA52" s="205">
        <f t="shared" si="12"/>
        <v>0</v>
      </c>
      <c r="AB52" s="209">
        <f t="shared" si="13"/>
        <v>0</v>
      </c>
      <c r="AC52" s="205">
        <f t="shared" si="14"/>
        <v>0</v>
      </c>
      <c r="AD52" s="210">
        <f t="shared" si="15"/>
        <v>3.4701388888934162</v>
      </c>
      <c r="AE52" s="210">
        <f t="shared" si="16"/>
        <v>3.4701388888934162</v>
      </c>
      <c r="AF52" s="210">
        <f t="shared" si="17"/>
        <v>0</v>
      </c>
      <c r="AG52" s="210">
        <f t="shared" si="18"/>
        <v>0</v>
      </c>
    </row>
    <row r="53" spans="2:33" ht="15" customHeight="1" x14ac:dyDescent="0.3">
      <c r="B53" s="196" t="s">
        <v>5</v>
      </c>
      <c r="C53" s="197" t="s">
        <v>15</v>
      </c>
      <c r="D53" s="198" t="str">
        <f t="shared" si="0"/>
        <v>C</v>
      </c>
      <c r="E53" s="199">
        <v>44636.5</v>
      </c>
      <c r="F53" s="200" t="s">
        <v>94</v>
      </c>
      <c r="G53" s="201">
        <v>7277.29</v>
      </c>
      <c r="H53" s="201">
        <v>7138.41</v>
      </c>
      <c r="I53" s="202">
        <f t="shared" si="1"/>
        <v>138.88000000000011</v>
      </c>
      <c r="J53" s="201">
        <v>7971.68</v>
      </c>
      <c r="K53" s="199">
        <v>44643.956250000003</v>
      </c>
      <c r="L53" s="201">
        <v>7431.76</v>
      </c>
      <c r="M53" s="203">
        <f t="shared" si="2"/>
        <v>154.47</v>
      </c>
      <c r="N53" s="204">
        <f t="shared" si="3"/>
        <v>1.1100000000000001</v>
      </c>
      <c r="O53" s="205">
        <f t="shared" si="4"/>
        <v>0</v>
      </c>
      <c r="P53" s="206">
        <f t="shared" si="5"/>
        <v>1.1100000000000001</v>
      </c>
      <c r="Q53" s="206">
        <f t="shared" si="6"/>
        <v>0</v>
      </c>
      <c r="R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341010</v>
      </c>
      <c r="T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53" s="208">
        <f ca="1">IF(Tabla33610673[[#This Row],[Equity]]&lt;Tabla33610673[[#This Row],[Equity Peak]],(Tabla33610673[[#This Row],[Equity Peak]]-Tabla33610673[[#This Row],[Equity]])/Tabla33610673[[#This Row],[Equity Peak]],"")</f>
        <v>3.7395191212130064E-3</v>
      </c>
      <c r="V53" s="209">
        <f t="shared" si="7"/>
        <v>0</v>
      </c>
      <c r="W53" s="209">
        <f t="shared" si="8"/>
        <v>0</v>
      </c>
      <c r="X53" s="209">
        <f t="shared" si="9"/>
        <v>0</v>
      </c>
      <c r="Y53" s="209">
        <f t="shared" si="10"/>
        <v>0</v>
      </c>
      <c r="Z53" s="209">
        <f t="shared" si="11"/>
        <v>1.1100000000000001</v>
      </c>
      <c r="AA53" s="205">
        <f t="shared" si="12"/>
        <v>0</v>
      </c>
      <c r="AB53" s="209">
        <f t="shared" si="13"/>
        <v>0</v>
      </c>
      <c r="AC53" s="205">
        <f t="shared" si="14"/>
        <v>0</v>
      </c>
      <c r="AD53" s="210">
        <f t="shared" si="15"/>
        <v>7.4562500000029104</v>
      </c>
      <c r="AE53" s="210">
        <f t="shared" si="16"/>
        <v>7.4562500000029104</v>
      </c>
      <c r="AF53" s="210">
        <f t="shared" si="17"/>
        <v>0</v>
      </c>
      <c r="AG53" s="210">
        <f t="shared" si="18"/>
        <v>0</v>
      </c>
    </row>
    <row r="54" spans="2:33" ht="15" customHeight="1" x14ac:dyDescent="0.3">
      <c r="B54" s="196" t="s">
        <v>7</v>
      </c>
      <c r="C54" s="197" t="s">
        <v>15</v>
      </c>
      <c r="D54" s="198" t="str">
        <f t="shared" si="0"/>
        <v>C</v>
      </c>
      <c r="E54" s="199">
        <v>44628.166666666664</v>
      </c>
      <c r="F54" s="200" t="s">
        <v>113</v>
      </c>
      <c r="G54" s="201">
        <v>115.48099999999999</v>
      </c>
      <c r="H54" s="201">
        <v>114.65</v>
      </c>
      <c r="I54" s="202">
        <f t="shared" si="1"/>
        <v>0.83099999999998886</v>
      </c>
      <c r="J54" s="201">
        <v>119.36</v>
      </c>
      <c r="K54" s="199">
        <v>44635.473611111112</v>
      </c>
      <c r="L54" s="201">
        <v>117.80800000000001</v>
      </c>
      <c r="M54" s="203">
        <f t="shared" si="2"/>
        <v>2.327</v>
      </c>
      <c r="N54" s="204">
        <f t="shared" si="3"/>
        <v>2.8</v>
      </c>
      <c r="O54" s="205">
        <f t="shared" si="4"/>
        <v>0</v>
      </c>
      <c r="P54" s="206">
        <f t="shared" si="5"/>
        <v>2.8</v>
      </c>
      <c r="Q54" s="206">
        <f t="shared" si="6"/>
        <v>0</v>
      </c>
      <c r="R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339900</v>
      </c>
      <c r="T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54" s="208">
        <f ca="1">IF(Tabla33610673[[#This Row],[Equity]]&lt;Tabla33610673[[#This Row],[Equity Peak]],(Tabla33610673[[#This Row],[Equity Peak]]-Tabla33610673[[#This Row],[Equity]])/Tabla33610673[[#This Row],[Equity Peak]],"")</f>
        <v>6.9823833591399105E-3</v>
      </c>
      <c r="V54" s="209">
        <f t="shared" si="7"/>
        <v>2.8</v>
      </c>
      <c r="W54" s="209">
        <f t="shared" si="8"/>
        <v>0</v>
      </c>
      <c r="X54" s="209">
        <f t="shared" si="9"/>
        <v>0</v>
      </c>
      <c r="Y54" s="209">
        <f t="shared" si="10"/>
        <v>0</v>
      </c>
      <c r="Z54" s="209">
        <f t="shared" si="11"/>
        <v>0</v>
      </c>
      <c r="AA54" s="205">
        <f t="shared" si="12"/>
        <v>0</v>
      </c>
      <c r="AB54" s="209">
        <f t="shared" si="13"/>
        <v>0</v>
      </c>
      <c r="AC54" s="205">
        <f t="shared" si="14"/>
        <v>0</v>
      </c>
      <c r="AD54" s="210">
        <f t="shared" si="15"/>
        <v>7.3069444444481633</v>
      </c>
      <c r="AE54" s="210">
        <f t="shared" si="16"/>
        <v>7.3069444444481633</v>
      </c>
      <c r="AF54" s="210">
        <f t="shared" si="17"/>
        <v>0</v>
      </c>
      <c r="AG54" s="210">
        <f t="shared" si="18"/>
        <v>0</v>
      </c>
    </row>
    <row r="55" spans="2:33" ht="15" customHeight="1" x14ac:dyDescent="0.3">
      <c r="B55" s="196" t="s">
        <v>7</v>
      </c>
      <c r="C55" s="197" t="s">
        <v>15</v>
      </c>
      <c r="D55" s="198" t="str">
        <f t="shared" si="0"/>
        <v>C</v>
      </c>
      <c r="E55" s="199">
        <v>44622.833333333336</v>
      </c>
      <c r="F55" s="200" t="s">
        <v>113</v>
      </c>
      <c r="G55" s="201">
        <v>115.6</v>
      </c>
      <c r="H55" s="201">
        <v>114.831</v>
      </c>
      <c r="I55" s="202">
        <f t="shared" si="1"/>
        <v>0.76899999999999125</v>
      </c>
      <c r="J55" s="201">
        <v>119.19</v>
      </c>
      <c r="K55" s="199">
        <v>44623.856249999997</v>
      </c>
      <c r="L55" s="201">
        <v>115.45399999999999</v>
      </c>
      <c r="M55" s="203">
        <f t="shared" si="2"/>
        <v>-0.14599999999999999</v>
      </c>
      <c r="N55" s="204">
        <f t="shared" si="3"/>
        <v>-0.19</v>
      </c>
      <c r="O55" s="205">
        <f t="shared" si="4"/>
        <v>0</v>
      </c>
      <c r="P55" s="206">
        <f t="shared" si="5"/>
        <v>0</v>
      </c>
      <c r="Q55" s="206">
        <f t="shared" si="6"/>
        <v>-0.19</v>
      </c>
      <c r="R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337100</v>
      </c>
      <c r="T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55" s="208">
        <f ca="1">IF(Tabla33610673[[#This Row],[Equity]]&lt;Tabla33610673[[#This Row],[Equity Peak]],(Tabla33610673[[#This Row],[Equity Peak]]-Tabla33610673[[#This Row],[Equity]])/Tabla33610673[[#This Row],[Equity Peak]],"")</f>
        <v>1.5162581436793362E-2</v>
      </c>
      <c r="V55" s="209">
        <f t="shared" si="7"/>
        <v>-0.19</v>
      </c>
      <c r="W55" s="209">
        <f t="shared" si="8"/>
        <v>0</v>
      </c>
      <c r="X55" s="209">
        <f t="shared" si="9"/>
        <v>0</v>
      </c>
      <c r="Y55" s="209">
        <f t="shared" si="10"/>
        <v>0</v>
      </c>
      <c r="Z55" s="209">
        <f t="shared" si="11"/>
        <v>0</v>
      </c>
      <c r="AA55" s="205">
        <f t="shared" si="12"/>
        <v>0</v>
      </c>
      <c r="AB55" s="209">
        <f t="shared" si="13"/>
        <v>0</v>
      </c>
      <c r="AC55" s="205">
        <f t="shared" si="14"/>
        <v>0</v>
      </c>
      <c r="AD55" s="210">
        <f t="shared" si="15"/>
        <v>1.022916666661331</v>
      </c>
      <c r="AE55" s="210">
        <f t="shared" si="16"/>
        <v>0</v>
      </c>
      <c r="AF55" s="210">
        <f t="shared" si="17"/>
        <v>1.022916666661331</v>
      </c>
      <c r="AG55" s="210">
        <f t="shared" si="18"/>
        <v>0</v>
      </c>
    </row>
    <row r="56" spans="2:33" ht="15" customHeight="1" x14ac:dyDescent="0.3">
      <c r="B56" s="196" t="s">
        <v>7</v>
      </c>
      <c r="C56" s="197" t="s">
        <v>15</v>
      </c>
      <c r="D56" s="198" t="str">
        <f t="shared" si="0"/>
        <v>C</v>
      </c>
      <c r="E56" s="199">
        <v>44617.166666666664</v>
      </c>
      <c r="F56" s="200" t="s">
        <v>113</v>
      </c>
      <c r="G56" s="201">
        <v>115.441</v>
      </c>
      <c r="H56" s="201">
        <v>114.35899999999999</v>
      </c>
      <c r="I56" s="202">
        <f t="shared" si="1"/>
        <v>1.0820000000000078</v>
      </c>
      <c r="J56" s="201">
        <v>120.488</v>
      </c>
      <c r="K56" s="199">
        <v>44620.000694444447</v>
      </c>
      <c r="L56" s="201">
        <v>115.17</v>
      </c>
      <c r="M56" s="203">
        <f t="shared" si="2"/>
        <v>-0.27100000000000002</v>
      </c>
      <c r="N56" s="204">
        <f t="shared" si="3"/>
        <v>-0.25</v>
      </c>
      <c r="O56" s="205">
        <f t="shared" si="4"/>
        <v>0</v>
      </c>
      <c r="P56" s="206">
        <f t="shared" si="5"/>
        <v>0</v>
      </c>
      <c r="Q56" s="206">
        <f t="shared" si="6"/>
        <v>-0.25</v>
      </c>
      <c r="R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337290</v>
      </c>
      <c r="T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56" s="208">
        <f ca="1">IF(Tabla33610673[[#This Row],[Equity]]&lt;Tabla33610673[[#This Row],[Equity Peak]],(Tabla33610673[[#This Row],[Equity Peak]]-Tabla33610673[[#This Row],[Equity]])/Tabla33610673[[#This Row],[Equity Peak]],"")</f>
        <v>1.4607496567238306E-2</v>
      </c>
      <c r="V56" s="209">
        <f t="shared" si="7"/>
        <v>-0.25</v>
      </c>
      <c r="W56" s="209">
        <f t="shared" si="8"/>
        <v>0</v>
      </c>
      <c r="X56" s="209">
        <f t="shared" si="9"/>
        <v>0</v>
      </c>
      <c r="Y56" s="209">
        <f t="shared" si="10"/>
        <v>0</v>
      </c>
      <c r="Z56" s="209">
        <f t="shared" si="11"/>
        <v>0</v>
      </c>
      <c r="AA56" s="205">
        <f t="shared" si="12"/>
        <v>0</v>
      </c>
      <c r="AB56" s="209">
        <f t="shared" si="13"/>
        <v>0</v>
      </c>
      <c r="AC56" s="205">
        <f t="shared" si="14"/>
        <v>0</v>
      </c>
      <c r="AD56" s="210">
        <f t="shared" si="15"/>
        <v>2.8340277777824667</v>
      </c>
      <c r="AE56" s="210">
        <f t="shared" si="16"/>
        <v>0</v>
      </c>
      <c r="AF56" s="210">
        <f t="shared" si="17"/>
        <v>2.8340277777824667</v>
      </c>
      <c r="AG56" s="210">
        <f t="shared" si="18"/>
        <v>0</v>
      </c>
    </row>
    <row r="57" spans="2:33" ht="15" customHeight="1" x14ac:dyDescent="0.3">
      <c r="B57" s="196" t="s">
        <v>5</v>
      </c>
      <c r="C57" s="197" t="s">
        <v>13</v>
      </c>
      <c r="D57" s="198" t="str">
        <f t="shared" si="0"/>
        <v>C</v>
      </c>
      <c r="E57" s="199">
        <v>44609.625</v>
      </c>
      <c r="F57" s="200" t="s">
        <v>94</v>
      </c>
      <c r="G57" s="201">
        <v>7574.56</v>
      </c>
      <c r="H57" s="201">
        <v>7668.17</v>
      </c>
      <c r="I57" s="202">
        <f t="shared" si="1"/>
        <v>93.609999999999673</v>
      </c>
      <c r="J57" s="201">
        <v>7106.49</v>
      </c>
      <c r="K57" s="199">
        <v>44614.703472222223</v>
      </c>
      <c r="L57" s="201">
        <v>7531.51</v>
      </c>
      <c r="M57" s="203">
        <f t="shared" si="2"/>
        <v>43.05</v>
      </c>
      <c r="N57" s="204">
        <f t="shared" si="3"/>
        <v>0.46</v>
      </c>
      <c r="O57" s="205">
        <f t="shared" si="4"/>
        <v>0</v>
      </c>
      <c r="P57" s="206">
        <f t="shared" si="5"/>
        <v>0.46</v>
      </c>
      <c r="Q57" s="206">
        <f t="shared" si="6"/>
        <v>0</v>
      </c>
      <c r="R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337540</v>
      </c>
      <c r="T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57" s="208">
        <f ca="1">IF(Tabla33610673[[#This Row],[Equity]]&lt;Tabla33610673[[#This Row],[Equity Peak]],(Tabla33610673[[#This Row],[Equity Peak]]-Tabla33610673[[#This Row],[Equity]])/Tabla33610673[[#This Row],[Equity Peak]],"")</f>
        <v>1.3877121738876392E-2</v>
      </c>
      <c r="V57" s="209">
        <f t="shared" si="7"/>
        <v>0</v>
      </c>
      <c r="W57" s="209">
        <f t="shared" si="8"/>
        <v>0</v>
      </c>
      <c r="X57" s="209">
        <f t="shared" si="9"/>
        <v>0</v>
      </c>
      <c r="Y57" s="209">
        <f t="shared" si="10"/>
        <v>0</v>
      </c>
      <c r="Z57" s="209">
        <f t="shared" si="11"/>
        <v>0.46</v>
      </c>
      <c r="AA57" s="205">
        <f t="shared" si="12"/>
        <v>0</v>
      </c>
      <c r="AB57" s="209">
        <f t="shared" si="13"/>
        <v>0</v>
      </c>
      <c r="AC57" s="205">
        <f t="shared" si="14"/>
        <v>0</v>
      </c>
      <c r="AD57" s="210">
        <f t="shared" si="15"/>
        <v>5.078472222223354</v>
      </c>
      <c r="AE57" s="210">
        <f t="shared" si="16"/>
        <v>5.078472222223354</v>
      </c>
      <c r="AF57" s="210">
        <f t="shared" si="17"/>
        <v>0</v>
      </c>
      <c r="AG57" s="210">
        <f t="shared" si="18"/>
        <v>0</v>
      </c>
    </row>
    <row r="58" spans="2:33" ht="15" customHeight="1" x14ac:dyDescent="0.3">
      <c r="B58" s="196" t="s">
        <v>5</v>
      </c>
      <c r="C58" s="197" t="s">
        <v>15</v>
      </c>
      <c r="D58" s="198" t="str">
        <f t="shared" si="0"/>
        <v>C</v>
      </c>
      <c r="E58" s="199">
        <v>44607.791666666664</v>
      </c>
      <c r="F58" s="200" t="s">
        <v>94</v>
      </c>
      <c r="G58" s="201">
        <v>7616.8</v>
      </c>
      <c r="H58" s="201">
        <v>7486.1</v>
      </c>
      <c r="I58" s="202">
        <f t="shared" si="1"/>
        <v>130.69999999999982</v>
      </c>
      <c r="J58" s="201">
        <v>8270.2999999999993</v>
      </c>
      <c r="K58" s="199">
        <v>44609.625</v>
      </c>
      <c r="L58" s="201">
        <v>7574.56</v>
      </c>
      <c r="M58" s="203">
        <f t="shared" si="2"/>
        <v>-42.24</v>
      </c>
      <c r="N58" s="204">
        <f t="shared" si="3"/>
        <v>-0.32</v>
      </c>
      <c r="O58" s="205">
        <f t="shared" si="4"/>
        <v>0</v>
      </c>
      <c r="P58" s="206">
        <f t="shared" si="5"/>
        <v>0</v>
      </c>
      <c r="Q58" s="206">
        <f t="shared" si="6"/>
        <v>-0.32</v>
      </c>
      <c r="R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337080</v>
      </c>
      <c r="T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58" s="208">
        <f ca="1">IF(Tabla33610673[[#This Row],[Equity]]&lt;Tabla33610673[[#This Row],[Equity Peak]],(Tabla33610673[[#This Row],[Equity Peak]]-Tabla33610673[[#This Row],[Equity]])/Tabla33610673[[#This Row],[Equity Peak]],"")</f>
        <v>1.5221011423062316E-2</v>
      </c>
      <c r="V58" s="209">
        <f t="shared" si="7"/>
        <v>0</v>
      </c>
      <c r="W58" s="209">
        <f t="shared" si="8"/>
        <v>0</v>
      </c>
      <c r="X58" s="209">
        <f t="shared" si="9"/>
        <v>0</v>
      </c>
      <c r="Y58" s="209">
        <f t="shared" si="10"/>
        <v>0</v>
      </c>
      <c r="Z58" s="209">
        <f t="shared" si="11"/>
        <v>-0.32</v>
      </c>
      <c r="AA58" s="205">
        <f t="shared" si="12"/>
        <v>0</v>
      </c>
      <c r="AB58" s="209">
        <f t="shared" si="13"/>
        <v>0</v>
      </c>
      <c r="AC58" s="205">
        <f t="shared" si="14"/>
        <v>0</v>
      </c>
      <c r="AD58" s="210">
        <f t="shared" si="15"/>
        <v>1.8333333333357587</v>
      </c>
      <c r="AE58" s="210">
        <f t="shared" si="16"/>
        <v>0</v>
      </c>
      <c r="AF58" s="210">
        <f t="shared" si="17"/>
        <v>1.8333333333357587</v>
      </c>
      <c r="AG58" s="210">
        <f t="shared" si="18"/>
        <v>0</v>
      </c>
    </row>
    <row r="59" spans="2:33" ht="15" customHeight="1" x14ac:dyDescent="0.3">
      <c r="B59" s="196" t="s">
        <v>5</v>
      </c>
      <c r="C59" s="197" t="s">
        <v>13</v>
      </c>
      <c r="D59" s="198" t="str">
        <f t="shared" si="0"/>
        <v>C</v>
      </c>
      <c r="E59" s="199">
        <v>44606.625</v>
      </c>
      <c r="F59" s="200" t="s">
        <v>94</v>
      </c>
      <c r="G59" s="201">
        <v>7564.83</v>
      </c>
      <c r="H59" s="201">
        <v>7680.15</v>
      </c>
      <c r="I59" s="202">
        <f t="shared" si="1"/>
        <v>115.31999999999971</v>
      </c>
      <c r="J59" s="201">
        <v>6988.23</v>
      </c>
      <c r="K59" s="199">
        <v>44607.775000000001</v>
      </c>
      <c r="L59" s="201">
        <v>7621.64</v>
      </c>
      <c r="M59" s="203">
        <f t="shared" si="2"/>
        <v>-56.81</v>
      </c>
      <c r="N59" s="204">
        <f t="shared" si="3"/>
        <v>-0.49</v>
      </c>
      <c r="O59" s="205">
        <f t="shared" si="4"/>
        <v>0</v>
      </c>
      <c r="P59" s="206">
        <f t="shared" si="5"/>
        <v>0</v>
      </c>
      <c r="Q59" s="206">
        <f t="shared" si="6"/>
        <v>-0.49</v>
      </c>
      <c r="R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337400</v>
      </c>
      <c r="T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59" s="208">
        <f ca="1">IF(Tabla33610673[[#This Row],[Equity]]&lt;Tabla33610673[[#This Row],[Equity Peak]],(Tabla33610673[[#This Row],[Equity Peak]]-Tabla33610673[[#This Row],[Equity]])/Tabla33610673[[#This Row],[Equity Peak]],"")</f>
        <v>1.4286131642759064E-2</v>
      </c>
      <c r="V59" s="209">
        <f t="shared" si="7"/>
        <v>0</v>
      </c>
      <c r="W59" s="209">
        <f t="shared" si="8"/>
        <v>0</v>
      </c>
      <c r="X59" s="209">
        <f t="shared" si="9"/>
        <v>0</v>
      </c>
      <c r="Y59" s="209">
        <f t="shared" si="10"/>
        <v>0</v>
      </c>
      <c r="Z59" s="209">
        <f t="shared" si="11"/>
        <v>-0.49</v>
      </c>
      <c r="AA59" s="205">
        <f t="shared" si="12"/>
        <v>0</v>
      </c>
      <c r="AB59" s="209">
        <f t="shared" si="13"/>
        <v>0</v>
      </c>
      <c r="AC59" s="205">
        <f t="shared" si="14"/>
        <v>0</v>
      </c>
      <c r="AD59" s="210">
        <f t="shared" si="15"/>
        <v>1.1500000000014552</v>
      </c>
      <c r="AE59" s="210">
        <f t="shared" si="16"/>
        <v>0</v>
      </c>
      <c r="AF59" s="210">
        <f t="shared" si="17"/>
        <v>1.1500000000014552</v>
      </c>
      <c r="AG59" s="210">
        <f t="shared" si="18"/>
        <v>0</v>
      </c>
    </row>
    <row r="60" spans="2:33" ht="15" customHeight="1" x14ac:dyDescent="0.3">
      <c r="B60" s="196" t="s">
        <v>5</v>
      </c>
      <c r="C60" s="197" t="s">
        <v>15</v>
      </c>
      <c r="D60" s="198" t="str">
        <f t="shared" si="0"/>
        <v>C</v>
      </c>
      <c r="E60" s="199">
        <v>44601.791666666664</v>
      </c>
      <c r="F60" s="200" t="s">
        <v>94</v>
      </c>
      <c r="G60" s="201">
        <v>7656.91</v>
      </c>
      <c r="H60" s="201">
        <v>7574.38</v>
      </c>
      <c r="I60" s="202">
        <f t="shared" si="1"/>
        <v>82.529999999999745</v>
      </c>
      <c r="J60" s="201">
        <v>8069.55</v>
      </c>
      <c r="K60" s="199">
        <v>44602.948611111111</v>
      </c>
      <c r="L60" s="201">
        <v>7629.34</v>
      </c>
      <c r="M60" s="203">
        <f t="shared" si="2"/>
        <v>-27.57</v>
      </c>
      <c r="N60" s="204">
        <f t="shared" si="3"/>
        <v>-0.33</v>
      </c>
      <c r="O60" s="205">
        <f t="shared" si="4"/>
        <v>0</v>
      </c>
      <c r="P60" s="206">
        <f t="shared" si="5"/>
        <v>0</v>
      </c>
      <c r="Q60" s="206">
        <f t="shared" si="6"/>
        <v>-0.33</v>
      </c>
      <c r="R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337890</v>
      </c>
      <c r="T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60" s="208">
        <f ca="1">IF(Tabla33610673[[#This Row],[Equity]]&lt;Tabla33610673[[#This Row],[Equity Peak]],(Tabla33610673[[#This Row],[Equity Peak]]-Tabla33610673[[#This Row],[Equity]])/Tabla33610673[[#This Row],[Equity Peak]],"")</f>
        <v>1.285459697916971E-2</v>
      </c>
      <c r="V60" s="209">
        <f t="shared" si="7"/>
        <v>0</v>
      </c>
      <c r="W60" s="209">
        <f t="shared" si="8"/>
        <v>0</v>
      </c>
      <c r="X60" s="209">
        <f t="shared" si="9"/>
        <v>0</v>
      </c>
      <c r="Y60" s="209">
        <f t="shared" si="10"/>
        <v>0</v>
      </c>
      <c r="Z60" s="209">
        <f t="shared" si="11"/>
        <v>-0.33</v>
      </c>
      <c r="AA60" s="205">
        <f t="shared" si="12"/>
        <v>0</v>
      </c>
      <c r="AB60" s="209">
        <f t="shared" si="13"/>
        <v>0</v>
      </c>
      <c r="AC60" s="205">
        <f t="shared" si="14"/>
        <v>0</v>
      </c>
      <c r="AD60" s="210">
        <f t="shared" si="15"/>
        <v>1.1569444444467081</v>
      </c>
      <c r="AE60" s="210">
        <f t="shared" si="16"/>
        <v>0</v>
      </c>
      <c r="AF60" s="210">
        <f t="shared" si="17"/>
        <v>1.1569444444467081</v>
      </c>
      <c r="AG60" s="210">
        <f t="shared" si="18"/>
        <v>0</v>
      </c>
    </row>
    <row r="61" spans="2:33" ht="15" customHeight="1" x14ac:dyDescent="0.3">
      <c r="B61" s="196" t="s">
        <v>7</v>
      </c>
      <c r="C61" s="197" t="s">
        <v>15</v>
      </c>
      <c r="D61" s="198" t="str">
        <f t="shared" si="0"/>
        <v>C</v>
      </c>
      <c r="E61" s="199">
        <v>44596.017361111109</v>
      </c>
      <c r="F61" s="200" t="s">
        <v>113</v>
      </c>
      <c r="G61" s="201">
        <v>114.93300000000001</v>
      </c>
      <c r="H61" s="201">
        <v>114.239</v>
      </c>
      <c r="I61" s="202">
        <f t="shared" si="1"/>
        <v>0.69400000000000261</v>
      </c>
      <c r="J61" s="201">
        <v>118.17100000000001</v>
      </c>
      <c r="K61" s="199">
        <v>44599.570833333331</v>
      </c>
      <c r="L61" s="201">
        <v>114.932</v>
      </c>
      <c r="M61" s="203">
        <f t="shared" si="2"/>
        <v>-1E-3</v>
      </c>
      <c r="N61" s="204">
        <f t="shared" si="3"/>
        <v>0</v>
      </c>
      <c r="O61" s="205">
        <f t="shared" si="4"/>
        <v>0</v>
      </c>
      <c r="P61" s="206">
        <f t="shared" si="5"/>
        <v>0</v>
      </c>
      <c r="Q61" s="206">
        <f t="shared" si="6"/>
        <v>0</v>
      </c>
      <c r="R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338220</v>
      </c>
      <c r="T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61" s="208">
        <f ca="1">IF(Tabla33610673[[#This Row],[Equity]]&lt;Tabla33610673[[#This Row],[Equity Peak]],(Tabla33610673[[#This Row],[Equity Peak]]-Tabla33610673[[#This Row],[Equity]])/Tabla33610673[[#This Row],[Equity Peak]],"")</f>
        <v>1.1890502205731983E-2</v>
      </c>
      <c r="V61" s="209">
        <f t="shared" si="7"/>
        <v>0</v>
      </c>
      <c r="W61" s="209">
        <f t="shared" si="8"/>
        <v>0</v>
      </c>
      <c r="X61" s="209">
        <f t="shared" si="9"/>
        <v>0</v>
      </c>
      <c r="Y61" s="209">
        <f t="shared" si="10"/>
        <v>0</v>
      </c>
      <c r="Z61" s="209">
        <f t="shared" si="11"/>
        <v>0</v>
      </c>
      <c r="AA61" s="205">
        <f t="shared" si="12"/>
        <v>0</v>
      </c>
      <c r="AB61" s="209">
        <f t="shared" si="13"/>
        <v>0</v>
      </c>
      <c r="AC61" s="205">
        <f t="shared" si="14"/>
        <v>0</v>
      </c>
      <c r="AD61" s="210">
        <f t="shared" si="15"/>
        <v>3.5534722222218988</v>
      </c>
      <c r="AE61" s="210">
        <f t="shared" si="16"/>
        <v>0</v>
      </c>
      <c r="AF61" s="210">
        <f t="shared" si="17"/>
        <v>0</v>
      </c>
      <c r="AG61" s="210">
        <f t="shared" si="18"/>
        <v>3.5534722222218988</v>
      </c>
    </row>
    <row r="62" spans="2:33" ht="15" customHeight="1" x14ac:dyDescent="0.3">
      <c r="B62" s="196" t="s">
        <v>7</v>
      </c>
      <c r="C62" s="197" t="s">
        <v>15</v>
      </c>
      <c r="D62" s="198" t="str">
        <f t="shared" si="0"/>
        <v>C</v>
      </c>
      <c r="E62" s="199">
        <v>44588.333333333336</v>
      </c>
      <c r="F62" s="200" t="s">
        <v>113</v>
      </c>
      <c r="G62" s="201">
        <v>114.667</v>
      </c>
      <c r="H62" s="201">
        <v>113.996</v>
      </c>
      <c r="I62" s="202">
        <f t="shared" si="1"/>
        <v>0.67100000000000648</v>
      </c>
      <c r="J62" s="201">
        <v>117.79600000000001</v>
      </c>
      <c r="K62" s="199">
        <v>44592.863194444442</v>
      </c>
      <c r="L62" s="201">
        <v>114.991</v>
      </c>
      <c r="M62" s="203">
        <f t="shared" si="2"/>
        <v>0.32400000000000001</v>
      </c>
      <c r="N62" s="204">
        <f t="shared" si="3"/>
        <v>0.48</v>
      </c>
      <c r="O62" s="205">
        <f t="shared" si="4"/>
        <v>0</v>
      </c>
      <c r="P62" s="206">
        <f t="shared" si="5"/>
        <v>0.48</v>
      </c>
      <c r="Q62" s="206">
        <f t="shared" si="6"/>
        <v>0</v>
      </c>
      <c r="R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338220</v>
      </c>
      <c r="T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62" s="208">
        <f ca="1">IF(Tabla33610673[[#This Row],[Equity]]&lt;Tabla33610673[[#This Row],[Equity Peak]],(Tabla33610673[[#This Row],[Equity Peak]]-Tabla33610673[[#This Row],[Equity]])/Tabla33610673[[#This Row],[Equity Peak]],"")</f>
        <v>1.1890502205731983E-2</v>
      </c>
      <c r="V62" s="209">
        <f t="shared" si="7"/>
        <v>0.48</v>
      </c>
      <c r="W62" s="209">
        <f t="shared" si="8"/>
        <v>0</v>
      </c>
      <c r="X62" s="209">
        <f t="shared" si="9"/>
        <v>0</v>
      </c>
      <c r="Y62" s="209">
        <f t="shared" si="10"/>
        <v>0</v>
      </c>
      <c r="Z62" s="209">
        <f t="shared" si="11"/>
        <v>0</v>
      </c>
      <c r="AA62" s="205">
        <f t="shared" si="12"/>
        <v>0</v>
      </c>
      <c r="AB62" s="209">
        <f t="shared" si="13"/>
        <v>0</v>
      </c>
      <c r="AC62" s="205">
        <f t="shared" si="14"/>
        <v>0</v>
      </c>
      <c r="AD62" s="210">
        <f t="shared" si="15"/>
        <v>4.5298611111065838</v>
      </c>
      <c r="AE62" s="210">
        <f t="shared" si="16"/>
        <v>4.5298611111065838</v>
      </c>
      <c r="AF62" s="210">
        <f t="shared" si="17"/>
        <v>0</v>
      </c>
      <c r="AG62" s="210">
        <f t="shared" si="18"/>
        <v>0</v>
      </c>
    </row>
    <row r="63" spans="2:33" ht="15" customHeight="1" x14ac:dyDescent="0.3">
      <c r="B63" s="196" t="s">
        <v>5</v>
      </c>
      <c r="C63" s="197" t="s">
        <v>15</v>
      </c>
      <c r="D63" s="198" t="str">
        <f t="shared" si="0"/>
        <v>C</v>
      </c>
      <c r="E63" s="199">
        <v>44588.791666666664</v>
      </c>
      <c r="F63" s="200" t="s">
        <v>94</v>
      </c>
      <c r="G63" s="201">
        <v>7572.92</v>
      </c>
      <c r="H63" s="201">
        <v>7420.57</v>
      </c>
      <c r="I63" s="202">
        <f t="shared" si="1"/>
        <v>152.35000000000036</v>
      </c>
      <c r="J63" s="201">
        <v>8334.68</v>
      </c>
      <c r="K63" s="199">
        <v>44589.525694444441</v>
      </c>
      <c r="L63" s="201">
        <v>7457.34</v>
      </c>
      <c r="M63" s="203">
        <f t="shared" si="2"/>
        <v>-115.58</v>
      </c>
      <c r="N63" s="204">
        <f t="shared" si="3"/>
        <v>-0.76</v>
      </c>
      <c r="O63" s="205">
        <f t="shared" si="4"/>
        <v>0</v>
      </c>
      <c r="P63" s="206">
        <f t="shared" si="5"/>
        <v>0</v>
      </c>
      <c r="Q63" s="206">
        <f t="shared" si="6"/>
        <v>-0.76</v>
      </c>
      <c r="R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337740</v>
      </c>
      <c r="T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63" s="208">
        <f ca="1">IF(Tabla33610673[[#This Row],[Equity]]&lt;Tabla33610673[[#This Row],[Equity Peak]],(Tabla33610673[[#This Row],[Equity Peak]]-Tabla33610673[[#This Row],[Equity]])/Tabla33610673[[#This Row],[Equity Peak]],"")</f>
        <v>1.3292821876186859E-2</v>
      </c>
      <c r="V63" s="209">
        <f t="shared" si="7"/>
        <v>0</v>
      </c>
      <c r="W63" s="209">
        <f t="shared" si="8"/>
        <v>0</v>
      </c>
      <c r="X63" s="209">
        <f t="shared" si="9"/>
        <v>0</v>
      </c>
      <c r="Y63" s="209">
        <f t="shared" si="10"/>
        <v>0</v>
      </c>
      <c r="Z63" s="209">
        <f t="shared" si="11"/>
        <v>-0.76</v>
      </c>
      <c r="AA63" s="205">
        <f t="shared" si="12"/>
        <v>0</v>
      </c>
      <c r="AB63" s="209">
        <f t="shared" si="13"/>
        <v>0</v>
      </c>
      <c r="AC63" s="205">
        <f t="shared" si="14"/>
        <v>0</v>
      </c>
      <c r="AD63" s="210">
        <f t="shared" si="15"/>
        <v>0.73402777777664596</v>
      </c>
      <c r="AE63" s="210">
        <f t="shared" si="16"/>
        <v>0</v>
      </c>
      <c r="AF63" s="210">
        <f t="shared" si="17"/>
        <v>0.73402777777664596</v>
      </c>
      <c r="AG63" s="210">
        <f t="shared" si="18"/>
        <v>0</v>
      </c>
    </row>
    <row r="64" spans="2:33" ht="15" customHeight="1" x14ac:dyDescent="0.3">
      <c r="B64" s="196" t="s">
        <v>5</v>
      </c>
      <c r="C64" s="197" t="s">
        <v>13</v>
      </c>
      <c r="D64" s="198" t="str">
        <f t="shared" si="0"/>
        <v>C</v>
      </c>
      <c r="E64" s="199">
        <v>44582.625</v>
      </c>
      <c r="F64" s="200" t="s">
        <v>94</v>
      </c>
      <c r="G64" s="201">
        <v>7500.45</v>
      </c>
      <c r="H64" s="201">
        <v>7588.04</v>
      </c>
      <c r="I64" s="202">
        <f t="shared" si="1"/>
        <v>87.590000000000146</v>
      </c>
      <c r="J64" s="201">
        <v>7062.49</v>
      </c>
      <c r="K64" s="199">
        <v>44585.956944444442</v>
      </c>
      <c r="L64" s="201">
        <v>7395.35</v>
      </c>
      <c r="M64" s="203">
        <f t="shared" si="2"/>
        <v>105.1</v>
      </c>
      <c r="N64" s="204">
        <f t="shared" si="3"/>
        <v>1.2</v>
      </c>
      <c r="O64" s="205">
        <f t="shared" si="4"/>
        <v>0</v>
      </c>
      <c r="P64" s="206">
        <f t="shared" si="5"/>
        <v>1.2</v>
      </c>
      <c r="Q64" s="206">
        <f t="shared" si="6"/>
        <v>0</v>
      </c>
      <c r="R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338500</v>
      </c>
      <c r="T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64" s="208">
        <f ca="1">IF(Tabla33610673[[#This Row],[Equity]]&lt;Tabla33610673[[#This Row],[Equity Peak]],(Tabla33610673[[#This Row],[Equity Peak]]-Tabla33610673[[#This Row],[Equity]])/Tabla33610673[[#This Row],[Equity Peak]],"")</f>
        <v>1.1072482397966637E-2</v>
      </c>
      <c r="V64" s="209">
        <f t="shared" si="7"/>
        <v>0</v>
      </c>
      <c r="W64" s="209">
        <f t="shared" si="8"/>
        <v>0</v>
      </c>
      <c r="X64" s="209">
        <f t="shared" si="9"/>
        <v>0</v>
      </c>
      <c r="Y64" s="209">
        <f t="shared" si="10"/>
        <v>0</v>
      </c>
      <c r="Z64" s="209">
        <f t="shared" si="11"/>
        <v>1.2</v>
      </c>
      <c r="AA64" s="205">
        <f t="shared" si="12"/>
        <v>0</v>
      </c>
      <c r="AB64" s="209">
        <f t="shared" si="13"/>
        <v>0</v>
      </c>
      <c r="AC64" s="205">
        <f t="shared" si="14"/>
        <v>0</v>
      </c>
      <c r="AD64" s="210">
        <f t="shared" si="15"/>
        <v>3.3319444444423425</v>
      </c>
      <c r="AE64" s="210">
        <f t="shared" si="16"/>
        <v>3.3319444444423425</v>
      </c>
      <c r="AF64" s="210">
        <f t="shared" si="17"/>
        <v>0</v>
      </c>
      <c r="AG64" s="210">
        <f t="shared" si="18"/>
        <v>0</v>
      </c>
    </row>
    <row r="65" spans="2:33" ht="15" customHeight="1" x14ac:dyDescent="0.3">
      <c r="B65" s="196" t="s">
        <v>5</v>
      </c>
      <c r="C65" s="197" t="s">
        <v>15</v>
      </c>
      <c r="D65" s="198" t="str">
        <f t="shared" si="0"/>
        <v>C</v>
      </c>
      <c r="E65" s="199">
        <v>44551.458333333336</v>
      </c>
      <c r="F65" s="200" t="s">
        <v>94</v>
      </c>
      <c r="G65" s="201">
        <v>7273.01</v>
      </c>
      <c r="H65" s="201">
        <v>7173.3</v>
      </c>
      <c r="I65" s="202">
        <f t="shared" si="1"/>
        <v>99.710000000000036</v>
      </c>
      <c r="J65" s="201">
        <v>7771.57</v>
      </c>
      <c r="K65" s="199">
        <v>44561.125</v>
      </c>
      <c r="L65" s="201">
        <v>7386.36</v>
      </c>
      <c r="M65" s="203">
        <f t="shared" si="2"/>
        <v>113.35</v>
      </c>
      <c r="N65" s="204">
        <f t="shared" si="3"/>
        <v>1.1399999999999999</v>
      </c>
      <c r="O65" s="205">
        <f t="shared" si="4"/>
        <v>0</v>
      </c>
      <c r="P65" s="206">
        <f t="shared" si="5"/>
        <v>1.1399999999999999</v>
      </c>
      <c r="Q65" s="206">
        <f t="shared" si="6"/>
        <v>0</v>
      </c>
      <c r="R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337300</v>
      </c>
      <c r="T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65" s="208">
        <f ca="1">IF(Tabla33610673[[#This Row],[Equity]]&lt;Tabla33610673[[#This Row],[Equity Peak]],(Tabla33610673[[#This Row],[Equity Peak]]-Tabla33610673[[#This Row],[Equity]])/Tabla33610673[[#This Row],[Equity Peak]],"")</f>
        <v>1.4578281574103831E-2</v>
      </c>
      <c r="V65" s="209">
        <f t="shared" si="7"/>
        <v>0</v>
      </c>
      <c r="W65" s="209">
        <f t="shared" si="8"/>
        <v>0</v>
      </c>
      <c r="X65" s="209">
        <f t="shared" si="9"/>
        <v>0</v>
      </c>
      <c r="Y65" s="209">
        <f t="shared" si="10"/>
        <v>0</v>
      </c>
      <c r="Z65" s="209">
        <f t="shared" si="11"/>
        <v>1.1399999999999999</v>
      </c>
      <c r="AA65" s="205">
        <f t="shared" si="12"/>
        <v>0</v>
      </c>
      <c r="AB65" s="209">
        <f t="shared" si="13"/>
        <v>0</v>
      </c>
      <c r="AC65" s="205">
        <f t="shared" si="14"/>
        <v>0</v>
      </c>
      <c r="AD65" s="210">
        <f t="shared" si="15"/>
        <v>9.6666666666642413</v>
      </c>
      <c r="AE65" s="210">
        <f t="shared" si="16"/>
        <v>9.6666666666642413</v>
      </c>
      <c r="AF65" s="210">
        <f t="shared" si="17"/>
        <v>0</v>
      </c>
      <c r="AG65" s="210">
        <f t="shared" si="18"/>
        <v>0</v>
      </c>
    </row>
    <row r="66" spans="2:33" ht="15" customHeight="1" x14ac:dyDescent="0.3">
      <c r="B66" s="196" t="s">
        <v>7</v>
      </c>
      <c r="C66" s="197" t="s">
        <v>15</v>
      </c>
      <c r="D66" s="198" t="str">
        <f t="shared" si="0"/>
        <v>C</v>
      </c>
      <c r="E66" s="199">
        <v>44551.666666666664</v>
      </c>
      <c r="F66" s="200" t="s">
        <v>113</v>
      </c>
      <c r="G66" s="201">
        <v>113.767</v>
      </c>
      <c r="H66" s="201">
        <v>113.181</v>
      </c>
      <c r="I66" s="202">
        <f t="shared" si="1"/>
        <v>0.58599999999999852</v>
      </c>
      <c r="J66" s="201">
        <v>116.503</v>
      </c>
      <c r="K66" s="199">
        <v>44559.719444444447</v>
      </c>
      <c r="L66" s="201">
        <v>114.709</v>
      </c>
      <c r="M66" s="203">
        <f t="shared" si="2"/>
        <v>0.94199999999999995</v>
      </c>
      <c r="N66" s="204">
        <f t="shared" si="3"/>
        <v>1.61</v>
      </c>
      <c r="O66" s="205">
        <f t="shared" si="4"/>
        <v>0</v>
      </c>
      <c r="P66" s="206">
        <f t="shared" si="5"/>
        <v>1.61</v>
      </c>
      <c r="Q66" s="206">
        <f t="shared" si="6"/>
        <v>0</v>
      </c>
      <c r="R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336160</v>
      </c>
      <c r="T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66" s="208">
        <f ca="1">IF(Tabla33610673[[#This Row],[Equity]]&lt;Tabla33610673[[#This Row],[Equity Peak]],(Tabla33610673[[#This Row],[Equity Peak]]-Tabla33610673[[#This Row],[Equity]])/Tabla33610673[[#This Row],[Equity Peak]],"")</f>
        <v>1.7908790791434166E-2</v>
      </c>
      <c r="V66" s="209">
        <f t="shared" si="7"/>
        <v>1.61</v>
      </c>
      <c r="W66" s="209">
        <f t="shared" si="8"/>
        <v>0</v>
      </c>
      <c r="X66" s="209">
        <f t="shared" si="9"/>
        <v>0</v>
      </c>
      <c r="Y66" s="209">
        <f t="shared" si="10"/>
        <v>0</v>
      </c>
      <c r="Z66" s="209">
        <f t="shared" si="11"/>
        <v>0</v>
      </c>
      <c r="AA66" s="205">
        <f t="shared" si="12"/>
        <v>0</v>
      </c>
      <c r="AB66" s="209">
        <f t="shared" si="13"/>
        <v>0</v>
      </c>
      <c r="AC66" s="205">
        <f t="shared" si="14"/>
        <v>0</v>
      </c>
      <c r="AD66" s="210">
        <f t="shared" si="15"/>
        <v>8.0527777777824667</v>
      </c>
      <c r="AE66" s="210">
        <f t="shared" si="16"/>
        <v>8.0527777777824667</v>
      </c>
      <c r="AF66" s="210">
        <f t="shared" si="17"/>
        <v>0</v>
      </c>
      <c r="AG66" s="210">
        <f t="shared" si="18"/>
        <v>0</v>
      </c>
    </row>
    <row r="67" spans="2:33" ht="15" customHeight="1" x14ac:dyDescent="0.3">
      <c r="B67" s="196" t="s">
        <v>5</v>
      </c>
      <c r="C67" s="197" t="s">
        <v>13</v>
      </c>
      <c r="D67" s="198" t="str">
        <f t="shared" si="0"/>
        <v>C</v>
      </c>
      <c r="E67" s="199">
        <v>44550.291666666664</v>
      </c>
      <c r="F67" s="200" t="s">
        <v>94</v>
      </c>
      <c r="G67" s="201">
        <v>7170.89</v>
      </c>
      <c r="H67" s="201">
        <v>7259.81</v>
      </c>
      <c r="I67" s="202">
        <f t="shared" si="1"/>
        <v>88.920000000000073</v>
      </c>
      <c r="J67" s="201">
        <v>6726.27</v>
      </c>
      <c r="K67" s="199">
        <v>44550.581250000003</v>
      </c>
      <c r="L67" s="201">
        <v>7199.81</v>
      </c>
      <c r="M67" s="203">
        <f t="shared" si="2"/>
        <v>-28.92</v>
      </c>
      <c r="N67" s="204">
        <f t="shared" si="3"/>
        <v>-0.33</v>
      </c>
      <c r="O67" s="205">
        <f t="shared" si="4"/>
        <v>0</v>
      </c>
      <c r="P67" s="206">
        <f t="shared" si="5"/>
        <v>0</v>
      </c>
      <c r="Q67" s="206">
        <f t="shared" si="6"/>
        <v>-0.33</v>
      </c>
      <c r="R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334550</v>
      </c>
      <c r="T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67" s="208">
        <f ca="1">IF(Tabla33610673[[#This Row],[Equity]]&lt;Tabla33610673[[#This Row],[Equity Peak]],(Tabla33610673[[#This Row],[Equity Peak]]-Tabla33610673[[#This Row],[Equity]])/Tabla33610673[[#This Row],[Equity Peak]],"")</f>
        <v>2.26124046860849E-2</v>
      </c>
      <c r="V67" s="209">
        <f t="shared" si="7"/>
        <v>0</v>
      </c>
      <c r="W67" s="209">
        <f t="shared" si="8"/>
        <v>0</v>
      </c>
      <c r="X67" s="209">
        <f t="shared" si="9"/>
        <v>0</v>
      </c>
      <c r="Y67" s="209">
        <f t="shared" si="10"/>
        <v>0</v>
      </c>
      <c r="Z67" s="209">
        <f t="shared" si="11"/>
        <v>-0.33</v>
      </c>
      <c r="AA67" s="205">
        <f t="shared" si="12"/>
        <v>0</v>
      </c>
      <c r="AB67" s="209">
        <f t="shared" si="13"/>
        <v>0</v>
      </c>
      <c r="AC67" s="205">
        <f t="shared" si="14"/>
        <v>0</v>
      </c>
      <c r="AD67" s="210">
        <f t="shared" si="15"/>
        <v>0.28958333333866904</v>
      </c>
      <c r="AE67" s="210">
        <f t="shared" si="16"/>
        <v>0</v>
      </c>
      <c r="AF67" s="210">
        <f t="shared" si="17"/>
        <v>0.28958333333866904</v>
      </c>
      <c r="AG67" s="210">
        <f t="shared" si="18"/>
        <v>0</v>
      </c>
    </row>
    <row r="68" spans="2:33" ht="15" customHeight="1" x14ac:dyDescent="0.3">
      <c r="B68" s="196" t="s">
        <v>5</v>
      </c>
      <c r="C68" s="197" t="s">
        <v>15</v>
      </c>
      <c r="D68" s="198" t="str">
        <f t="shared" si="0"/>
        <v>C</v>
      </c>
      <c r="E68" s="199">
        <v>44547.125</v>
      </c>
      <c r="F68" s="200" t="s">
        <v>94</v>
      </c>
      <c r="G68" s="201">
        <v>7257.48</v>
      </c>
      <c r="H68" s="201">
        <v>7182.13</v>
      </c>
      <c r="I68" s="202">
        <f t="shared" si="1"/>
        <v>75.349999999999454</v>
      </c>
      <c r="J68" s="201">
        <v>7634.22</v>
      </c>
      <c r="K68" s="199">
        <v>44550.125</v>
      </c>
      <c r="L68" s="201">
        <v>7219.45</v>
      </c>
      <c r="M68" s="203">
        <f t="shared" si="2"/>
        <v>-38.03</v>
      </c>
      <c r="N68" s="204">
        <f t="shared" si="3"/>
        <v>-0.5</v>
      </c>
      <c r="O68" s="205">
        <f t="shared" si="4"/>
        <v>0</v>
      </c>
      <c r="P68" s="206">
        <f t="shared" si="5"/>
        <v>0</v>
      </c>
      <c r="Q68" s="206">
        <f t="shared" si="6"/>
        <v>-0.5</v>
      </c>
      <c r="R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334880</v>
      </c>
      <c r="T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68" s="208">
        <f ca="1">IF(Tabla33610673[[#This Row],[Equity]]&lt;Tabla33610673[[#This Row],[Equity Peak]],(Tabla33610673[[#This Row],[Equity Peak]]-Tabla33610673[[#This Row],[Equity]])/Tabla33610673[[#This Row],[Equity Peak]],"")</f>
        <v>2.1648309912647171E-2</v>
      </c>
      <c r="V68" s="209">
        <f t="shared" si="7"/>
        <v>0</v>
      </c>
      <c r="W68" s="209">
        <f t="shared" si="8"/>
        <v>0</v>
      </c>
      <c r="X68" s="209">
        <f t="shared" si="9"/>
        <v>0</v>
      </c>
      <c r="Y68" s="209">
        <f t="shared" si="10"/>
        <v>0</v>
      </c>
      <c r="Z68" s="209">
        <f t="shared" si="11"/>
        <v>-0.5</v>
      </c>
      <c r="AA68" s="205">
        <f t="shared" si="12"/>
        <v>0</v>
      </c>
      <c r="AB68" s="209">
        <f t="shared" si="13"/>
        <v>0</v>
      </c>
      <c r="AC68" s="205">
        <f t="shared" si="14"/>
        <v>0</v>
      </c>
      <c r="AD68" s="210">
        <f t="shared" si="15"/>
        <v>3</v>
      </c>
      <c r="AE68" s="210">
        <f t="shared" si="16"/>
        <v>0</v>
      </c>
      <c r="AF68" s="210">
        <f t="shared" si="17"/>
        <v>3</v>
      </c>
      <c r="AG68" s="210">
        <f t="shared" si="18"/>
        <v>0</v>
      </c>
    </row>
    <row r="69" spans="2:33" ht="15" customHeight="1" x14ac:dyDescent="0.3">
      <c r="B69" s="196" t="s">
        <v>7</v>
      </c>
      <c r="C69" s="197" t="s">
        <v>15</v>
      </c>
      <c r="D69" s="198" t="str">
        <f t="shared" si="0"/>
        <v>C</v>
      </c>
      <c r="E69" s="199">
        <v>44544.833333333336</v>
      </c>
      <c r="F69" s="200" t="s">
        <v>113</v>
      </c>
      <c r="G69" s="201">
        <v>113.664</v>
      </c>
      <c r="H69" s="201">
        <v>113.066</v>
      </c>
      <c r="I69" s="202">
        <f t="shared" si="1"/>
        <v>0.59799999999999898</v>
      </c>
      <c r="J69" s="201">
        <v>116.45399999999999</v>
      </c>
      <c r="K69" s="199">
        <v>44546.695833333331</v>
      </c>
      <c r="L69" s="201">
        <v>113.75</v>
      </c>
      <c r="M69" s="203">
        <f t="shared" si="2"/>
        <v>8.5999999999999993E-2</v>
      </c>
      <c r="N69" s="204">
        <f t="shared" si="3"/>
        <v>0.14000000000000001</v>
      </c>
      <c r="O69" s="205">
        <f t="shared" si="4"/>
        <v>0</v>
      </c>
      <c r="P69" s="206">
        <f t="shared" si="5"/>
        <v>0.14000000000000001</v>
      </c>
      <c r="Q69" s="206">
        <f t="shared" si="6"/>
        <v>0</v>
      </c>
      <c r="R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335380</v>
      </c>
      <c r="T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69" s="208">
        <f ca="1">IF(Tabla33610673[[#This Row],[Equity]]&lt;Tabla33610673[[#This Row],[Equity Peak]],(Tabla33610673[[#This Row],[Equity Peak]]-Tabla33610673[[#This Row],[Equity]])/Tabla33610673[[#This Row],[Equity Peak]],"")</f>
        <v>2.0187560255923338E-2</v>
      </c>
      <c r="V69" s="209">
        <f t="shared" si="7"/>
        <v>0.14000000000000001</v>
      </c>
      <c r="W69" s="209">
        <f t="shared" si="8"/>
        <v>0</v>
      </c>
      <c r="X69" s="209">
        <f t="shared" si="9"/>
        <v>0</v>
      </c>
      <c r="Y69" s="209">
        <f t="shared" si="10"/>
        <v>0</v>
      </c>
      <c r="Z69" s="209">
        <f t="shared" si="11"/>
        <v>0</v>
      </c>
      <c r="AA69" s="205">
        <f t="shared" si="12"/>
        <v>0</v>
      </c>
      <c r="AB69" s="209">
        <f t="shared" si="13"/>
        <v>0</v>
      </c>
      <c r="AC69" s="205">
        <f t="shared" si="14"/>
        <v>0</v>
      </c>
      <c r="AD69" s="210">
        <f t="shared" si="15"/>
        <v>1.8624999999956344</v>
      </c>
      <c r="AE69" s="210">
        <f t="shared" si="16"/>
        <v>1.8624999999956344</v>
      </c>
      <c r="AF69" s="210">
        <f t="shared" si="17"/>
        <v>0</v>
      </c>
      <c r="AG69" s="210">
        <f t="shared" si="18"/>
        <v>0</v>
      </c>
    </row>
    <row r="70" spans="2:33" ht="15" customHeight="1" x14ac:dyDescent="0.3">
      <c r="B70" s="196" t="s">
        <v>5</v>
      </c>
      <c r="C70" s="197" t="s">
        <v>13</v>
      </c>
      <c r="D70" s="198" t="str">
        <f t="shared" si="0"/>
        <v>C</v>
      </c>
      <c r="E70" s="199">
        <v>44544.791666666664</v>
      </c>
      <c r="F70" s="200" t="s">
        <v>94</v>
      </c>
      <c r="G70" s="201">
        <v>7215.06</v>
      </c>
      <c r="H70" s="201">
        <v>7284.21</v>
      </c>
      <c r="I70" s="202">
        <f t="shared" si="1"/>
        <v>69.149999999999636</v>
      </c>
      <c r="J70" s="201">
        <v>6869.3</v>
      </c>
      <c r="K70" s="199">
        <v>44545.956250000003</v>
      </c>
      <c r="L70" s="201">
        <v>7239.01</v>
      </c>
      <c r="M70" s="203">
        <f t="shared" si="2"/>
        <v>-23.95</v>
      </c>
      <c r="N70" s="204">
        <f t="shared" si="3"/>
        <v>-0.35</v>
      </c>
      <c r="O70" s="205">
        <f t="shared" si="4"/>
        <v>0</v>
      </c>
      <c r="P70" s="206">
        <f t="shared" si="5"/>
        <v>0</v>
      </c>
      <c r="Q70" s="206">
        <f t="shared" si="6"/>
        <v>-0.35</v>
      </c>
      <c r="R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335240</v>
      </c>
      <c r="T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70" s="208">
        <f ca="1">IF(Tabla33610673[[#This Row],[Equity]]&lt;Tabla33610673[[#This Row],[Equity Peak]],(Tabla33610673[[#This Row],[Equity Peak]]-Tabla33610673[[#This Row],[Equity]])/Tabla33610673[[#This Row],[Equity Peak]],"")</f>
        <v>2.0596570159806014E-2</v>
      </c>
      <c r="V70" s="209">
        <f t="shared" si="7"/>
        <v>0</v>
      </c>
      <c r="W70" s="209">
        <f t="shared" si="8"/>
        <v>0</v>
      </c>
      <c r="X70" s="209">
        <f t="shared" si="9"/>
        <v>0</v>
      </c>
      <c r="Y70" s="209">
        <f t="shared" si="10"/>
        <v>0</v>
      </c>
      <c r="Z70" s="209">
        <f t="shared" si="11"/>
        <v>-0.35</v>
      </c>
      <c r="AA70" s="205">
        <f t="shared" si="12"/>
        <v>0</v>
      </c>
      <c r="AB70" s="209">
        <f t="shared" si="13"/>
        <v>0</v>
      </c>
      <c r="AC70" s="205">
        <f t="shared" si="14"/>
        <v>0</v>
      </c>
      <c r="AD70" s="210">
        <f t="shared" si="15"/>
        <v>1.164583333338669</v>
      </c>
      <c r="AE70" s="210">
        <f t="shared" si="16"/>
        <v>0</v>
      </c>
      <c r="AF70" s="210">
        <f t="shared" si="17"/>
        <v>1.164583333338669</v>
      </c>
      <c r="AG70" s="210">
        <f t="shared" si="18"/>
        <v>0</v>
      </c>
    </row>
    <row r="71" spans="2:33" ht="15" customHeight="1" x14ac:dyDescent="0.3">
      <c r="B71" s="196" t="s">
        <v>5</v>
      </c>
      <c r="C71" s="197" t="s">
        <v>15</v>
      </c>
      <c r="D71" s="198" t="str">
        <f t="shared" si="0"/>
        <v>C</v>
      </c>
      <c r="E71" s="199">
        <v>44536.791666666664</v>
      </c>
      <c r="F71" s="200" t="s">
        <v>94</v>
      </c>
      <c r="G71" s="201">
        <v>7221.77</v>
      </c>
      <c r="H71" s="201">
        <v>7123.92</v>
      </c>
      <c r="I71" s="202">
        <f t="shared" si="1"/>
        <v>97.850000000000364</v>
      </c>
      <c r="J71" s="201">
        <v>7711.01</v>
      </c>
      <c r="K71" s="199">
        <v>44540.321527777778</v>
      </c>
      <c r="L71" s="201">
        <v>7293.81</v>
      </c>
      <c r="M71" s="203">
        <f t="shared" si="2"/>
        <v>72.040000000000006</v>
      </c>
      <c r="N71" s="204">
        <f t="shared" si="3"/>
        <v>0.74</v>
      </c>
      <c r="O71" s="205">
        <f t="shared" si="4"/>
        <v>0</v>
      </c>
      <c r="P71" s="206">
        <f t="shared" si="5"/>
        <v>0.74</v>
      </c>
      <c r="Q71" s="206">
        <f t="shared" si="6"/>
        <v>0</v>
      </c>
      <c r="R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335590</v>
      </c>
      <c r="T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71" s="208">
        <f ca="1">IF(Tabla33610673[[#This Row],[Equity]]&lt;Tabla33610673[[#This Row],[Equity Peak]],(Tabla33610673[[#This Row],[Equity Peak]]-Tabla33610673[[#This Row],[Equity]])/Tabla33610673[[#This Row],[Equity Peak]],"")</f>
        <v>1.957404540009933E-2</v>
      </c>
      <c r="V71" s="209">
        <f t="shared" si="7"/>
        <v>0</v>
      </c>
      <c r="W71" s="209">
        <f t="shared" si="8"/>
        <v>0</v>
      </c>
      <c r="X71" s="209">
        <f t="shared" si="9"/>
        <v>0</v>
      </c>
      <c r="Y71" s="209">
        <f t="shared" si="10"/>
        <v>0</v>
      </c>
      <c r="Z71" s="209">
        <f t="shared" si="11"/>
        <v>0.74</v>
      </c>
      <c r="AA71" s="205">
        <f t="shared" si="12"/>
        <v>0</v>
      </c>
      <c r="AB71" s="209">
        <f t="shared" si="13"/>
        <v>0</v>
      </c>
      <c r="AC71" s="205">
        <f t="shared" si="14"/>
        <v>0</v>
      </c>
      <c r="AD71" s="210">
        <f t="shared" si="15"/>
        <v>3.5298611111138598</v>
      </c>
      <c r="AE71" s="210">
        <f t="shared" si="16"/>
        <v>3.5298611111138598</v>
      </c>
      <c r="AF71" s="210">
        <f t="shared" si="17"/>
        <v>0</v>
      </c>
      <c r="AG71" s="210">
        <f t="shared" si="18"/>
        <v>0</v>
      </c>
    </row>
    <row r="72" spans="2:33" ht="15" customHeight="1" x14ac:dyDescent="0.3">
      <c r="B72" s="196" t="s">
        <v>7</v>
      </c>
      <c r="C72" s="197" t="s">
        <v>15</v>
      </c>
      <c r="D72" s="198" t="str">
        <f t="shared" si="0"/>
        <v>C</v>
      </c>
      <c r="E72" s="199">
        <v>44538.833333333336</v>
      </c>
      <c r="F72" s="200" t="s">
        <v>113</v>
      </c>
      <c r="G72" s="201">
        <v>113.663</v>
      </c>
      <c r="H72" s="201">
        <v>112.81100000000001</v>
      </c>
      <c r="I72" s="202">
        <f t="shared" si="1"/>
        <v>0.85199999999998965</v>
      </c>
      <c r="J72" s="201">
        <v>117.639</v>
      </c>
      <c r="K72" s="199">
        <v>44539.640972222223</v>
      </c>
      <c r="L72" s="201">
        <v>113.297</v>
      </c>
      <c r="M72" s="203">
        <f t="shared" si="2"/>
        <v>-0.36599999999999999</v>
      </c>
      <c r="N72" s="204">
        <f t="shared" si="3"/>
        <v>-0.43</v>
      </c>
      <c r="O72" s="205">
        <f t="shared" si="4"/>
        <v>0</v>
      </c>
      <c r="P72" s="206">
        <f t="shared" si="5"/>
        <v>0</v>
      </c>
      <c r="Q72" s="206">
        <f t="shared" si="6"/>
        <v>-0.43</v>
      </c>
      <c r="R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334850</v>
      </c>
      <c r="T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72" s="208">
        <f ca="1">IF(Tabla33610673[[#This Row],[Equity]]&lt;Tabla33610673[[#This Row],[Equity Peak]],(Tabla33610673[[#This Row],[Equity Peak]]-Tabla33610673[[#This Row],[Equity]])/Tabla33610673[[#This Row],[Equity Peak]],"")</f>
        <v>2.1735954892050602E-2</v>
      </c>
      <c r="V72" s="209">
        <f t="shared" si="7"/>
        <v>-0.43</v>
      </c>
      <c r="W72" s="209">
        <f t="shared" si="8"/>
        <v>0</v>
      </c>
      <c r="X72" s="209">
        <f t="shared" si="9"/>
        <v>0</v>
      </c>
      <c r="Y72" s="209">
        <f t="shared" si="10"/>
        <v>0</v>
      </c>
      <c r="Z72" s="209">
        <f t="shared" si="11"/>
        <v>0</v>
      </c>
      <c r="AA72" s="205">
        <f t="shared" si="12"/>
        <v>0</v>
      </c>
      <c r="AB72" s="209">
        <f t="shared" si="13"/>
        <v>0</v>
      </c>
      <c r="AC72" s="205">
        <f t="shared" si="14"/>
        <v>0</v>
      </c>
      <c r="AD72" s="210">
        <f t="shared" si="15"/>
        <v>0.80763888888759539</v>
      </c>
      <c r="AE72" s="210">
        <f t="shared" si="16"/>
        <v>0</v>
      </c>
      <c r="AF72" s="210">
        <f t="shared" si="17"/>
        <v>0.80763888888759539</v>
      </c>
      <c r="AG72" s="210">
        <f t="shared" si="18"/>
        <v>0</v>
      </c>
    </row>
    <row r="73" spans="2:33" ht="15" customHeight="1" x14ac:dyDescent="0.3">
      <c r="B73" s="196" t="s">
        <v>5</v>
      </c>
      <c r="C73" s="197" t="s">
        <v>13</v>
      </c>
      <c r="D73" s="198" t="str">
        <f t="shared" si="0"/>
        <v>C</v>
      </c>
      <c r="E73" s="199">
        <v>44526.291666666664</v>
      </c>
      <c r="F73" s="200" t="s">
        <v>94</v>
      </c>
      <c r="G73" s="201">
        <v>7184.88</v>
      </c>
      <c r="H73" s="201">
        <v>7264.85</v>
      </c>
      <c r="I73" s="202">
        <f t="shared" si="1"/>
        <v>79.970000000000255</v>
      </c>
      <c r="J73" s="201">
        <v>6785.04</v>
      </c>
      <c r="K73" s="199">
        <v>44529.128472222219</v>
      </c>
      <c r="L73" s="201">
        <v>7133.82</v>
      </c>
      <c r="M73" s="203">
        <f t="shared" si="2"/>
        <v>51.06</v>
      </c>
      <c r="N73" s="204">
        <f t="shared" si="3"/>
        <v>0.64</v>
      </c>
      <c r="O73" s="205">
        <f t="shared" si="4"/>
        <v>0</v>
      </c>
      <c r="P73" s="206">
        <f t="shared" si="5"/>
        <v>0.64</v>
      </c>
      <c r="Q73" s="206">
        <f t="shared" si="6"/>
        <v>0</v>
      </c>
      <c r="R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335280</v>
      </c>
      <c r="T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73" s="208">
        <f ca="1">IF(Tabla33610673[[#This Row],[Equity]]&lt;Tabla33610673[[#This Row],[Equity Peak]],(Tabla33610673[[#This Row],[Equity Peak]]-Tabla33610673[[#This Row],[Equity]])/Tabla33610673[[#This Row],[Equity Peak]],"")</f>
        <v>2.0479710187268105E-2</v>
      </c>
      <c r="V73" s="209">
        <f t="shared" si="7"/>
        <v>0</v>
      </c>
      <c r="W73" s="209">
        <f t="shared" si="8"/>
        <v>0</v>
      </c>
      <c r="X73" s="209">
        <f t="shared" si="9"/>
        <v>0</v>
      </c>
      <c r="Y73" s="209">
        <f t="shared" si="10"/>
        <v>0</v>
      </c>
      <c r="Z73" s="209">
        <f t="shared" si="11"/>
        <v>0.64</v>
      </c>
      <c r="AA73" s="205">
        <f t="shared" si="12"/>
        <v>0</v>
      </c>
      <c r="AB73" s="209">
        <f t="shared" si="13"/>
        <v>0</v>
      </c>
      <c r="AC73" s="205">
        <f t="shared" si="14"/>
        <v>0</v>
      </c>
      <c r="AD73" s="210">
        <f t="shared" si="15"/>
        <v>2.8368055555547471</v>
      </c>
      <c r="AE73" s="210">
        <f t="shared" si="16"/>
        <v>2.8368055555547471</v>
      </c>
      <c r="AF73" s="210">
        <f t="shared" si="17"/>
        <v>0</v>
      </c>
      <c r="AG73" s="210">
        <f t="shared" si="18"/>
        <v>0</v>
      </c>
    </row>
    <row r="74" spans="2:33" ht="15" customHeight="1" x14ac:dyDescent="0.3">
      <c r="B74" s="196" t="s">
        <v>5</v>
      </c>
      <c r="C74" s="197" t="s">
        <v>15</v>
      </c>
      <c r="D74" s="198" t="str">
        <f t="shared" si="0"/>
        <v>C</v>
      </c>
      <c r="E74" s="199">
        <v>44525.125</v>
      </c>
      <c r="F74" s="200" t="s">
        <v>94</v>
      </c>
      <c r="G74" s="201">
        <v>7298.64</v>
      </c>
      <c r="H74" s="201">
        <v>7217.76</v>
      </c>
      <c r="I74" s="202">
        <f t="shared" si="1"/>
        <v>80.880000000000109</v>
      </c>
      <c r="J74" s="201">
        <v>7703.05</v>
      </c>
      <c r="K74" s="199">
        <v>44526.125</v>
      </c>
      <c r="L74" s="201">
        <v>7263.57</v>
      </c>
      <c r="M74" s="203">
        <f t="shared" si="2"/>
        <v>-35.07</v>
      </c>
      <c r="N74" s="204">
        <f t="shared" si="3"/>
        <v>-0.43</v>
      </c>
      <c r="O74" s="205">
        <f t="shared" si="4"/>
        <v>0</v>
      </c>
      <c r="P74" s="206">
        <f t="shared" si="5"/>
        <v>0</v>
      </c>
      <c r="Q74" s="206">
        <f t="shared" si="6"/>
        <v>-0.43</v>
      </c>
      <c r="R7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334640</v>
      </c>
      <c r="T7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74" s="208">
        <f ca="1">IF(Tabla33610673[[#This Row],[Equity]]&lt;Tabla33610673[[#This Row],[Equity Peak]],(Tabla33610673[[#This Row],[Equity Peak]]-Tabla33610673[[#This Row],[Equity]])/Tabla33610673[[#This Row],[Equity Peak]],"")</f>
        <v>2.234946974787461E-2</v>
      </c>
      <c r="V74" s="209">
        <f t="shared" si="7"/>
        <v>0</v>
      </c>
      <c r="W74" s="209">
        <f t="shared" si="8"/>
        <v>0</v>
      </c>
      <c r="X74" s="209">
        <f t="shared" si="9"/>
        <v>0</v>
      </c>
      <c r="Y74" s="209">
        <f t="shared" si="10"/>
        <v>0</v>
      </c>
      <c r="Z74" s="209">
        <f t="shared" si="11"/>
        <v>-0.43</v>
      </c>
      <c r="AA74" s="205">
        <f t="shared" si="12"/>
        <v>0</v>
      </c>
      <c r="AB74" s="209">
        <f t="shared" si="13"/>
        <v>0</v>
      </c>
      <c r="AC74" s="205">
        <f t="shared" si="14"/>
        <v>0</v>
      </c>
      <c r="AD74" s="210">
        <f t="shared" si="15"/>
        <v>1</v>
      </c>
      <c r="AE74" s="210">
        <f t="shared" si="16"/>
        <v>0</v>
      </c>
      <c r="AF74" s="210">
        <f t="shared" si="17"/>
        <v>1</v>
      </c>
      <c r="AG74" s="210">
        <f t="shared" si="18"/>
        <v>0</v>
      </c>
    </row>
    <row r="75" spans="2:33" ht="15" customHeight="1" x14ac:dyDescent="0.3">
      <c r="B75" s="196" t="s">
        <v>7</v>
      </c>
      <c r="C75" s="197" t="s">
        <v>15</v>
      </c>
      <c r="D75" s="198" t="str">
        <f t="shared" si="0"/>
        <v>C</v>
      </c>
      <c r="E75" s="199">
        <v>44524.833333333336</v>
      </c>
      <c r="F75" s="200" t="s">
        <v>113</v>
      </c>
      <c r="G75" s="201">
        <v>115.44799999999999</v>
      </c>
      <c r="H75" s="201">
        <v>114.49299999999999</v>
      </c>
      <c r="I75" s="202">
        <f t="shared" si="1"/>
        <v>0.95499999999999829</v>
      </c>
      <c r="J75" s="201">
        <v>119.90600000000001</v>
      </c>
      <c r="K75" s="199">
        <v>44526.081250000003</v>
      </c>
      <c r="L75" s="201">
        <v>115.06699999999999</v>
      </c>
      <c r="M75" s="203">
        <f t="shared" si="2"/>
        <v>-0.38100000000000001</v>
      </c>
      <c r="N75" s="204">
        <f t="shared" si="3"/>
        <v>-0.4</v>
      </c>
      <c r="O75" s="205">
        <f t="shared" si="4"/>
        <v>0</v>
      </c>
      <c r="P75" s="206">
        <f t="shared" si="5"/>
        <v>0</v>
      </c>
      <c r="Q75" s="206">
        <f t="shared" si="6"/>
        <v>-0.4</v>
      </c>
      <c r="R7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335070</v>
      </c>
      <c r="T7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75" s="208">
        <f ca="1">IF(Tabla33610673[[#This Row],[Equity]]&lt;Tabla33610673[[#This Row],[Equity Peak]],(Tabla33610673[[#This Row],[Equity Peak]]-Tabla33610673[[#This Row],[Equity]])/Tabla33610673[[#This Row],[Equity Peak]],"")</f>
        <v>2.1093225043092113E-2</v>
      </c>
      <c r="V75" s="209">
        <f t="shared" si="7"/>
        <v>-0.4</v>
      </c>
      <c r="W75" s="209">
        <f t="shared" si="8"/>
        <v>0</v>
      </c>
      <c r="X75" s="209">
        <f t="shared" si="9"/>
        <v>0</v>
      </c>
      <c r="Y75" s="209">
        <f t="shared" si="10"/>
        <v>0</v>
      </c>
      <c r="Z75" s="209">
        <f t="shared" si="11"/>
        <v>0</v>
      </c>
      <c r="AA75" s="205">
        <f t="shared" si="12"/>
        <v>0</v>
      </c>
      <c r="AB75" s="209">
        <f t="shared" si="13"/>
        <v>0</v>
      </c>
      <c r="AC75" s="205">
        <f t="shared" si="14"/>
        <v>0</v>
      </c>
      <c r="AD75" s="210">
        <f t="shared" si="15"/>
        <v>1.2479166666671517</v>
      </c>
      <c r="AE75" s="210">
        <f t="shared" si="16"/>
        <v>0</v>
      </c>
      <c r="AF75" s="210">
        <f t="shared" si="17"/>
        <v>1.2479166666671517</v>
      </c>
      <c r="AG75" s="210">
        <f t="shared" si="18"/>
        <v>0</v>
      </c>
    </row>
    <row r="76" spans="2:33" ht="15" customHeight="1" x14ac:dyDescent="0.3">
      <c r="B76" s="196" t="s">
        <v>7</v>
      </c>
      <c r="C76" s="197" t="s">
        <v>15</v>
      </c>
      <c r="D76" s="198" t="str">
        <f t="shared" si="0"/>
        <v>C</v>
      </c>
      <c r="E76" s="199">
        <v>44523.333333333336</v>
      </c>
      <c r="F76" s="200" t="s">
        <v>113</v>
      </c>
      <c r="G76" s="201">
        <v>115.113</v>
      </c>
      <c r="H76" s="201">
        <v>114.306</v>
      </c>
      <c r="I76" s="202">
        <f t="shared" si="1"/>
        <v>0.80700000000000216</v>
      </c>
      <c r="J76" s="201">
        <v>118.878</v>
      </c>
      <c r="K76" s="199">
        <v>44523.393055555556</v>
      </c>
      <c r="L76" s="201">
        <v>114.712</v>
      </c>
      <c r="M76" s="203">
        <f t="shared" si="2"/>
        <v>-0.40100000000000002</v>
      </c>
      <c r="N76" s="204">
        <f t="shared" si="3"/>
        <v>-0.5</v>
      </c>
      <c r="O76" s="205">
        <f t="shared" si="4"/>
        <v>0</v>
      </c>
      <c r="P76" s="206">
        <f t="shared" si="5"/>
        <v>0</v>
      </c>
      <c r="Q76" s="206">
        <f t="shared" si="6"/>
        <v>-0.5</v>
      </c>
      <c r="R7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335470</v>
      </c>
      <c r="T7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76" s="208">
        <f ca="1">IF(Tabla33610673[[#This Row],[Equity]]&lt;Tabla33610673[[#This Row],[Equity Peak]],(Tabla33610673[[#This Row],[Equity Peak]]-Tabla33610673[[#This Row],[Equity]])/Tabla33610673[[#This Row],[Equity Peak]],"")</f>
        <v>1.9924625317713052E-2</v>
      </c>
      <c r="V76" s="209">
        <f t="shared" si="7"/>
        <v>-0.5</v>
      </c>
      <c r="W76" s="209">
        <f t="shared" si="8"/>
        <v>0</v>
      </c>
      <c r="X76" s="209">
        <f t="shared" si="9"/>
        <v>0</v>
      </c>
      <c r="Y76" s="209">
        <f t="shared" si="10"/>
        <v>0</v>
      </c>
      <c r="Z76" s="209">
        <f t="shared" si="11"/>
        <v>0</v>
      </c>
      <c r="AA76" s="205">
        <f t="shared" si="12"/>
        <v>0</v>
      </c>
      <c r="AB76" s="209">
        <f t="shared" si="13"/>
        <v>0</v>
      </c>
      <c r="AC76" s="205">
        <f t="shared" si="14"/>
        <v>0</v>
      </c>
      <c r="AD76" s="210">
        <f t="shared" si="15"/>
        <v>5.9722222220443655E-2</v>
      </c>
      <c r="AE76" s="210">
        <f t="shared" si="16"/>
        <v>0</v>
      </c>
      <c r="AF76" s="210">
        <f t="shared" si="17"/>
        <v>5.9722222220443655E-2</v>
      </c>
      <c r="AG76" s="210">
        <f t="shared" si="18"/>
        <v>0</v>
      </c>
    </row>
    <row r="77" spans="2:33" ht="15" customHeight="1" x14ac:dyDescent="0.3">
      <c r="B77" s="196" t="s">
        <v>5</v>
      </c>
      <c r="C77" s="197" t="s">
        <v>13</v>
      </c>
      <c r="D77" s="198" t="str">
        <f t="shared" si="0"/>
        <v>C</v>
      </c>
      <c r="E77" s="199">
        <v>44517.791666666664</v>
      </c>
      <c r="F77" s="200" t="s">
        <v>94</v>
      </c>
      <c r="G77" s="201">
        <v>7290.63</v>
      </c>
      <c r="H77" s="201">
        <v>7338.76</v>
      </c>
      <c r="I77" s="202">
        <f t="shared" si="1"/>
        <v>48.130000000000109</v>
      </c>
      <c r="J77" s="201">
        <v>7049.97</v>
      </c>
      <c r="K77" s="199">
        <v>44519.350694444445</v>
      </c>
      <c r="L77" s="201">
        <v>7293.65</v>
      </c>
      <c r="M77" s="203">
        <f t="shared" si="2"/>
        <v>-3.02</v>
      </c>
      <c r="N77" s="204">
        <f t="shared" si="3"/>
        <v>-0.06</v>
      </c>
      <c r="O77" s="205">
        <f t="shared" si="4"/>
        <v>0</v>
      </c>
      <c r="P77" s="206">
        <f t="shared" si="5"/>
        <v>0</v>
      </c>
      <c r="Q77" s="206">
        <f t="shared" si="6"/>
        <v>-0.06</v>
      </c>
      <c r="R7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335970</v>
      </c>
      <c r="T7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77" s="208">
        <f ca="1">IF(Tabla33610673[[#This Row],[Equity]]&lt;Tabla33610673[[#This Row],[Equity Peak]],(Tabla33610673[[#This Row],[Equity Peak]]-Tabla33610673[[#This Row],[Equity]])/Tabla33610673[[#This Row],[Equity Peak]],"")</f>
        <v>1.8463875660989219E-2</v>
      </c>
      <c r="V77" s="209">
        <f t="shared" si="7"/>
        <v>0</v>
      </c>
      <c r="W77" s="209">
        <f t="shared" si="8"/>
        <v>0</v>
      </c>
      <c r="X77" s="209">
        <f t="shared" si="9"/>
        <v>0</v>
      </c>
      <c r="Y77" s="209">
        <f t="shared" si="10"/>
        <v>0</v>
      </c>
      <c r="Z77" s="209">
        <f t="shared" si="11"/>
        <v>-0.06</v>
      </c>
      <c r="AA77" s="205">
        <f t="shared" si="12"/>
        <v>0</v>
      </c>
      <c r="AB77" s="209">
        <f t="shared" si="13"/>
        <v>0</v>
      </c>
      <c r="AC77" s="205">
        <f t="shared" si="14"/>
        <v>0</v>
      </c>
      <c r="AD77" s="210">
        <f t="shared" si="15"/>
        <v>1.5590277777810115</v>
      </c>
      <c r="AE77" s="210">
        <f t="shared" si="16"/>
        <v>0</v>
      </c>
      <c r="AF77" s="210">
        <f t="shared" si="17"/>
        <v>1.5590277777810115</v>
      </c>
      <c r="AG77" s="210">
        <f t="shared" si="18"/>
        <v>0</v>
      </c>
    </row>
    <row r="78" spans="2:33" ht="15" customHeight="1" x14ac:dyDescent="0.3">
      <c r="B78" s="196" t="s">
        <v>7</v>
      </c>
      <c r="C78" s="197" t="s">
        <v>15</v>
      </c>
      <c r="D78" s="198" t="str">
        <f t="shared" si="0"/>
        <v>C</v>
      </c>
      <c r="E78" s="199">
        <v>44517.017361111109</v>
      </c>
      <c r="F78" s="200" t="s">
        <v>113</v>
      </c>
      <c r="G78" s="201">
        <v>114.79300000000001</v>
      </c>
      <c r="H78" s="201">
        <v>114.169</v>
      </c>
      <c r="I78" s="202">
        <f t="shared" si="1"/>
        <v>0.62400000000000944</v>
      </c>
      <c r="J78" s="201">
        <v>117.706</v>
      </c>
      <c r="K78" s="199">
        <v>44517.647916666669</v>
      </c>
      <c r="L78" s="201">
        <v>114.58</v>
      </c>
      <c r="M78" s="203">
        <f t="shared" si="2"/>
        <v>-0.21299999999999999</v>
      </c>
      <c r="N78" s="204">
        <f t="shared" si="3"/>
        <v>-0.34</v>
      </c>
      <c r="O78" s="205">
        <f t="shared" si="4"/>
        <v>0</v>
      </c>
      <c r="P78" s="206">
        <f t="shared" si="5"/>
        <v>0</v>
      </c>
      <c r="Q78" s="206">
        <f t="shared" si="6"/>
        <v>-0.34</v>
      </c>
      <c r="R7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336030</v>
      </c>
      <c r="T7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78" s="208">
        <f ca="1">IF(Tabla33610673[[#This Row],[Equity]]&lt;Tabla33610673[[#This Row],[Equity Peak]],(Tabla33610673[[#This Row],[Equity Peak]]-Tabla33610673[[#This Row],[Equity]])/Tabla33610673[[#This Row],[Equity Peak]],"")</f>
        <v>1.828858570218236E-2</v>
      </c>
      <c r="V78" s="209">
        <f t="shared" si="7"/>
        <v>-0.34</v>
      </c>
      <c r="W78" s="209">
        <f t="shared" si="8"/>
        <v>0</v>
      </c>
      <c r="X78" s="209">
        <f t="shared" si="9"/>
        <v>0</v>
      </c>
      <c r="Y78" s="209">
        <f t="shared" si="10"/>
        <v>0</v>
      </c>
      <c r="Z78" s="209">
        <f t="shared" si="11"/>
        <v>0</v>
      </c>
      <c r="AA78" s="205">
        <f t="shared" si="12"/>
        <v>0</v>
      </c>
      <c r="AB78" s="209">
        <f t="shared" si="13"/>
        <v>0</v>
      </c>
      <c r="AC78" s="205">
        <f t="shared" si="14"/>
        <v>0</v>
      </c>
      <c r="AD78" s="210">
        <f t="shared" si="15"/>
        <v>0.63055555555911269</v>
      </c>
      <c r="AE78" s="210">
        <f t="shared" si="16"/>
        <v>0</v>
      </c>
      <c r="AF78" s="210">
        <f t="shared" si="17"/>
        <v>0.63055555555911269</v>
      </c>
      <c r="AG78" s="210">
        <f t="shared" si="18"/>
        <v>0</v>
      </c>
    </row>
    <row r="79" spans="2:33" ht="15" customHeight="1" x14ac:dyDescent="0.3">
      <c r="B79" s="196" t="s">
        <v>7</v>
      </c>
      <c r="C79" s="197" t="s">
        <v>15</v>
      </c>
      <c r="D79" s="198" t="str">
        <f t="shared" si="0"/>
        <v>C</v>
      </c>
      <c r="E79" s="199">
        <v>44511.333333333336</v>
      </c>
      <c r="F79" s="200" t="s">
        <v>113</v>
      </c>
      <c r="G79" s="201">
        <v>113.946</v>
      </c>
      <c r="H79" s="201">
        <v>113.104</v>
      </c>
      <c r="I79" s="202">
        <f t="shared" si="1"/>
        <v>0.84199999999999875</v>
      </c>
      <c r="J79" s="201">
        <v>117.877</v>
      </c>
      <c r="K79" s="199">
        <v>44512.710416666669</v>
      </c>
      <c r="L79" s="201">
        <v>113.84699999999999</v>
      </c>
      <c r="M79" s="203">
        <f t="shared" si="2"/>
        <v>-9.9000000000000005E-2</v>
      </c>
      <c r="N79" s="204">
        <f t="shared" si="3"/>
        <v>-0.12</v>
      </c>
      <c r="O79" s="205">
        <f t="shared" si="4"/>
        <v>0</v>
      </c>
      <c r="P79" s="206">
        <f t="shared" si="5"/>
        <v>0</v>
      </c>
      <c r="Q79" s="206">
        <f t="shared" si="6"/>
        <v>-0.12</v>
      </c>
      <c r="R7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336370</v>
      </c>
      <c r="T7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79" s="208">
        <f ca="1">IF(Tabla33610673[[#This Row],[Equity]]&lt;Tabla33610673[[#This Row],[Equity Peak]],(Tabla33610673[[#This Row],[Equity Peak]]-Tabla33610673[[#This Row],[Equity]])/Tabla33610673[[#This Row],[Equity Peak]],"")</f>
        <v>1.7295275935610154E-2</v>
      </c>
      <c r="V79" s="209">
        <f t="shared" si="7"/>
        <v>-0.12</v>
      </c>
      <c r="W79" s="209">
        <f t="shared" si="8"/>
        <v>0</v>
      </c>
      <c r="X79" s="209">
        <f t="shared" si="9"/>
        <v>0</v>
      </c>
      <c r="Y79" s="209">
        <f t="shared" si="10"/>
        <v>0</v>
      </c>
      <c r="Z79" s="209">
        <f t="shared" si="11"/>
        <v>0</v>
      </c>
      <c r="AA79" s="205">
        <f t="shared" si="12"/>
        <v>0</v>
      </c>
      <c r="AB79" s="209">
        <f t="shared" si="13"/>
        <v>0</v>
      </c>
      <c r="AC79" s="205">
        <f t="shared" si="14"/>
        <v>0</v>
      </c>
      <c r="AD79" s="210">
        <f t="shared" si="15"/>
        <v>1.3770833333328483</v>
      </c>
      <c r="AE79" s="210">
        <f t="shared" si="16"/>
        <v>0</v>
      </c>
      <c r="AF79" s="210">
        <f t="shared" si="17"/>
        <v>1.3770833333328483</v>
      </c>
      <c r="AG79" s="210">
        <f t="shared" si="18"/>
        <v>0</v>
      </c>
    </row>
    <row r="80" spans="2:33" ht="15" customHeight="1" x14ac:dyDescent="0.3">
      <c r="B80" s="196" t="s">
        <v>5</v>
      </c>
      <c r="C80" s="197" t="s">
        <v>15</v>
      </c>
      <c r="D80" s="198" t="str">
        <f t="shared" si="0"/>
        <v>C</v>
      </c>
      <c r="E80" s="199">
        <v>44476.625</v>
      </c>
      <c r="F80" s="200" t="s">
        <v>94</v>
      </c>
      <c r="G80" s="201">
        <v>7065.07</v>
      </c>
      <c r="H80" s="201">
        <v>6981.66</v>
      </c>
      <c r="I80" s="202">
        <f t="shared" si="1"/>
        <v>83.409999999999854</v>
      </c>
      <c r="J80" s="201">
        <v>7482.11</v>
      </c>
      <c r="K80" s="199">
        <v>44481.37777777778</v>
      </c>
      <c r="L80" s="201">
        <v>7075.74</v>
      </c>
      <c r="M80" s="203">
        <f t="shared" si="2"/>
        <v>10.67</v>
      </c>
      <c r="N80" s="204">
        <f t="shared" si="3"/>
        <v>0.13</v>
      </c>
      <c r="O80" s="205">
        <f t="shared" si="4"/>
        <v>0</v>
      </c>
      <c r="P80" s="206">
        <f t="shared" si="5"/>
        <v>0.13</v>
      </c>
      <c r="Q80" s="206">
        <f t="shared" si="6"/>
        <v>0</v>
      </c>
      <c r="R8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336490</v>
      </c>
      <c r="T8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80" s="208">
        <f ca="1">IF(Tabla33610673[[#This Row],[Equity]]&lt;Tabla33610673[[#This Row],[Equity Peak]],(Tabla33610673[[#This Row],[Equity Peak]]-Tabla33610673[[#This Row],[Equity]])/Tabla33610673[[#This Row],[Equity Peak]],"")</f>
        <v>1.6944696017996436E-2</v>
      </c>
      <c r="V80" s="209">
        <f t="shared" si="7"/>
        <v>0</v>
      </c>
      <c r="W80" s="209">
        <f t="shared" si="8"/>
        <v>0</v>
      </c>
      <c r="X80" s="209">
        <f t="shared" si="9"/>
        <v>0</v>
      </c>
      <c r="Y80" s="209">
        <f t="shared" si="10"/>
        <v>0</v>
      </c>
      <c r="Z80" s="209">
        <f t="shared" si="11"/>
        <v>0.13</v>
      </c>
      <c r="AA80" s="205">
        <f t="shared" si="12"/>
        <v>0</v>
      </c>
      <c r="AB80" s="209">
        <f t="shared" si="13"/>
        <v>0</v>
      </c>
      <c r="AC80" s="205">
        <f t="shared" si="14"/>
        <v>0</v>
      </c>
      <c r="AD80" s="210">
        <f t="shared" si="15"/>
        <v>4.7527777777795563</v>
      </c>
      <c r="AE80" s="210">
        <f t="shared" si="16"/>
        <v>4.7527777777795563</v>
      </c>
      <c r="AF80" s="210">
        <f t="shared" si="17"/>
        <v>0</v>
      </c>
      <c r="AG80" s="210">
        <f t="shared" si="18"/>
        <v>0</v>
      </c>
    </row>
    <row r="81" spans="2:33" ht="15" customHeight="1" x14ac:dyDescent="0.3">
      <c r="B81" s="196" t="s">
        <v>5</v>
      </c>
      <c r="C81" s="197" t="s">
        <v>13</v>
      </c>
      <c r="D81" s="198" t="str">
        <f t="shared" ref="D81:D144" si="19">IF(E81&lt;&gt;"",IF(K81&lt;&gt;"","C","O"),"")</f>
        <v>C</v>
      </c>
      <c r="E81" s="199">
        <v>44475.458333333336</v>
      </c>
      <c r="F81" s="200" t="s">
        <v>94</v>
      </c>
      <c r="G81" s="201">
        <v>6983.09</v>
      </c>
      <c r="H81" s="201">
        <v>7071.2</v>
      </c>
      <c r="I81" s="202">
        <f t="shared" ref="I81:I144" si="20">ABS(G81-H81)</f>
        <v>88.109999999999673</v>
      </c>
      <c r="J81" s="201">
        <v>6542.56</v>
      </c>
      <c r="K81" s="199">
        <v>44475.90347222222</v>
      </c>
      <c r="L81" s="201">
        <v>7033.19</v>
      </c>
      <c r="M81" s="203">
        <f t="shared" ref="M81:M144" si="21">ROUND(IF(C81="L",(L81-G81),(G81-L81)),4)</f>
        <v>-50.1</v>
      </c>
      <c r="N81" s="204">
        <f t="shared" ref="N81:N144" si="22">IFERROR(ROUND((M81/I81),2),"")</f>
        <v>-0.56999999999999995</v>
      </c>
      <c r="O81" s="205">
        <f t="shared" ref="O81:O144" si="23">IF(D81="O",IF(N81&lt;0,N81,0),0)</f>
        <v>0</v>
      </c>
      <c r="P81" s="206">
        <f t="shared" ref="P81:P144" si="24">IF(N81&gt;= 0,N81,0)</f>
        <v>0</v>
      </c>
      <c r="Q81" s="206">
        <f t="shared" ref="Q81:Q144" si="25">IF(N81&lt;0,N81,0)</f>
        <v>-0.56999999999999995</v>
      </c>
      <c r="R8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336360</v>
      </c>
      <c r="T8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81" s="208">
        <f ca="1">IF(Tabla33610673[[#This Row],[Equity]]&lt;Tabla33610673[[#This Row],[Equity Peak]],(Tabla33610673[[#This Row],[Equity Peak]]-Tabla33610673[[#This Row],[Equity]])/Tabla33610673[[#This Row],[Equity Peak]],"")</f>
        <v>1.7324490928744631E-2</v>
      </c>
      <c r="V81" s="209">
        <f t="shared" ref="V81:V144" si="26">IF(B81="FX",N81,0)</f>
        <v>0</v>
      </c>
      <c r="W81" s="209">
        <f t="shared" ref="W81:W144" si="27">IF(D81="O",IF(V81&lt;0,V81,0),0)</f>
        <v>0</v>
      </c>
      <c r="X81" s="209">
        <f t="shared" ref="X81:X144" si="28">IF(B81="COM",N81,0)</f>
        <v>0</v>
      </c>
      <c r="Y81" s="209">
        <f t="shared" ref="Y81:Y144" si="29">IF(D81="O",IF(X81&lt;0,X81,0),0)</f>
        <v>0</v>
      </c>
      <c r="Z81" s="209">
        <f t="shared" ref="Z81:Z144" si="30">IF(B81="IND",N81,0)</f>
        <v>-0.56999999999999995</v>
      </c>
      <c r="AA81" s="205">
        <f t="shared" ref="AA81:AA144" si="31">IF(D81="O",IF(Z81&lt;0,Z81,0),0)</f>
        <v>0</v>
      </c>
      <c r="AB81" s="209">
        <f t="shared" ref="AB81:AB144" si="32">IF(B81="CRYPTO",N81,0)</f>
        <v>0</v>
      </c>
      <c r="AC81" s="205">
        <f t="shared" ref="AC81:AC144" si="33">IF(D81="O",IF(AB81&lt;0,AB81,0),0)</f>
        <v>0</v>
      </c>
      <c r="AD81" s="210">
        <f t="shared" ref="AD81:AD144" si="34">IF(K81&lt;&gt;"",K81-E81,0)</f>
        <v>0.445138888884685</v>
      </c>
      <c r="AE81" s="210">
        <f t="shared" ref="AE81:AE144" si="35">IF(N81&gt;0,AD81,0)</f>
        <v>0</v>
      </c>
      <c r="AF81" s="210">
        <f t="shared" ref="AF81:AF144" si="36">IF(N81&lt;0,AD81,0)</f>
        <v>0.445138888884685</v>
      </c>
      <c r="AG81" s="210">
        <f t="shared" ref="AG81:AG144" si="37">IF(N81=0,AD81,0)</f>
        <v>0</v>
      </c>
    </row>
    <row r="82" spans="2:33" ht="15" customHeight="1" x14ac:dyDescent="0.3">
      <c r="B82" s="196" t="s">
        <v>5</v>
      </c>
      <c r="C82" s="197" t="s">
        <v>15</v>
      </c>
      <c r="D82" s="198" t="str">
        <f t="shared" si="19"/>
        <v>C</v>
      </c>
      <c r="E82" s="199">
        <v>44474.791666666664</v>
      </c>
      <c r="F82" s="200" t="s">
        <v>94</v>
      </c>
      <c r="G82" s="201">
        <v>7079.24</v>
      </c>
      <c r="H82" s="201">
        <v>6985.57</v>
      </c>
      <c r="I82" s="202">
        <f t="shared" si="20"/>
        <v>93.670000000000073</v>
      </c>
      <c r="J82" s="201">
        <v>7547.61</v>
      </c>
      <c r="K82" s="199">
        <v>44475.421527777777</v>
      </c>
      <c r="L82" s="201">
        <v>7008.16</v>
      </c>
      <c r="M82" s="203">
        <f t="shared" si="21"/>
        <v>-71.08</v>
      </c>
      <c r="N82" s="204">
        <f t="shared" si="22"/>
        <v>-0.76</v>
      </c>
      <c r="O82" s="205">
        <f t="shared" si="23"/>
        <v>0</v>
      </c>
      <c r="P82" s="206">
        <f t="shared" si="24"/>
        <v>0</v>
      </c>
      <c r="Q82" s="206">
        <f t="shared" si="25"/>
        <v>-0.76</v>
      </c>
      <c r="R8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336930</v>
      </c>
      <c r="T8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82" s="208">
        <f ca="1">IF(Tabla33610673[[#This Row],[Equity]]&lt;Tabla33610673[[#This Row],[Equity Peak]],(Tabla33610673[[#This Row],[Equity Peak]]-Tabla33610673[[#This Row],[Equity]])/Tabla33610673[[#This Row],[Equity Peak]],"")</f>
        <v>1.5659236320079466E-2</v>
      </c>
      <c r="V82" s="209">
        <f t="shared" si="26"/>
        <v>0</v>
      </c>
      <c r="W82" s="209">
        <f t="shared" si="27"/>
        <v>0</v>
      </c>
      <c r="X82" s="209">
        <f t="shared" si="28"/>
        <v>0</v>
      </c>
      <c r="Y82" s="209">
        <f t="shared" si="29"/>
        <v>0</v>
      </c>
      <c r="Z82" s="209">
        <f t="shared" si="30"/>
        <v>-0.76</v>
      </c>
      <c r="AA82" s="205">
        <f t="shared" si="31"/>
        <v>0</v>
      </c>
      <c r="AB82" s="209">
        <f t="shared" si="32"/>
        <v>0</v>
      </c>
      <c r="AC82" s="205">
        <f t="shared" si="33"/>
        <v>0</v>
      </c>
      <c r="AD82" s="210">
        <f t="shared" si="34"/>
        <v>0.62986111111240461</v>
      </c>
      <c r="AE82" s="210">
        <f t="shared" si="35"/>
        <v>0</v>
      </c>
      <c r="AF82" s="210">
        <f t="shared" si="36"/>
        <v>0.62986111111240461</v>
      </c>
      <c r="AG82" s="210">
        <f t="shared" si="37"/>
        <v>0</v>
      </c>
    </row>
    <row r="83" spans="2:33" ht="15" customHeight="1" x14ac:dyDescent="0.3">
      <c r="B83" s="196" t="s">
        <v>5</v>
      </c>
      <c r="C83" s="197" t="s">
        <v>13</v>
      </c>
      <c r="D83" s="198" t="str">
        <f t="shared" si="19"/>
        <v>C</v>
      </c>
      <c r="E83" s="199">
        <v>44470.625</v>
      </c>
      <c r="F83" s="200" t="s">
        <v>94</v>
      </c>
      <c r="G83" s="201">
        <v>7035.06</v>
      </c>
      <c r="H83" s="201">
        <v>7126.01</v>
      </c>
      <c r="I83" s="202">
        <f t="shared" si="20"/>
        <v>90.949999999999818</v>
      </c>
      <c r="J83" s="201">
        <v>6580.3</v>
      </c>
      <c r="K83" s="199">
        <v>44474.791666666664</v>
      </c>
      <c r="L83" s="201">
        <v>7079.24</v>
      </c>
      <c r="M83" s="203">
        <f t="shared" si="21"/>
        <v>-44.18</v>
      </c>
      <c r="N83" s="204">
        <f t="shared" si="22"/>
        <v>-0.49</v>
      </c>
      <c r="O83" s="205">
        <f t="shared" si="23"/>
        <v>0</v>
      </c>
      <c r="P83" s="206">
        <f t="shared" si="24"/>
        <v>0</v>
      </c>
      <c r="Q83" s="206">
        <f t="shared" si="25"/>
        <v>-0.49</v>
      </c>
      <c r="R8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337690</v>
      </c>
      <c r="T8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83" s="208">
        <f ca="1">IF(Tabla33610673[[#This Row],[Equity]]&lt;Tabla33610673[[#This Row],[Equity Peak]],(Tabla33610673[[#This Row],[Equity Peak]]-Tabla33610673[[#This Row],[Equity]])/Tabla33610673[[#This Row],[Equity Peak]],"")</f>
        <v>1.3438896841859243E-2</v>
      </c>
      <c r="V83" s="209">
        <f t="shared" si="26"/>
        <v>0</v>
      </c>
      <c r="W83" s="209">
        <f t="shared" si="27"/>
        <v>0</v>
      </c>
      <c r="X83" s="209">
        <f t="shared" si="28"/>
        <v>0</v>
      </c>
      <c r="Y83" s="209">
        <f t="shared" si="29"/>
        <v>0</v>
      </c>
      <c r="Z83" s="209">
        <f t="shared" si="30"/>
        <v>-0.49</v>
      </c>
      <c r="AA83" s="205">
        <f t="shared" si="31"/>
        <v>0</v>
      </c>
      <c r="AB83" s="209">
        <f t="shared" si="32"/>
        <v>0</v>
      </c>
      <c r="AC83" s="205">
        <f t="shared" si="33"/>
        <v>0</v>
      </c>
      <c r="AD83" s="210">
        <f t="shared" si="34"/>
        <v>4.1666666666642413</v>
      </c>
      <c r="AE83" s="210">
        <f t="shared" si="35"/>
        <v>0</v>
      </c>
      <c r="AF83" s="210">
        <f t="shared" si="36"/>
        <v>4.1666666666642413</v>
      </c>
      <c r="AG83" s="210">
        <f t="shared" si="37"/>
        <v>0</v>
      </c>
    </row>
    <row r="84" spans="2:33" ht="15" customHeight="1" x14ac:dyDescent="0.3">
      <c r="B84" s="196" t="s">
        <v>5</v>
      </c>
      <c r="C84" s="197" t="s">
        <v>15</v>
      </c>
      <c r="D84" s="198" t="str">
        <f t="shared" si="19"/>
        <v>C</v>
      </c>
      <c r="E84" s="199">
        <v>44468.458333333336</v>
      </c>
      <c r="F84" s="200" t="s">
        <v>94</v>
      </c>
      <c r="G84" s="201">
        <v>7089.21</v>
      </c>
      <c r="H84" s="201">
        <v>7003.78</v>
      </c>
      <c r="I84" s="202">
        <f t="shared" si="20"/>
        <v>85.430000000000291</v>
      </c>
      <c r="J84" s="201">
        <v>7516.34</v>
      </c>
      <c r="K84" s="199">
        <v>44469.693055555559</v>
      </c>
      <c r="L84" s="201">
        <v>7086.94</v>
      </c>
      <c r="M84" s="203">
        <f t="shared" si="21"/>
        <v>-2.27</v>
      </c>
      <c r="N84" s="204">
        <f t="shared" si="22"/>
        <v>-0.03</v>
      </c>
      <c r="O84" s="205">
        <f t="shared" si="23"/>
        <v>0</v>
      </c>
      <c r="P84" s="206">
        <f t="shared" si="24"/>
        <v>0</v>
      </c>
      <c r="Q84" s="206">
        <f t="shared" si="25"/>
        <v>-0.03</v>
      </c>
      <c r="R8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338180</v>
      </c>
      <c r="T8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84" s="208">
        <f ca="1">IF(Tabla33610673[[#This Row],[Equity]]&lt;Tabla33610673[[#This Row],[Equity Peak]],(Tabla33610673[[#This Row],[Equity Peak]]-Tabla33610673[[#This Row],[Equity]])/Tabla33610673[[#This Row],[Equity Peak]],"")</f>
        <v>1.2007362178269887E-2</v>
      </c>
      <c r="V84" s="209">
        <f t="shared" si="26"/>
        <v>0</v>
      </c>
      <c r="W84" s="209">
        <f t="shared" si="27"/>
        <v>0</v>
      </c>
      <c r="X84" s="209">
        <f t="shared" si="28"/>
        <v>0</v>
      </c>
      <c r="Y84" s="209">
        <f t="shared" si="29"/>
        <v>0</v>
      </c>
      <c r="Z84" s="209">
        <f t="shared" si="30"/>
        <v>-0.03</v>
      </c>
      <c r="AA84" s="205">
        <f t="shared" si="31"/>
        <v>0</v>
      </c>
      <c r="AB84" s="209">
        <f t="shared" si="32"/>
        <v>0</v>
      </c>
      <c r="AC84" s="205">
        <f t="shared" si="33"/>
        <v>0</v>
      </c>
      <c r="AD84" s="210">
        <f t="shared" si="34"/>
        <v>1.234722222223354</v>
      </c>
      <c r="AE84" s="210">
        <f t="shared" si="35"/>
        <v>0</v>
      </c>
      <c r="AF84" s="210">
        <f t="shared" si="36"/>
        <v>1.234722222223354</v>
      </c>
      <c r="AG84" s="210">
        <f t="shared" si="37"/>
        <v>0</v>
      </c>
    </row>
    <row r="85" spans="2:33" ht="15" customHeight="1" x14ac:dyDescent="0.3">
      <c r="B85" s="196" t="s">
        <v>5</v>
      </c>
      <c r="C85" s="197" t="s">
        <v>13</v>
      </c>
      <c r="D85" s="198" t="str">
        <f t="shared" si="19"/>
        <v>C</v>
      </c>
      <c r="E85" s="199">
        <v>44467.791666666664</v>
      </c>
      <c r="F85" s="200" t="s">
        <v>94</v>
      </c>
      <c r="G85" s="201">
        <v>7025.15</v>
      </c>
      <c r="H85" s="201">
        <v>7102.93</v>
      </c>
      <c r="I85" s="202">
        <f t="shared" si="20"/>
        <v>77.780000000000655</v>
      </c>
      <c r="J85" s="201">
        <v>6636.24</v>
      </c>
      <c r="K85" s="199">
        <v>44468.432638888888</v>
      </c>
      <c r="L85" s="201">
        <v>7081.07</v>
      </c>
      <c r="M85" s="203">
        <f t="shared" si="21"/>
        <v>-55.92</v>
      </c>
      <c r="N85" s="204">
        <f t="shared" si="22"/>
        <v>-0.72</v>
      </c>
      <c r="O85" s="205">
        <f t="shared" si="23"/>
        <v>0</v>
      </c>
      <c r="P85" s="206">
        <f t="shared" si="24"/>
        <v>0</v>
      </c>
      <c r="Q85" s="206">
        <f t="shared" si="25"/>
        <v>-0.72</v>
      </c>
      <c r="R8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338210</v>
      </c>
      <c r="T8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85" s="208">
        <f ca="1">IF(Tabla33610673[[#This Row],[Equity]]&lt;Tabla33610673[[#This Row],[Equity Peak]],(Tabla33610673[[#This Row],[Equity Peak]]-Tabla33610673[[#This Row],[Equity]])/Tabla33610673[[#This Row],[Equity Peak]],"")</f>
        <v>1.1919717198866458E-2</v>
      </c>
      <c r="V85" s="209">
        <f t="shared" si="26"/>
        <v>0</v>
      </c>
      <c r="W85" s="209">
        <f t="shared" si="27"/>
        <v>0</v>
      </c>
      <c r="X85" s="209">
        <f t="shared" si="28"/>
        <v>0</v>
      </c>
      <c r="Y85" s="209">
        <f t="shared" si="29"/>
        <v>0</v>
      </c>
      <c r="Z85" s="209">
        <f t="shared" si="30"/>
        <v>-0.72</v>
      </c>
      <c r="AA85" s="205">
        <f t="shared" si="31"/>
        <v>0</v>
      </c>
      <c r="AB85" s="209">
        <f t="shared" si="32"/>
        <v>0</v>
      </c>
      <c r="AC85" s="205">
        <f t="shared" si="33"/>
        <v>0</v>
      </c>
      <c r="AD85" s="210">
        <f t="shared" si="34"/>
        <v>0.64097222222335404</v>
      </c>
      <c r="AE85" s="210">
        <f t="shared" si="35"/>
        <v>0</v>
      </c>
      <c r="AF85" s="210">
        <f t="shared" si="36"/>
        <v>0.64097222222335404</v>
      </c>
      <c r="AG85" s="210">
        <f t="shared" si="37"/>
        <v>0</v>
      </c>
    </row>
    <row r="86" spans="2:33" ht="15" customHeight="1" x14ac:dyDescent="0.3">
      <c r="B86" s="196" t="s">
        <v>7</v>
      </c>
      <c r="C86" s="197" t="s">
        <v>13</v>
      </c>
      <c r="D86" s="198" t="str">
        <f t="shared" si="19"/>
        <v>C</v>
      </c>
      <c r="E86" s="199">
        <v>44194.5</v>
      </c>
      <c r="F86" s="200" t="s">
        <v>116</v>
      </c>
      <c r="G86" s="201">
        <v>1.7728900000000001</v>
      </c>
      <c r="H86" s="201">
        <v>1.7941</v>
      </c>
      <c r="I86" s="202">
        <f t="shared" si="20"/>
        <v>2.1209999999999951E-2</v>
      </c>
      <c r="J86" s="201">
        <v>1.7021900000000001</v>
      </c>
      <c r="K86" s="199">
        <v>44196.995833333334</v>
      </c>
      <c r="L86" s="201">
        <v>1.77597</v>
      </c>
      <c r="M86" s="203">
        <f t="shared" si="21"/>
        <v>-3.0999999999999999E-3</v>
      </c>
      <c r="N86" s="204">
        <f t="shared" si="22"/>
        <v>-0.15</v>
      </c>
      <c r="O86" s="205">
        <f t="shared" si="23"/>
        <v>0</v>
      </c>
      <c r="P86" s="206">
        <f t="shared" si="24"/>
        <v>0</v>
      </c>
      <c r="Q86" s="206">
        <f t="shared" si="25"/>
        <v>-0.15</v>
      </c>
      <c r="R8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338930</v>
      </c>
      <c r="T8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86" s="208">
        <f ca="1">IF(Tabla33610673[[#This Row],[Equity]]&lt;Tabla33610673[[#This Row],[Equity Peak]],(Tabla33610673[[#This Row],[Equity Peak]]-Tabla33610673[[#This Row],[Equity]])/Tabla33610673[[#This Row],[Equity Peak]],"")</f>
        <v>9.8162376931841423E-3</v>
      </c>
      <c r="V86" s="209">
        <f t="shared" si="26"/>
        <v>-0.15</v>
      </c>
      <c r="W86" s="209">
        <f t="shared" si="27"/>
        <v>0</v>
      </c>
      <c r="X86" s="209">
        <f t="shared" si="28"/>
        <v>0</v>
      </c>
      <c r="Y86" s="209">
        <f t="shared" si="29"/>
        <v>0</v>
      </c>
      <c r="Z86" s="209">
        <f t="shared" si="30"/>
        <v>0</v>
      </c>
      <c r="AA86" s="205">
        <f t="shared" si="31"/>
        <v>0</v>
      </c>
      <c r="AB86" s="209">
        <f t="shared" si="32"/>
        <v>0</v>
      </c>
      <c r="AC86" s="205">
        <f t="shared" si="33"/>
        <v>0</v>
      </c>
      <c r="AD86" s="210">
        <f t="shared" si="34"/>
        <v>2.4958333333343035</v>
      </c>
      <c r="AE86" s="210">
        <f t="shared" si="35"/>
        <v>0</v>
      </c>
      <c r="AF86" s="210">
        <f t="shared" si="36"/>
        <v>2.4958333333343035</v>
      </c>
      <c r="AG86" s="210">
        <f t="shared" si="37"/>
        <v>0</v>
      </c>
    </row>
    <row r="87" spans="2:33" ht="15" customHeight="1" x14ac:dyDescent="0.3">
      <c r="B87" s="196" t="s">
        <v>7</v>
      </c>
      <c r="C87" s="197" t="s">
        <v>15</v>
      </c>
      <c r="D87" s="198" t="str">
        <f t="shared" si="19"/>
        <v>C</v>
      </c>
      <c r="E87" s="199">
        <v>44194.5</v>
      </c>
      <c r="F87" s="200" t="s">
        <v>119</v>
      </c>
      <c r="G87" s="201">
        <v>0.90924000000000005</v>
      </c>
      <c r="H87" s="201">
        <v>0.90437999999999996</v>
      </c>
      <c r="I87" s="202">
        <f t="shared" si="20"/>
        <v>4.8600000000000865E-3</v>
      </c>
      <c r="J87" s="201">
        <v>0.92220000000000002</v>
      </c>
      <c r="K87" s="199">
        <v>44195.459027777775</v>
      </c>
      <c r="L87" s="201">
        <v>0.90437999999999996</v>
      </c>
      <c r="M87" s="203">
        <f t="shared" si="21"/>
        <v>-4.8999999999999998E-3</v>
      </c>
      <c r="N87" s="204">
        <f t="shared" si="22"/>
        <v>-1.01</v>
      </c>
      <c r="O87" s="205">
        <f t="shared" si="23"/>
        <v>0</v>
      </c>
      <c r="P87" s="206">
        <f t="shared" si="24"/>
        <v>0</v>
      </c>
      <c r="Q87" s="206">
        <f t="shared" si="25"/>
        <v>-1.01</v>
      </c>
      <c r="R8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339080</v>
      </c>
      <c r="T8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87" s="208">
        <f ca="1">IF(Tabla33610673[[#This Row],[Equity]]&lt;Tabla33610673[[#This Row],[Equity Peak]],(Tabla33610673[[#This Row],[Equity Peak]]-Tabla33610673[[#This Row],[Equity]])/Tabla33610673[[#This Row],[Equity Peak]],"")</f>
        <v>9.3780127961669933E-3</v>
      </c>
      <c r="V87" s="209">
        <f t="shared" si="26"/>
        <v>-1.01</v>
      </c>
      <c r="W87" s="209">
        <f t="shared" si="27"/>
        <v>0</v>
      </c>
      <c r="X87" s="209">
        <f t="shared" si="28"/>
        <v>0</v>
      </c>
      <c r="Y87" s="209">
        <f t="shared" si="29"/>
        <v>0</v>
      </c>
      <c r="Z87" s="209">
        <f t="shared" si="30"/>
        <v>0</v>
      </c>
      <c r="AA87" s="205">
        <f t="shared" si="31"/>
        <v>0</v>
      </c>
      <c r="AB87" s="209">
        <f t="shared" si="32"/>
        <v>0</v>
      </c>
      <c r="AC87" s="205">
        <f t="shared" si="33"/>
        <v>0</v>
      </c>
      <c r="AD87" s="210">
        <f t="shared" si="34"/>
        <v>0.95902777777519077</v>
      </c>
      <c r="AE87" s="210">
        <f t="shared" si="35"/>
        <v>0</v>
      </c>
      <c r="AF87" s="210">
        <f t="shared" si="36"/>
        <v>0.95902777777519077</v>
      </c>
      <c r="AG87" s="210">
        <f t="shared" si="37"/>
        <v>0</v>
      </c>
    </row>
    <row r="88" spans="2:33" ht="15" customHeight="1" x14ac:dyDescent="0.3">
      <c r="B88" s="196" t="s">
        <v>5</v>
      </c>
      <c r="C88" s="197" t="s">
        <v>15</v>
      </c>
      <c r="D88" s="198" t="str">
        <f t="shared" si="19"/>
        <v>C</v>
      </c>
      <c r="E88" s="199">
        <v>44194.333333333336</v>
      </c>
      <c r="F88" s="200" t="s">
        <v>95</v>
      </c>
      <c r="G88" s="201">
        <v>30591.200000000001</v>
      </c>
      <c r="H88" s="201">
        <v>30299.64</v>
      </c>
      <c r="I88" s="202">
        <f t="shared" si="20"/>
        <v>291.56000000000131</v>
      </c>
      <c r="J88" s="201">
        <v>31757.439999999999</v>
      </c>
      <c r="K88" s="199">
        <v>44194.82708333333</v>
      </c>
      <c r="L88" s="201">
        <v>30299.64</v>
      </c>
      <c r="M88" s="203">
        <f t="shared" si="21"/>
        <v>-291.56</v>
      </c>
      <c r="N88" s="204">
        <f t="shared" si="22"/>
        <v>-1</v>
      </c>
      <c r="O88" s="205">
        <f t="shared" si="23"/>
        <v>0</v>
      </c>
      <c r="P88" s="206">
        <f t="shared" si="24"/>
        <v>0</v>
      </c>
      <c r="Q88" s="206">
        <f t="shared" si="25"/>
        <v>-1</v>
      </c>
      <c r="R8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340090</v>
      </c>
      <c r="T8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88" s="208">
        <f ca="1">IF(Tabla33610673[[#This Row],[Equity]]&lt;Tabla33610673[[#This Row],[Equity Peak]],(Tabla33610673[[#This Row],[Equity Peak]]-Tabla33610673[[#This Row],[Equity]])/Tabla33610673[[#This Row],[Equity Peak]],"")</f>
        <v>6.427298489584855E-3</v>
      </c>
      <c r="V88" s="209">
        <f t="shared" si="26"/>
        <v>0</v>
      </c>
      <c r="W88" s="209">
        <f t="shared" si="27"/>
        <v>0</v>
      </c>
      <c r="X88" s="209">
        <f t="shared" si="28"/>
        <v>0</v>
      </c>
      <c r="Y88" s="209">
        <f t="shared" si="29"/>
        <v>0</v>
      </c>
      <c r="Z88" s="209">
        <f t="shared" si="30"/>
        <v>-1</v>
      </c>
      <c r="AA88" s="205">
        <f t="shared" si="31"/>
        <v>0</v>
      </c>
      <c r="AB88" s="209">
        <f t="shared" si="32"/>
        <v>0</v>
      </c>
      <c r="AC88" s="205">
        <f t="shared" si="33"/>
        <v>0</v>
      </c>
      <c r="AD88" s="210">
        <f t="shared" si="34"/>
        <v>0.49374999999417923</v>
      </c>
      <c r="AE88" s="210">
        <f t="shared" si="35"/>
        <v>0</v>
      </c>
      <c r="AF88" s="210">
        <f t="shared" si="36"/>
        <v>0.49374999999417923</v>
      </c>
      <c r="AG88" s="210">
        <f t="shared" si="37"/>
        <v>0</v>
      </c>
    </row>
    <row r="89" spans="2:33" ht="15" customHeight="1" x14ac:dyDescent="0.3">
      <c r="B89" s="196" t="s">
        <v>5</v>
      </c>
      <c r="C89" s="197" t="s">
        <v>15</v>
      </c>
      <c r="D89" s="198" t="str">
        <f t="shared" si="19"/>
        <v>C</v>
      </c>
      <c r="E89" s="199">
        <v>44189.166666666664</v>
      </c>
      <c r="F89" s="200" t="s">
        <v>94</v>
      </c>
      <c r="G89" s="201">
        <v>6519.06</v>
      </c>
      <c r="H89" s="201">
        <v>6435.8</v>
      </c>
      <c r="I89" s="202">
        <f t="shared" si="20"/>
        <v>83.260000000000218</v>
      </c>
      <c r="J89" s="201">
        <v>6935.34</v>
      </c>
      <c r="K89" s="199">
        <v>44194.815972222219</v>
      </c>
      <c r="L89" s="201">
        <v>6586.85</v>
      </c>
      <c r="M89" s="203">
        <f t="shared" si="21"/>
        <v>67.790000000000006</v>
      </c>
      <c r="N89" s="204">
        <f t="shared" si="22"/>
        <v>0.81</v>
      </c>
      <c r="O89" s="205">
        <f t="shared" si="23"/>
        <v>0</v>
      </c>
      <c r="P89" s="206">
        <f t="shared" si="24"/>
        <v>0.81</v>
      </c>
      <c r="Q89" s="206">
        <f t="shared" si="25"/>
        <v>0</v>
      </c>
      <c r="R8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341090</v>
      </c>
      <c r="T8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89" s="208">
        <f ca="1">IF(Tabla33610673[[#This Row],[Equity]]&lt;Tabla33610673[[#This Row],[Equity Peak]],(Tabla33610673[[#This Row],[Equity Peak]]-Tabla33610673[[#This Row],[Equity]])/Tabla33610673[[#This Row],[Equity Peak]],"")</f>
        <v>3.5057991761371938E-3</v>
      </c>
      <c r="V89" s="209">
        <f t="shared" si="26"/>
        <v>0</v>
      </c>
      <c r="W89" s="209">
        <f t="shared" si="27"/>
        <v>0</v>
      </c>
      <c r="X89" s="209">
        <f t="shared" si="28"/>
        <v>0</v>
      </c>
      <c r="Y89" s="209">
        <f t="shared" si="29"/>
        <v>0</v>
      </c>
      <c r="Z89" s="209">
        <f t="shared" si="30"/>
        <v>0.81</v>
      </c>
      <c r="AA89" s="205">
        <f t="shared" si="31"/>
        <v>0</v>
      </c>
      <c r="AB89" s="209">
        <f t="shared" si="32"/>
        <v>0</v>
      </c>
      <c r="AC89" s="205">
        <f t="shared" si="33"/>
        <v>0</v>
      </c>
      <c r="AD89" s="210">
        <f t="shared" si="34"/>
        <v>5.6493055555547471</v>
      </c>
      <c r="AE89" s="210">
        <f t="shared" si="35"/>
        <v>5.6493055555547471</v>
      </c>
      <c r="AF89" s="210">
        <f t="shared" si="36"/>
        <v>0</v>
      </c>
      <c r="AG89" s="210">
        <f t="shared" si="37"/>
        <v>0</v>
      </c>
    </row>
    <row r="90" spans="2:33" ht="15" customHeight="1" x14ac:dyDescent="0.3">
      <c r="B90" s="196" t="s">
        <v>84</v>
      </c>
      <c r="C90" s="197" t="s">
        <v>15</v>
      </c>
      <c r="D90" s="198" t="str">
        <f t="shared" si="19"/>
        <v>C</v>
      </c>
      <c r="E90" s="199">
        <v>44193.166666666664</v>
      </c>
      <c r="F90" s="200" t="s">
        <v>82</v>
      </c>
      <c r="G90" s="201">
        <v>706.3</v>
      </c>
      <c r="H90" s="201">
        <v>667.19</v>
      </c>
      <c r="I90" s="202">
        <f t="shared" si="20"/>
        <v>39.1099999999999</v>
      </c>
      <c r="J90" s="201">
        <v>1436.4</v>
      </c>
      <c r="K90" s="199">
        <v>44194.270138888889</v>
      </c>
      <c r="L90" s="201">
        <v>694.9</v>
      </c>
      <c r="M90" s="203">
        <f t="shared" si="21"/>
        <v>-11.4</v>
      </c>
      <c r="N90" s="204">
        <f t="shared" si="22"/>
        <v>-0.28999999999999998</v>
      </c>
      <c r="O90" s="205">
        <f t="shared" si="23"/>
        <v>0</v>
      </c>
      <c r="P90" s="206">
        <f t="shared" si="24"/>
        <v>0</v>
      </c>
      <c r="Q90" s="206">
        <f t="shared" si="25"/>
        <v>-0.28999999999999998</v>
      </c>
      <c r="R9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340280</v>
      </c>
      <c r="T9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90" s="208">
        <f ca="1">IF(Tabla33610673[[#This Row],[Equity]]&lt;Tabla33610673[[#This Row],[Equity Peak]],(Tabla33610673[[#This Row],[Equity Peak]]-Tabla33610673[[#This Row],[Equity]])/Tabla33610673[[#This Row],[Equity Peak]],"")</f>
        <v>5.8722136200297995E-3</v>
      </c>
      <c r="V90" s="209">
        <f t="shared" si="26"/>
        <v>0</v>
      </c>
      <c r="W90" s="209">
        <f t="shared" si="27"/>
        <v>0</v>
      </c>
      <c r="X90" s="209">
        <f t="shared" si="28"/>
        <v>0</v>
      </c>
      <c r="Y90" s="209">
        <f t="shared" si="29"/>
        <v>0</v>
      </c>
      <c r="Z90" s="209">
        <f t="shared" si="30"/>
        <v>0</v>
      </c>
      <c r="AA90" s="205">
        <f t="shared" si="31"/>
        <v>0</v>
      </c>
      <c r="AB90" s="209">
        <f t="shared" si="32"/>
        <v>-0.28999999999999998</v>
      </c>
      <c r="AC90" s="205">
        <f t="shared" si="33"/>
        <v>0</v>
      </c>
      <c r="AD90" s="210">
        <f t="shared" si="34"/>
        <v>1.1034722222248092</v>
      </c>
      <c r="AE90" s="210">
        <f t="shared" si="35"/>
        <v>0</v>
      </c>
      <c r="AF90" s="210">
        <f t="shared" si="36"/>
        <v>1.1034722222248092</v>
      </c>
      <c r="AG90" s="210">
        <f t="shared" si="37"/>
        <v>0</v>
      </c>
    </row>
    <row r="91" spans="2:33" ht="15" customHeight="1" x14ac:dyDescent="0.3">
      <c r="B91" s="196" t="s">
        <v>7</v>
      </c>
      <c r="C91" s="197" t="s">
        <v>13</v>
      </c>
      <c r="D91" s="198" t="str">
        <f t="shared" si="19"/>
        <v>C</v>
      </c>
      <c r="E91" s="199">
        <v>44188.166666666664</v>
      </c>
      <c r="F91" s="200" t="s">
        <v>120</v>
      </c>
      <c r="G91" s="201">
        <v>1.61528</v>
      </c>
      <c r="H91" s="201">
        <v>1.62365</v>
      </c>
      <c r="I91" s="202">
        <f t="shared" si="20"/>
        <v>8.3699999999999886E-3</v>
      </c>
      <c r="J91" s="201">
        <v>1.5259799999999999</v>
      </c>
      <c r="K91" s="199">
        <v>44193.640972222223</v>
      </c>
      <c r="L91" s="201">
        <v>1.61049</v>
      </c>
      <c r="M91" s="203">
        <f t="shared" si="21"/>
        <v>4.7999999999999996E-3</v>
      </c>
      <c r="N91" s="204">
        <f t="shared" si="22"/>
        <v>0.56999999999999995</v>
      </c>
      <c r="O91" s="205">
        <f t="shared" si="23"/>
        <v>0</v>
      </c>
      <c r="P91" s="206">
        <f t="shared" si="24"/>
        <v>0.56999999999999995</v>
      </c>
      <c r="Q91" s="206">
        <f t="shared" si="25"/>
        <v>0</v>
      </c>
      <c r="R9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340570</v>
      </c>
      <c r="T9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91" s="208">
        <f ca="1">IF(Tabla33610673[[#This Row],[Equity]]&lt;Tabla33610673[[#This Row],[Equity Peak]],(Tabla33610673[[#This Row],[Equity Peak]]-Tabla33610673[[#This Row],[Equity]])/Tabla33610673[[#This Row],[Equity Peak]],"")</f>
        <v>5.0249788191299776E-3</v>
      </c>
      <c r="V91" s="209">
        <f t="shared" si="26"/>
        <v>0.56999999999999995</v>
      </c>
      <c r="W91" s="209">
        <f t="shared" si="27"/>
        <v>0</v>
      </c>
      <c r="X91" s="209">
        <f t="shared" si="28"/>
        <v>0</v>
      </c>
      <c r="Y91" s="209">
        <f t="shared" si="29"/>
        <v>0</v>
      </c>
      <c r="Z91" s="209">
        <f t="shared" si="30"/>
        <v>0</v>
      </c>
      <c r="AA91" s="205">
        <f t="shared" si="31"/>
        <v>0</v>
      </c>
      <c r="AB91" s="209">
        <f t="shared" si="32"/>
        <v>0</v>
      </c>
      <c r="AC91" s="205">
        <f t="shared" si="33"/>
        <v>0</v>
      </c>
      <c r="AD91" s="210">
        <f t="shared" si="34"/>
        <v>5.4743055555591127</v>
      </c>
      <c r="AE91" s="210">
        <f t="shared" si="35"/>
        <v>5.4743055555591127</v>
      </c>
      <c r="AF91" s="210">
        <f t="shared" si="36"/>
        <v>0</v>
      </c>
      <c r="AG91" s="210">
        <f t="shared" si="37"/>
        <v>0</v>
      </c>
    </row>
    <row r="92" spans="2:33" ht="15" customHeight="1" x14ac:dyDescent="0.3">
      <c r="B92" s="196" t="s">
        <v>7</v>
      </c>
      <c r="C92" s="197" t="s">
        <v>13</v>
      </c>
      <c r="D92" s="198" t="str">
        <f t="shared" si="19"/>
        <v>C</v>
      </c>
      <c r="E92" s="199">
        <v>44193.017361111109</v>
      </c>
      <c r="F92" s="200" t="s">
        <v>119</v>
      </c>
      <c r="G92" s="201">
        <v>0.89871000000000001</v>
      </c>
      <c r="H92" s="201">
        <v>0.90386</v>
      </c>
      <c r="I92" s="202">
        <f t="shared" si="20"/>
        <v>5.1499999999999879E-3</v>
      </c>
      <c r="J92" s="201">
        <v>0.88499000000000005</v>
      </c>
      <c r="K92" s="199">
        <v>44193.495833333334</v>
      </c>
      <c r="L92" s="201">
        <v>0.90386</v>
      </c>
      <c r="M92" s="203">
        <f t="shared" si="21"/>
        <v>-5.1000000000000004E-3</v>
      </c>
      <c r="N92" s="204">
        <f t="shared" si="22"/>
        <v>-0.99</v>
      </c>
      <c r="O92" s="205">
        <f t="shared" si="23"/>
        <v>0</v>
      </c>
      <c r="P92" s="206">
        <f t="shared" si="24"/>
        <v>0</v>
      </c>
      <c r="Q92" s="206">
        <f t="shared" si="25"/>
        <v>-0.99</v>
      </c>
      <c r="R9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340000</v>
      </c>
      <c r="T9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92" s="208">
        <f ca="1">IF(Tabla33610673[[#This Row],[Equity]]&lt;Tabla33610673[[#This Row],[Equity Peak]],(Tabla33610673[[#This Row],[Equity Peak]]-Tabla33610673[[#This Row],[Equity]])/Tabla33610673[[#This Row],[Equity Peak]],"")</f>
        <v>6.6902334277951442E-3</v>
      </c>
      <c r="V92" s="209">
        <f t="shared" si="26"/>
        <v>-0.99</v>
      </c>
      <c r="W92" s="209">
        <f t="shared" si="27"/>
        <v>0</v>
      </c>
      <c r="X92" s="209">
        <f t="shared" si="28"/>
        <v>0</v>
      </c>
      <c r="Y92" s="209">
        <f t="shared" si="29"/>
        <v>0</v>
      </c>
      <c r="Z92" s="209">
        <f t="shared" si="30"/>
        <v>0</v>
      </c>
      <c r="AA92" s="205">
        <f t="shared" si="31"/>
        <v>0</v>
      </c>
      <c r="AB92" s="209">
        <f t="shared" si="32"/>
        <v>0</v>
      </c>
      <c r="AC92" s="205">
        <f t="shared" si="33"/>
        <v>0</v>
      </c>
      <c r="AD92" s="210">
        <f t="shared" si="34"/>
        <v>0.47847222222480923</v>
      </c>
      <c r="AE92" s="210">
        <f t="shared" si="35"/>
        <v>0</v>
      </c>
      <c r="AF92" s="210">
        <f t="shared" si="36"/>
        <v>0.47847222222480923</v>
      </c>
      <c r="AG92" s="210">
        <f t="shared" si="37"/>
        <v>0</v>
      </c>
    </row>
    <row r="93" spans="2:33" ht="15" customHeight="1" x14ac:dyDescent="0.3">
      <c r="B93" s="196" t="s">
        <v>7</v>
      </c>
      <c r="C93" s="197" t="s">
        <v>13</v>
      </c>
      <c r="D93" s="198" t="str">
        <f t="shared" si="19"/>
        <v>C</v>
      </c>
      <c r="E93" s="199">
        <v>44187.333333333336</v>
      </c>
      <c r="F93" s="200" t="s">
        <v>115</v>
      </c>
      <c r="G93" s="201">
        <v>138.517</v>
      </c>
      <c r="H93" s="201">
        <v>140.46799999999999</v>
      </c>
      <c r="I93" s="202">
        <f t="shared" si="20"/>
        <v>1.9509999999999934</v>
      </c>
      <c r="J93" s="201">
        <v>127.59399999999999</v>
      </c>
      <c r="K93" s="199">
        <v>44188.833333333336</v>
      </c>
      <c r="L93" s="201">
        <v>139.69</v>
      </c>
      <c r="M93" s="203">
        <f t="shared" si="21"/>
        <v>-1.173</v>
      </c>
      <c r="N93" s="204">
        <f t="shared" si="22"/>
        <v>-0.6</v>
      </c>
      <c r="O93" s="205">
        <f t="shared" si="23"/>
        <v>0</v>
      </c>
      <c r="P93" s="206">
        <f t="shared" si="24"/>
        <v>0</v>
      </c>
      <c r="Q93" s="206">
        <f t="shared" si="25"/>
        <v>-0.6</v>
      </c>
      <c r="R9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340990</v>
      </c>
      <c r="T9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93" s="208">
        <f ca="1">IF(Tabla33610673[[#This Row],[Equity]]&lt;Tabla33610673[[#This Row],[Equity Peak]],(Tabla33610673[[#This Row],[Equity Peak]]-Tabla33610673[[#This Row],[Equity]])/Tabla33610673[[#This Row],[Equity Peak]],"")</f>
        <v>3.7979491074819596E-3</v>
      </c>
      <c r="V93" s="209">
        <f t="shared" si="26"/>
        <v>-0.6</v>
      </c>
      <c r="W93" s="209">
        <f t="shared" si="27"/>
        <v>0</v>
      </c>
      <c r="X93" s="209">
        <f t="shared" si="28"/>
        <v>0</v>
      </c>
      <c r="Y93" s="209">
        <f t="shared" si="29"/>
        <v>0</v>
      </c>
      <c r="Z93" s="209">
        <f t="shared" si="30"/>
        <v>0</v>
      </c>
      <c r="AA93" s="205">
        <f t="shared" si="31"/>
        <v>0</v>
      </c>
      <c r="AB93" s="209">
        <f t="shared" si="32"/>
        <v>0</v>
      </c>
      <c r="AC93" s="205">
        <f t="shared" si="33"/>
        <v>0</v>
      </c>
      <c r="AD93" s="210">
        <f t="shared" si="34"/>
        <v>1.5</v>
      </c>
      <c r="AE93" s="210">
        <f t="shared" si="35"/>
        <v>0</v>
      </c>
      <c r="AF93" s="210">
        <f t="shared" si="36"/>
        <v>1.5</v>
      </c>
      <c r="AG93" s="210">
        <f t="shared" si="37"/>
        <v>0</v>
      </c>
    </row>
    <row r="94" spans="2:33" ht="15" customHeight="1" x14ac:dyDescent="0.3">
      <c r="B94" s="196" t="s">
        <v>7</v>
      </c>
      <c r="C94" s="197" t="s">
        <v>15</v>
      </c>
      <c r="D94" s="198" t="str">
        <f t="shared" si="19"/>
        <v>C</v>
      </c>
      <c r="E94" s="199">
        <v>44187.5</v>
      </c>
      <c r="F94" s="200" t="s">
        <v>120</v>
      </c>
      <c r="G94" s="201">
        <v>1.6211500000000001</v>
      </c>
      <c r="H94" s="201">
        <v>1.61277</v>
      </c>
      <c r="I94" s="202">
        <f t="shared" si="20"/>
        <v>8.3800000000000541E-3</v>
      </c>
      <c r="J94" s="201">
        <v>1.71058</v>
      </c>
      <c r="K94" s="199">
        <v>44188.166666666664</v>
      </c>
      <c r="L94" s="201">
        <v>1.61528</v>
      </c>
      <c r="M94" s="203">
        <f t="shared" si="21"/>
        <v>-5.8999999999999999E-3</v>
      </c>
      <c r="N94" s="204">
        <f t="shared" si="22"/>
        <v>-0.7</v>
      </c>
      <c r="O94" s="205">
        <f t="shared" si="23"/>
        <v>0</v>
      </c>
      <c r="P94" s="206">
        <f t="shared" si="24"/>
        <v>0</v>
      </c>
      <c r="Q94" s="206">
        <f t="shared" si="25"/>
        <v>-0.7</v>
      </c>
      <c r="R9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341590</v>
      </c>
      <c r="T9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94" s="208">
        <f ca="1">IF(Tabla33610673[[#This Row],[Equity]]&lt;Tabla33610673[[#This Row],[Equity Peak]],(Tabla33610673[[#This Row],[Equity Peak]]-Tabla33610673[[#This Row],[Equity]])/Tabla33610673[[#This Row],[Equity Peak]],"")</f>
        <v>2.0450495194133628E-3</v>
      </c>
      <c r="V94" s="209">
        <f t="shared" si="26"/>
        <v>-0.7</v>
      </c>
      <c r="W94" s="209">
        <f t="shared" si="27"/>
        <v>0</v>
      </c>
      <c r="X94" s="209">
        <f t="shared" si="28"/>
        <v>0</v>
      </c>
      <c r="Y94" s="209">
        <f t="shared" si="29"/>
        <v>0</v>
      </c>
      <c r="Z94" s="209">
        <f t="shared" si="30"/>
        <v>0</v>
      </c>
      <c r="AA94" s="205">
        <f t="shared" si="31"/>
        <v>0</v>
      </c>
      <c r="AB94" s="209">
        <f t="shared" si="32"/>
        <v>0</v>
      </c>
      <c r="AC94" s="205">
        <f t="shared" si="33"/>
        <v>0</v>
      </c>
      <c r="AD94" s="210">
        <f t="shared" si="34"/>
        <v>0.66666666666424135</v>
      </c>
      <c r="AE94" s="210">
        <f t="shared" si="35"/>
        <v>0</v>
      </c>
      <c r="AF94" s="210">
        <f t="shared" si="36"/>
        <v>0.66666666666424135</v>
      </c>
      <c r="AG94" s="210">
        <f t="shared" si="37"/>
        <v>0</v>
      </c>
    </row>
    <row r="95" spans="2:33" ht="15" customHeight="1" x14ac:dyDescent="0.3">
      <c r="B95" s="196" t="s">
        <v>5</v>
      </c>
      <c r="C95" s="197" t="s">
        <v>13</v>
      </c>
      <c r="D95" s="198" t="str">
        <f t="shared" si="19"/>
        <v>C</v>
      </c>
      <c r="E95" s="199">
        <v>44186.208333333336</v>
      </c>
      <c r="F95" s="200" t="s">
        <v>94</v>
      </c>
      <c r="G95" s="201">
        <v>6445.6</v>
      </c>
      <c r="H95" s="201">
        <v>6526.09</v>
      </c>
      <c r="I95" s="202">
        <f t="shared" si="20"/>
        <v>80.489999999999782</v>
      </c>
      <c r="J95" s="201">
        <v>6043.13</v>
      </c>
      <c r="K95" s="199">
        <v>44186.781944444447</v>
      </c>
      <c r="L95" s="201">
        <v>6432.49</v>
      </c>
      <c r="M95" s="203">
        <f t="shared" si="21"/>
        <v>13.11</v>
      </c>
      <c r="N95" s="204">
        <f t="shared" si="22"/>
        <v>0.16</v>
      </c>
      <c r="O95" s="205">
        <f t="shared" si="23"/>
        <v>0</v>
      </c>
      <c r="P95" s="206">
        <f t="shared" si="24"/>
        <v>0.16</v>
      </c>
      <c r="Q95" s="206">
        <f t="shared" si="25"/>
        <v>0</v>
      </c>
      <c r="R9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342290</v>
      </c>
      <c r="T9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342290</v>
      </c>
      <c r="U9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95" s="209">
        <f t="shared" si="26"/>
        <v>0</v>
      </c>
      <c r="W95" s="209">
        <f t="shared" si="27"/>
        <v>0</v>
      </c>
      <c r="X95" s="209">
        <f t="shared" si="28"/>
        <v>0</v>
      </c>
      <c r="Y95" s="209">
        <f t="shared" si="29"/>
        <v>0</v>
      </c>
      <c r="Z95" s="209">
        <f t="shared" si="30"/>
        <v>0.16</v>
      </c>
      <c r="AA95" s="205">
        <f t="shared" si="31"/>
        <v>0</v>
      </c>
      <c r="AB95" s="209">
        <f t="shared" si="32"/>
        <v>0</v>
      </c>
      <c r="AC95" s="205">
        <f t="shared" si="33"/>
        <v>0</v>
      </c>
      <c r="AD95" s="210">
        <f t="shared" si="34"/>
        <v>0.57361111111094942</v>
      </c>
      <c r="AE95" s="210">
        <f t="shared" si="35"/>
        <v>0.57361111111094942</v>
      </c>
      <c r="AF95" s="210">
        <f t="shared" si="36"/>
        <v>0</v>
      </c>
      <c r="AG95" s="210">
        <f t="shared" si="37"/>
        <v>0</v>
      </c>
    </row>
    <row r="96" spans="2:33" ht="15" customHeight="1" x14ac:dyDescent="0.3">
      <c r="B96" s="196" t="s">
        <v>19</v>
      </c>
      <c r="C96" s="197" t="s">
        <v>15</v>
      </c>
      <c r="D96" s="198" t="str">
        <f t="shared" si="19"/>
        <v>C</v>
      </c>
      <c r="E96" s="199">
        <v>44169.541666666664</v>
      </c>
      <c r="F96" s="200" t="s">
        <v>89</v>
      </c>
      <c r="G96" s="201">
        <v>24.184000000000001</v>
      </c>
      <c r="H96" s="201">
        <v>23.492999999999999</v>
      </c>
      <c r="I96" s="202">
        <f t="shared" si="20"/>
        <v>0.6910000000000025</v>
      </c>
      <c r="J96" s="201">
        <v>27.5</v>
      </c>
      <c r="K96" s="199">
        <v>44186.494444444441</v>
      </c>
      <c r="L96" s="201">
        <v>26.41</v>
      </c>
      <c r="M96" s="203">
        <f t="shared" si="21"/>
        <v>2.226</v>
      </c>
      <c r="N96" s="204">
        <f t="shared" si="22"/>
        <v>3.22</v>
      </c>
      <c r="O96" s="205">
        <f t="shared" si="23"/>
        <v>0</v>
      </c>
      <c r="P96" s="206">
        <f t="shared" si="24"/>
        <v>3.22</v>
      </c>
      <c r="Q96" s="206">
        <f t="shared" si="25"/>
        <v>0</v>
      </c>
      <c r="R9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342130</v>
      </c>
      <c r="T9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342130</v>
      </c>
      <c r="U9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96" s="209">
        <f t="shared" si="26"/>
        <v>0</v>
      </c>
      <c r="W96" s="209">
        <f t="shared" si="27"/>
        <v>0</v>
      </c>
      <c r="X96" s="209">
        <f t="shared" si="28"/>
        <v>3.22</v>
      </c>
      <c r="Y96" s="209">
        <f t="shared" si="29"/>
        <v>0</v>
      </c>
      <c r="Z96" s="209">
        <f t="shared" si="30"/>
        <v>0</v>
      </c>
      <c r="AA96" s="205">
        <f t="shared" si="31"/>
        <v>0</v>
      </c>
      <c r="AB96" s="209">
        <f t="shared" si="32"/>
        <v>0</v>
      </c>
      <c r="AC96" s="205">
        <f t="shared" si="33"/>
        <v>0</v>
      </c>
      <c r="AD96" s="210">
        <f t="shared" si="34"/>
        <v>16.952777777776646</v>
      </c>
      <c r="AE96" s="210">
        <f t="shared" si="35"/>
        <v>16.952777777776646</v>
      </c>
      <c r="AF96" s="210">
        <f t="shared" si="36"/>
        <v>0</v>
      </c>
      <c r="AG96" s="210">
        <f t="shared" si="37"/>
        <v>0</v>
      </c>
    </row>
    <row r="97" spans="2:33" ht="15" customHeight="1" x14ac:dyDescent="0.3">
      <c r="B97" s="196" t="s">
        <v>5</v>
      </c>
      <c r="C97" s="197" t="s">
        <v>15</v>
      </c>
      <c r="D97" s="198" t="str">
        <f t="shared" si="19"/>
        <v>C</v>
      </c>
      <c r="E97" s="199">
        <v>44181.5</v>
      </c>
      <c r="F97" s="200" t="s">
        <v>91</v>
      </c>
      <c r="G97" s="201">
        <v>13579.25</v>
      </c>
      <c r="H97" s="201">
        <v>13327.61</v>
      </c>
      <c r="I97" s="202">
        <f t="shared" si="20"/>
        <v>251.63999999999942</v>
      </c>
      <c r="J97" s="201">
        <v>14585.8</v>
      </c>
      <c r="K97" s="199">
        <v>44186.39166666667</v>
      </c>
      <c r="L97" s="201">
        <v>13386.39</v>
      </c>
      <c r="M97" s="203">
        <f t="shared" si="21"/>
        <v>-192.86</v>
      </c>
      <c r="N97" s="204">
        <f t="shared" si="22"/>
        <v>-0.77</v>
      </c>
      <c r="O97" s="205">
        <f t="shared" si="23"/>
        <v>0</v>
      </c>
      <c r="P97" s="206">
        <f t="shared" si="24"/>
        <v>0</v>
      </c>
      <c r="Q97" s="206">
        <f t="shared" si="25"/>
        <v>-0.77</v>
      </c>
      <c r="R9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338910</v>
      </c>
      <c r="T9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341700</v>
      </c>
      <c r="U97" s="208">
        <f ca="1">IF(Tabla33610673[[#This Row],[Equity]]&lt;Tabla33610673[[#This Row],[Equity Peak]],(Tabla33610673[[#This Row],[Equity Peak]]-Tabla33610673[[#This Row],[Equity]])/Tabla33610673[[#This Row],[Equity Peak]],"")</f>
        <v>8.1650570676031608E-3</v>
      </c>
      <c r="V97" s="209">
        <f t="shared" si="26"/>
        <v>0</v>
      </c>
      <c r="W97" s="209">
        <f t="shared" si="27"/>
        <v>0</v>
      </c>
      <c r="X97" s="209">
        <f t="shared" si="28"/>
        <v>0</v>
      </c>
      <c r="Y97" s="209">
        <f t="shared" si="29"/>
        <v>0</v>
      </c>
      <c r="Z97" s="209">
        <f t="shared" si="30"/>
        <v>-0.77</v>
      </c>
      <c r="AA97" s="205">
        <f t="shared" si="31"/>
        <v>0</v>
      </c>
      <c r="AB97" s="209">
        <f t="shared" si="32"/>
        <v>0</v>
      </c>
      <c r="AC97" s="205">
        <f t="shared" si="33"/>
        <v>0</v>
      </c>
      <c r="AD97" s="210">
        <f t="shared" si="34"/>
        <v>4.8916666666700621</v>
      </c>
      <c r="AE97" s="210">
        <f t="shared" si="35"/>
        <v>0</v>
      </c>
      <c r="AF97" s="210">
        <f t="shared" si="36"/>
        <v>4.8916666666700621</v>
      </c>
      <c r="AG97" s="210">
        <f t="shared" si="37"/>
        <v>0</v>
      </c>
    </row>
    <row r="98" spans="2:33" ht="15" customHeight="1" x14ac:dyDescent="0.3">
      <c r="B98" s="196" t="s">
        <v>7</v>
      </c>
      <c r="C98" s="197" t="s">
        <v>15</v>
      </c>
      <c r="D98" s="198" t="str">
        <f t="shared" si="19"/>
        <v>C</v>
      </c>
      <c r="E98" s="199">
        <v>44175.333333333336</v>
      </c>
      <c r="F98" s="200" t="s">
        <v>122</v>
      </c>
      <c r="G98" s="201">
        <v>78.010000000000005</v>
      </c>
      <c r="H98" s="201">
        <v>77.647999999999996</v>
      </c>
      <c r="I98" s="202">
        <f t="shared" si="20"/>
        <v>0.36200000000000898</v>
      </c>
      <c r="J98" s="201">
        <v>84.275999999999996</v>
      </c>
      <c r="K98" s="199">
        <v>44186.364583333336</v>
      </c>
      <c r="L98" s="201">
        <v>78.171000000000006</v>
      </c>
      <c r="M98" s="203">
        <f t="shared" si="21"/>
        <v>0.161</v>
      </c>
      <c r="N98" s="204">
        <f t="shared" si="22"/>
        <v>0.44</v>
      </c>
      <c r="O98" s="205">
        <f t="shared" si="23"/>
        <v>0</v>
      </c>
      <c r="P98" s="206">
        <f t="shared" si="24"/>
        <v>0.44</v>
      </c>
      <c r="Q98" s="206">
        <f t="shared" si="25"/>
        <v>0</v>
      </c>
      <c r="R9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339680</v>
      </c>
      <c r="T9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341700</v>
      </c>
      <c r="U98" s="208">
        <f ca="1">IF(Tabla33610673[[#This Row],[Equity]]&lt;Tabla33610673[[#This Row],[Equity Peak]],(Tabla33610673[[#This Row],[Equity Peak]]-Tabla33610673[[#This Row],[Equity]])/Tabla33610673[[#This Row],[Equity Peak]],"")</f>
        <v>5.9116183786947617E-3</v>
      </c>
      <c r="V98" s="209">
        <f t="shared" si="26"/>
        <v>0.44</v>
      </c>
      <c r="W98" s="209">
        <f t="shared" si="27"/>
        <v>0</v>
      </c>
      <c r="X98" s="209">
        <f t="shared" si="28"/>
        <v>0</v>
      </c>
      <c r="Y98" s="209">
        <f t="shared" si="29"/>
        <v>0</v>
      </c>
      <c r="Z98" s="209">
        <f t="shared" si="30"/>
        <v>0</v>
      </c>
      <c r="AA98" s="205">
        <f t="shared" si="31"/>
        <v>0</v>
      </c>
      <c r="AB98" s="209">
        <f t="shared" si="32"/>
        <v>0</v>
      </c>
      <c r="AC98" s="205">
        <f t="shared" si="33"/>
        <v>0</v>
      </c>
      <c r="AD98" s="210">
        <f t="shared" si="34"/>
        <v>11.03125</v>
      </c>
      <c r="AE98" s="210">
        <f t="shared" si="35"/>
        <v>11.03125</v>
      </c>
      <c r="AF98" s="210">
        <f t="shared" si="36"/>
        <v>0</v>
      </c>
      <c r="AG98" s="210">
        <f t="shared" si="37"/>
        <v>0</v>
      </c>
    </row>
    <row r="99" spans="2:33" ht="15" customHeight="1" x14ac:dyDescent="0.3">
      <c r="B99" s="196" t="s">
        <v>7</v>
      </c>
      <c r="C99" s="197" t="s">
        <v>15</v>
      </c>
      <c r="D99" s="198" t="str">
        <f t="shared" si="19"/>
        <v>C</v>
      </c>
      <c r="E99" s="199">
        <v>44180.833333333336</v>
      </c>
      <c r="F99" s="200" t="s">
        <v>115</v>
      </c>
      <c r="G99" s="201">
        <v>139.32400000000001</v>
      </c>
      <c r="H99" s="201">
        <v>138.005</v>
      </c>
      <c r="I99" s="202">
        <f t="shared" si="20"/>
        <v>1.3190000000000168</v>
      </c>
      <c r="J99" s="201">
        <v>146.709</v>
      </c>
      <c r="K99" s="199">
        <v>44186</v>
      </c>
      <c r="L99" s="201">
        <v>138.95400000000001</v>
      </c>
      <c r="M99" s="203">
        <f t="shared" si="21"/>
        <v>-0.37</v>
      </c>
      <c r="N99" s="204">
        <f t="shared" si="22"/>
        <v>-0.28000000000000003</v>
      </c>
      <c r="O99" s="205">
        <f t="shared" si="23"/>
        <v>0</v>
      </c>
      <c r="P99" s="206">
        <f t="shared" si="24"/>
        <v>0</v>
      </c>
      <c r="Q99" s="206">
        <f t="shared" si="25"/>
        <v>-0.28000000000000003</v>
      </c>
      <c r="R9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339240</v>
      </c>
      <c r="T9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341700</v>
      </c>
      <c r="U99" s="208">
        <f ca="1">IF(Tabla33610673[[#This Row],[Equity]]&lt;Tabla33610673[[#This Row],[Equity Peak]],(Tabla33610673[[#This Row],[Equity Peak]]-Tabla33610673[[#This Row],[Equity]])/Tabla33610673[[#This Row],[Equity Peak]],"")</f>
        <v>7.1992976294995613E-3</v>
      </c>
      <c r="V99" s="209">
        <f t="shared" si="26"/>
        <v>-0.28000000000000003</v>
      </c>
      <c r="W99" s="209">
        <f t="shared" si="27"/>
        <v>0</v>
      </c>
      <c r="X99" s="209">
        <f t="shared" si="28"/>
        <v>0</v>
      </c>
      <c r="Y99" s="209">
        <f t="shared" si="29"/>
        <v>0</v>
      </c>
      <c r="Z99" s="209">
        <f t="shared" si="30"/>
        <v>0</v>
      </c>
      <c r="AA99" s="205">
        <f t="shared" si="31"/>
        <v>0</v>
      </c>
      <c r="AB99" s="209">
        <f t="shared" si="32"/>
        <v>0</v>
      </c>
      <c r="AC99" s="205">
        <f t="shared" si="33"/>
        <v>0</v>
      </c>
      <c r="AD99" s="210">
        <f t="shared" si="34"/>
        <v>5.1666666666642413</v>
      </c>
      <c r="AE99" s="210">
        <f t="shared" si="35"/>
        <v>0</v>
      </c>
      <c r="AF99" s="210">
        <f t="shared" si="36"/>
        <v>5.1666666666642413</v>
      </c>
      <c r="AG99" s="210">
        <f t="shared" si="37"/>
        <v>0</v>
      </c>
    </row>
    <row r="100" spans="2:33" ht="15" customHeight="1" x14ac:dyDescent="0.3">
      <c r="B100" s="196" t="s">
        <v>7</v>
      </c>
      <c r="C100" s="197" t="s">
        <v>15</v>
      </c>
      <c r="D100" s="198" t="str">
        <f t="shared" si="19"/>
        <v>C</v>
      </c>
      <c r="E100" s="199">
        <v>44181.166666666664</v>
      </c>
      <c r="F100" s="200" t="s">
        <v>114</v>
      </c>
      <c r="G100" s="201">
        <v>1.3439399999999999</v>
      </c>
      <c r="H100" s="201">
        <v>1.3282400000000001</v>
      </c>
      <c r="I100" s="202">
        <f t="shared" si="20"/>
        <v>1.5699999999999825E-2</v>
      </c>
      <c r="J100" s="201">
        <v>1.4067400000000001</v>
      </c>
      <c r="K100" s="199">
        <v>44186</v>
      </c>
      <c r="L100" s="201">
        <v>1.3410200000000001</v>
      </c>
      <c r="M100" s="203">
        <f t="shared" si="21"/>
        <v>-2.8999999999999998E-3</v>
      </c>
      <c r="N100" s="204">
        <f t="shared" si="22"/>
        <v>-0.18</v>
      </c>
      <c r="O100" s="205">
        <f t="shared" si="23"/>
        <v>0</v>
      </c>
      <c r="P100" s="206">
        <f t="shared" si="24"/>
        <v>0</v>
      </c>
      <c r="Q100" s="206">
        <f t="shared" si="25"/>
        <v>-0.18</v>
      </c>
      <c r="R10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339520</v>
      </c>
      <c r="T10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341700</v>
      </c>
      <c r="U100" s="208">
        <f ca="1">IF(Tabla33610673[[#This Row],[Equity]]&lt;Tabla33610673[[#This Row],[Equity Peak]],(Tabla33610673[[#This Row],[Equity Peak]]-Tabla33610673[[#This Row],[Equity]])/Tabla33610673[[#This Row],[Equity Peak]],"")</f>
        <v>6.3798653789874163E-3</v>
      </c>
      <c r="V100" s="209">
        <f t="shared" si="26"/>
        <v>-0.18</v>
      </c>
      <c r="W100" s="209">
        <f t="shared" si="27"/>
        <v>0</v>
      </c>
      <c r="X100" s="209">
        <f t="shared" si="28"/>
        <v>0</v>
      </c>
      <c r="Y100" s="209">
        <f t="shared" si="29"/>
        <v>0</v>
      </c>
      <c r="Z100" s="209">
        <f t="shared" si="30"/>
        <v>0</v>
      </c>
      <c r="AA100" s="205">
        <f t="shared" si="31"/>
        <v>0</v>
      </c>
      <c r="AB100" s="209">
        <f t="shared" si="32"/>
        <v>0</v>
      </c>
      <c r="AC100" s="205">
        <f t="shared" si="33"/>
        <v>0</v>
      </c>
      <c r="AD100" s="210">
        <f t="shared" si="34"/>
        <v>4.8333333333357587</v>
      </c>
      <c r="AE100" s="210">
        <f t="shared" si="35"/>
        <v>0</v>
      </c>
      <c r="AF100" s="210">
        <f t="shared" si="36"/>
        <v>4.8333333333357587</v>
      </c>
      <c r="AG100" s="210">
        <f t="shared" si="37"/>
        <v>0</v>
      </c>
    </row>
    <row r="101" spans="2:33" ht="15" customHeight="1" x14ac:dyDescent="0.3">
      <c r="B101" s="196" t="s">
        <v>5</v>
      </c>
      <c r="C101" s="197" t="s">
        <v>15</v>
      </c>
      <c r="D101" s="198" t="str">
        <f t="shared" si="19"/>
        <v>C</v>
      </c>
      <c r="E101" s="199">
        <v>44182.5</v>
      </c>
      <c r="F101" s="200" t="s">
        <v>93</v>
      </c>
      <c r="G101" s="201">
        <v>3720.99</v>
      </c>
      <c r="H101" s="201">
        <v>3700.81</v>
      </c>
      <c r="I101" s="202">
        <f t="shared" si="20"/>
        <v>20.179999999999836</v>
      </c>
      <c r="J101" s="201">
        <v>3774.81</v>
      </c>
      <c r="K101" s="199">
        <v>44183.714583333334</v>
      </c>
      <c r="L101" s="201">
        <v>3700.81</v>
      </c>
      <c r="M101" s="203">
        <f t="shared" si="21"/>
        <v>-20.18</v>
      </c>
      <c r="N101" s="204">
        <f t="shared" si="22"/>
        <v>-1</v>
      </c>
      <c r="O101" s="205">
        <f t="shared" si="23"/>
        <v>0</v>
      </c>
      <c r="P101" s="206">
        <f t="shared" si="24"/>
        <v>0</v>
      </c>
      <c r="Q101" s="206">
        <f t="shared" si="25"/>
        <v>-1</v>
      </c>
      <c r="R10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339700</v>
      </c>
      <c r="T10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341700</v>
      </c>
      <c r="U101" s="208">
        <f ca="1">IF(Tabla33610673[[#This Row],[Equity]]&lt;Tabla33610673[[#This Row],[Equity Peak]],(Tabla33610673[[#This Row],[Equity Peak]]-Tabla33610673[[#This Row],[Equity]])/Tabla33610673[[#This Row],[Equity Peak]],"")</f>
        <v>5.8530875036581793E-3</v>
      </c>
      <c r="V101" s="209">
        <f t="shared" si="26"/>
        <v>0</v>
      </c>
      <c r="W101" s="209">
        <f t="shared" si="27"/>
        <v>0</v>
      </c>
      <c r="X101" s="209">
        <f t="shared" si="28"/>
        <v>0</v>
      </c>
      <c r="Y101" s="209">
        <f t="shared" si="29"/>
        <v>0</v>
      </c>
      <c r="Z101" s="209">
        <f t="shared" si="30"/>
        <v>-1</v>
      </c>
      <c r="AA101" s="205">
        <f t="shared" si="31"/>
        <v>0</v>
      </c>
      <c r="AB101" s="209">
        <f t="shared" si="32"/>
        <v>0</v>
      </c>
      <c r="AC101" s="205">
        <f t="shared" si="33"/>
        <v>0</v>
      </c>
      <c r="AD101" s="210">
        <f t="shared" si="34"/>
        <v>1.2145833333343035</v>
      </c>
      <c r="AE101" s="210">
        <f t="shared" si="35"/>
        <v>0</v>
      </c>
      <c r="AF101" s="210">
        <f t="shared" si="36"/>
        <v>1.2145833333343035</v>
      </c>
      <c r="AG101" s="210">
        <f t="shared" si="37"/>
        <v>0</v>
      </c>
    </row>
    <row r="102" spans="2:33" ht="15" customHeight="1" x14ac:dyDescent="0.3">
      <c r="B102" s="196" t="s">
        <v>5</v>
      </c>
      <c r="C102" s="197" t="s">
        <v>15</v>
      </c>
      <c r="D102" s="198" t="str">
        <f t="shared" si="19"/>
        <v>C</v>
      </c>
      <c r="E102" s="199">
        <v>44182.340277777781</v>
      </c>
      <c r="F102" s="200" t="s">
        <v>90</v>
      </c>
      <c r="G102" s="201">
        <v>6758.8</v>
      </c>
      <c r="H102" s="201">
        <v>6716.82</v>
      </c>
      <c r="I102" s="202">
        <f t="shared" si="20"/>
        <v>41.980000000000473</v>
      </c>
      <c r="J102" s="201">
        <v>7318.51</v>
      </c>
      <c r="K102" s="199">
        <v>44183.091666666667</v>
      </c>
      <c r="L102" s="201">
        <v>6716.82</v>
      </c>
      <c r="M102" s="203">
        <f t="shared" si="21"/>
        <v>-41.98</v>
      </c>
      <c r="N102" s="204">
        <f t="shared" si="22"/>
        <v>-1</v>
      </c>
      <c r="O102" s="205">
        <f t="shared" si="23"/>
        <v>0</v>
      </c>
      <c r="P102" s="206">
        <f t="shared" si="24"/>
        <v>0</v>
      </c>
      <c r="Q102" s="206">
        <f t="shared" si="25"/>
        <v>-1</v>
      </c>
      <c r="R10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340700</v>
      </c>
      <c r="T10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341700</v>
      </c>
      <c r="U102" s="208">
        <f ca="1">IF(Tabla33610673[[#This Row],[Equity]]&lt;Tabla33610673[[#This Row],[Equity Peak]],(Tabla33610673[[#This Row],[Equity Peak]]-Tabla33610673[[#This Row],[Equity]])/Tabla33610673[[#This Row],[Equity Peak]],"")</f>
        <v>2.9265437518290896E-3</v>
      </c>
      <c r="V102" s="209">
        <f t="shared" si="26"/>
        <v>0</v>
      </c>
      <c r="W102" s="209">
        <f t="shared" si="27"/>
        <v>0</v>
      </c>
      <c r="X102" s="209">
        <f t="shared" si="28"/>
        <v>0</v>
      </c>
      <c r="Y102" s="209">
        <f t="shared" si="29"/>
        <v>0</v>
      </c>
      <c r="Z102" s="209">
        <f t="shared" si="30"/>
        <v>-1</v>
      </c>
      <c r="AA102" s="205">
        <f t="shared" si="31"/>
        <v>0</v>
      </c>
      <c r="AB102" s="209">
        <f t="shared" si="32"/>
        <v>0</v>
      </c>
      <c r="AC102" s="205">
        <f t="shared" si="33"/>
        <v>0</v>
      </c>
      <c r="AD102" s="210">
        <f t="shared" si="34"/>
        <v>0.75138888888614019</v>
      </c>
      <c r="AE102" s="210">
        <f t="shared" si="35"/>
        <v>0</v>
      </c>
      <c r="AF102" s="210">
        <f t="shared" si="36"/>
        <v>0.75138888888614019</v>
      </c>
      <c r="AG102" s="210">
        <f t="shared" si="37"/>
        <v>0</v>
      </c>
    </row>
    <row r="103" spans="2:33" ht="15" customHeight="1" x14ac:dyDescent="0.3">
      <c r="B103" s="196" t="s">
        <v>84</v>
      </c>
      <c r="C103" s="197" t="s">
        <v>15</v>
      </c>
      <c r="D103" s="198" t="str">
        <f t="shared" si="19"/>
        <v>C</v>
      </c>
      <c r="E103" s="199">
        <v>44139.833333333336</v>
      </c>
      <c r="F103" s="200" t="s">
        <v>82</v>
      </c>
      <c r="G103" s="201">
        <v>401.46</v>
      </c>
      <c r="H103" s="201">
        <v>389.06</v>
      </c>
      <c r="I103" s="202">
        <f t="shared" si="20"/>
        <v>12.399999999999977</v>
      </c>
      <c r="J103" s="201">
        <v>632.86</v>
      </c>
      <c r="K103" s="199">
        <v>44182.048611111109</v>
      </c>
      <c r="L103" s="201">
        <v>632.86</v>
      </c>
      <c r="M103" s="203">
        <f t="shared" si="21"/>
        <v>231.4</v>
      </c>
      <c r="N103" s="204">
        <f t="shared" si="22"/>
        <v>18.66</v>
      </c>
      <c r="O103" s="205">
        <f t="shared" si="23"/>
        <v>0</v>
      </c>
      <c r="P103" s="206">
        <f t="shared" si="24"/>
        <v>18.66</v>
      </c>
      <c r="Q103" s="206">
        <f t="shared" si="25"/>
        <v>0</v>
      </c>
      <c r="R10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341700</v>
      </c>
      <c r="T10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341700</v>
      </c>
      <c r="U10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03" s="209">
        <f t="shared" si="26"/>
        <v>0</v>
      </c>
      <c r="W103" s="209">
        <f t="shared" si="27"/>
        <v>0</v>
      </c>
      <c r="X103" s="209">
        <f t="shared" si="28"/>
        <v>0</v>
      </c>
      <c r="Y103" s="209">
        <f t="shared" si="29"/>
        <v>0</v>
      </c>
      <c r="Z103" s="209">
        <f t="shared" si="30"/>
        <v>0</v>
      </c>
      <c r="AA103" s="205">
        <f t="shared" si="31"/>
        <v>0</v>
      </c>
      <c r="AB103" s="209">
        <f t="shared" si="32"/>
        <v>18.66</v>
      </c>
      <c r="AC103" s="205">
        <f t="shared" si="33"/>
        <v>0</v>
      </c>
      <c r="AD103" s="210">
        <f t="shared" si="34"/>
        <v>42.215277777773736</v>
      </c>
      <c r="AE103" s="210">
        <f t="shared" si="35"/>
        <v>42.215277777773736</v>
      </c>
      <c r="AF103" s="210">
        <f t="shared" si="36"/>
        <v>0</v>
      </c>
      <c r="AG103" s="210">
        <f t="shared" si="37"/>
        <v>0</v>
      </c>
    </row>
    <row r="104" spans="2:33" ht="15" customHeight="1" x14ac:dyDescent="0.3">
      <c r="B104" s="196" t="s">
        <v>19</v>
      </c>
      <c r="C104" s="197" t="s">
        <v>13</v>
      </c>
      <c r="D104" s="198" t="str">
        <f t="shared" si="19"/>
        <v>C</v>
      </c>
      <c r="E104" s="199">
        <v>44175.375</v>
      </c>
      <c r="F104" s="200" t="s">
        <v>88</v>
      </c>
      <c r="G104" s="201">
        <v>1835.03</v>
      </c>
      <c r="H104" s="201">
        <v>1864.06</v>
      </c>
      <c r="I104" s="202">
        <f t="shared" si="20"/>
        <v>29.029999999999973</v>
      </c>
      <c r="J104" s="201">
        <v>1649.21</v>
      </c>
      <c r="K104" s="199">
        <v>44180.629861111112</v>
      </c>
      <c r="L104" s="201">
        <v>1849.36</v>
      </c>
      <c r="M104" s="203">
        <f t="shared" si="21"/>
        <v>-14.33</v>
      </c>
      <c r="N104" s="204">
        <f t="shared" si="22"/>
        <v>-0.49</v>
      </c>
      <c r="O104" s="205">
        <f t="shared" si="23"/>
        <v>0</v>
      </c>
      <c r="P104" s="206">
        <f t="shared" si="24"/>
        <v>0</v>
      </c>
      <c r="Q104" s="206">
        <f t="shared" si="25"/>
        <v>-0.49</v>
      </c>
      <c r="R10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323040</v>
      </c>
      <c r="T10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323800</v>
      </c>
      <c r="U104" s="208">
        <f ca="1">IF(Tabla33610673[[#This Row],[Equity]]&lt;Tabla33610673[[#This Row],[Equity Peak]],(Tabla33610673[[#This Row],[Equity Peak]]-Tabla33610673[[#This Row],[Equity]])/Tabla33610673[[#This Row],[Equity Peak]],"")</f>
        <v>2.3471278567016676E-3</v>
      </c>
      <c r="V104" s="209">
        <f t="shared" si="26"/>
        <v>0</v>
      </c>
      <c r="W104" s="209">
        <f t="shared" si="27"/>
        <v>0</v>
      </c>
      <c r="X104" s="209">
        <f t="shared" si="28"/>
        <v>-0.49</v>
      </c>
      <c r="Y104" s="209">
        <f t="shared" si="29"/>
        <v>0</v>
      </c>
      <c r="Z104" s="209">
        <f t="shared" si="30"/>
        <v>0</v>
      </c>
      <c r="AA104" s="205">
        <f t="shared" si="31"/>
        <v>0</v>
      </c>
      <c r="AB104" s="209">
        <f t="shared" si="32"/>
        <v>0</v>
      </c>
      <c r="AC104" s="205">
        <f t="shared" si="33"/>
        <v>0</v>
      </c>
      <c r="AD104" s="210">
        <f t="shared" si="34"/>
        <v>5.2548611111124046</v>
      </c>
      <c r="AE104" s="210">
        <f t="shared" si="35"/>
        <v>0</v>
      </c>
      <c r="AF104" s="210">
        <f t="shared" si="36"/>
        <v>5.2548611111124046</v>
      </c>
      <c r="AG104" s="210">
        <f t="shared" si="37"/>
        <v>0</v>
      </c>
    </row>
    <row r="105" spans="2:33" ht="15" customHeight="1" x14ac:dyDescent="0.3">
      <c r="B105" s="196" t="s">
        <v>7</v>
      </c>
      <c r="C105" s="197" t="s">
        <v>13</v>
      </c>
      <c r="D105" s="198" t="str">
        <f t="shared" si="19"/>
        <v>C</v>
      </c>
      <c r="E105" s="199">
        <v>44174.5</v>
      </c>
      <c r="F105" s="200" t="s">
        <v>120</v>
      </c>
      <c r="G105" s="201">
        <v>1.6221399999999999</v>
      </c>
      <c r="H105" s="201">
        <v>1.62893</v>
      </c>
      <c r="I105" s="202">
        <f t="shared" si="20"/>
        <v>6.7900000000000738E-3</v>
      </c>
      <c r="J105" s="201">
        <v>1.54975</v>
      </c>
      <c r="K105" s="199">
        <v>44180.224999999999</v>
      </c>
      <c r="L105" s="201">
        <v>1.6162099999999999</v>
      </c>
      <c r="M105" s="203">
        <f t="shared" si="21"/>
        <v>5.8999999999999999E-3</v>
      </c>
      <c r="N105" s="204">
        <f t="shared" si="22"/>
        <v>0.87</v>
      </c>
      <c r="O105" s="205">
        <f t="shared" si="23"/>
        <v>0</v>
      </c>
      <c r="P105" s="206">
        <f t="shared" si="24"/>
        <v>0.87</v>
      </c>
      <c r="Q105" s="206">
        <f t="shared" si="25"/>
        <v>0</v>
      </c>
      <c r="R10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323530</v>
      </c>
      <c r="T10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323800</v>
      </c>
      <c r="U105" s="208">
        <f ca="1">IF(Tabla33610673[[#This Row],[Equity]]&lt;Tabla33610673[[#This Row],[Equity Peak]],(Tabla33610673[[#This Row],[Equity Peak]]-Tabla33610673[[#This Row],[Equity]])/Tabla33610673[[#This Row],[Equity Peak]],"")</f>
        <v>8.3384805435453985E-4</v>
      </c>
      <c r="V105" s="209">
        <f t="shared" si="26"/>
        <v>0.87</v>
      </c>
      <c r="W105" s="209">
        <f t="shared" si="27"/>
        <v>0</v>
      </c>
      <c r="X105" s="209">
        <f t="shared" si="28"/>
        <v>0</v>
      </c>
      <c r="Y105" s="209">
        <f t="shared" si="29"/>
        <v>0</v>
      </c>
      <c r="Z105" s="209">
        <f t="shared" si="30"/>
        <v>0</v>
      </c>
      <c r="AA105" s="205">
        <f t="shared" si="31"/>
        <v>0</v>
      </c>
      <c r="AB105" s="209">
        <f t="shared" si="32"/>
        <v>0</v>
      </c>
      <c r="AC105" s="205">
        <f t="shared" si="33"/>
        <v>0</v>
      </c>
      <c r="AD105" s="210">
        <f t="shared" si="34"/>
        <v>5.7249999999985448</v>
      </c>
      <c r="AE105" s="210">
        <f t="shared" si="35"/>
        <v>5.7249999999985448</v>
      </c>
      <c r="AF105" s="210">
        <f t="shared" si="36"/>
        <v>0</v>
      </c>
      <c r="AG105" s="210">
        <f t="shared" si="37"/>
        <v>0</v>
      </c>
    </row>
    <row r="106" spans="2:33" ht="15" customHeight="1" x14ac:dyDescent="0.3">
      <c r="B106" s="196" t="s">
        <v>7</v>
      </c>
      <c r="C106" s="197" t="s">
        <v>13</v>
      </c>
      <c r="D106" s="198" t="str">
        <f t="shared" si="19"/>
        <v>C</v>
      </c>
      <c r="E106" s="199">
        <v>44176.333333333336</v>
      </c>
      <c r="F106" s="200" t="s">
        <v>113</v>
      </c>
      <c r="G106" s="201">
        <v>104.006</v>
      </c>
      <c r="H106" s="201">
        <v>104.649</v>
      </c>
      <c r="I106" s="202">
        <f t="shared" si="20"/>
        <v>0.64300000000000068</v>
      </c>
      <c r="J106" s="201">
        <v>101.004</v>
      </c>
      <c r="K106" s="199">
        <v>44179.714583333334</v>
      </c>
      <c r="L106" s="201">
        <v>103.982</v>
      </c>
      <c r="M106" s="203">
        <f t="shared" si="21"/>
        <v>2.4E-2</v>
      </c>
      <c r="N106" s="204">
        <f t="shared" si="22"/>
        <v>0.04</v>
      </c>
      <c r="O106" s="205">
        <f t="shared" si="23"/>
        <v>0</v>
      </c>
      <c r="P106" s="206">
        <f t="shared" si="24"/>
        <v>0.04</v>
      </c>
      <c r="Q106" s="206">
        <f t="shared" si="25"/>
        <v>0</v>
      </c>
      <c r="R10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322660</v>
      </c>
      <c r="T10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323800</v>
      </c>
      <c r="U106" s="208">
        <f ca="1">IF(Tabla33610673[[#This Row],[Equity]]&lt;Tabla33610673[[#This Row],[Equity Peak]],(Tabla33610673[[#This Row],[Equity Peak]]-Tabla33610673[[#This Row],[Equity]])/Tabla33610673[[#This Row],[Equity Peak]],"")</f>
        <v>3.5206917850525016E-3</v>
      </c>
      <c r="V106" s="209">
        <f t="shared" si="26"/>
        <v>0.04</v>
      </c>
      <c r="W106" s="209">
        <f t="shared" si="27"/>
        <v>0</v>
      </c>
      <c r="X106" s="209">
        <f t="shared" si="28"/>
        <v>0</v>
      </c>
      <c r="Y106" s="209">
        <f t="shared" si="29"/>
        <v>0</v>
      </c>
      <c r="Z106" s="209">
        <f t="shared" si="30"/>
        <v>0</v>
      </c>
      <c r="AA106" s="205">
        <f t="shared" si="31"/>
        <v>0</v>
      </c>
      <c r="AB106" s="209">
        <f t="shared" si="32"/>
        <v>0</v>
      </c>
      <c r="AC106" s="205">
        <f t="shared" si="33"/>
        <v>0</v>
      </c>
      <c r="AD106" s="210">
        <f t="shared" si="34"/>
        <v>3.3812499999985448</v>
      </c>
      <c r="AE106" s="210">
        <f t="shared" si="35"/>
        <v>3.3812499999985448</v>
      </c>
      <c r="AF106" s="210">
        <f t="shared" si="36"/>
        <v>0</v>
      </c>
      <c r="AG106" s="210">
        <f t="shared" si="37"/>
        <v>0</v>
      </c>
    </row>
    <row r="107" spans="2:33" ht="15" customHeight="1" x14ac:dyDescent="0.3">
      <c r="B107" s="196" t="s">
        <v>7</v>
      </c>
      <c r="C107" s="197" t="s">
        <v>13</v>
      </c>
      <c r="D107" s="198" t="str">
        <f t="shared" si="19"/>
        <v>C</v>
      </c>
      <c r="E107" s="199">
        <v>44176.833333333336</v>
      </c>
      <c r="F107" s="200" t="s">
        <v>115</v>
      </c>
      <c r="G107" s="201">
        <v>137.44499999999999</v>
      </c>
      <c r="H107" s="201">
        <v>138.965</v>
      </c>
      <c r="I107" s="202">
        <f t="shared" si="20"/>
        <v>1.5200000000000102</v>
      </c>
      <c r="J107" s="201">
        <v>128.93600000000001</v>
      </c>
      <c r="K107" s="199">
        <v>44179.002083333333</v>
      </c>
      <c r="L107" s="201">
        <v>138.965</v>
      </c>
      <c r="M107" s="203">
        <f t="shared" si="21"/>
        <v>-1.52</v>
      </c>
      <c r="N107" s="204">
        <f t="shared" si="22"/>
        <v>-1</v>
      </c>
      <c r="O107" s="205">
        <f t="shared" si="23"/>
        <v>0</v>
      </c>
      <c r="P107" s="206">
        <f t="shared" si="24"/>
        <v>0</v>
      </c>
      <c r="Q107" s="206">
        <f t="shared" si="25"/>
        <v>-1</v>
      </c>
      <c r="R10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322620</v>
      </c>
      <c r="T10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323800</v>
      </c>
      <c r="U107" s="208">
        <f ca="1">IF(Tabla33610673[[#This Row],[Equity]]&lt;Tabla33610673[[#This Row],[Equity Peak]],(Tabla33610673[[#This Row],[Equity Peak]]-Tabla33610673[[#This Row],[Equity]])/Tabla33610673[[#This Row],[Equity Peak]],"")</f>
        <v>3.6442248301420629E-3</v>
      </c>
      <c r="V107" s="209">
        <f t="shared" si="26"/>
        <v>-1</v>
      </c>
      <c r="W107" s="209">
        <f t="shared" si="27"/>
        <v>0</v>
      </c>
      <c r="X107" s="209">
        <f t="shared" si="28"/>
        <v>0</v>
      </c>
      <c r="Y107" s="209">
        <f t="shared" si="29"/>
        <v>0</v>
      </c>
      <c r="Z107" s="209">
        <f t="shared" si="30"/>
        <v>0</v>
      </c>
      <c r="AA107" s="205">
        <f t="shared" si="31"/>
        <v>0</v>
      </c>
      <c r="AB107" s="209">
        <f t="shared" si="32"/>
        <v>0</v>
      </c>
      <c r="AC107" s="205">
        <f t="shared" si="33"/>
        <v>0</v>
      </c>
      <c r="AD107" s="210">
        <f t="shared" si="34"/>
        <v>2.1687499999970896</v>
      </c>
      <c r="AE107" s="210">
        <f t="shared" si="35"/>
        <v>0</v>
      </c>
      <c r="AF107" s="210">
        <f t="shared" si="36"/>
        <v>2.1687499999970896</v>
      </c>
      <c r="AG107" s="210">
        <f t="shared" si="37"/>
        <v>0</v>
      </c>
    </row>
    <row r="108" spans="2:33" ht="15" customHeight="1" x14ac:dyDescent="0.3">
      <c r="B108" s="196" t="s">
        <v>5</v>
      </c>
      <c r="C108" s="197" t="s">
        <v>15</v>
      </c>
      <c r="D108" s="198" t="str">
        <f t="shared" si="19"/>
        <v>C</v>
      </c>
      <c r="E108" s="199">
        <v>44144.541666666664</v>
      </c>
      <c r="F108" s="200" t="s">
        <v>91</v>
      </c>
      <c r="G108" s="201">
        <v>12723.75</v>
      </c>
      <c r="H108" s="201">
        <v>12312.45</v>
      </c>
      <c r="I108" s="202">
        <f t="shared" si="20"/>
        <v>411.29999999999927</v>
      </c>
      <c r="J108" s="201">
        <v>14368.93</v>
      </c>
      <c r="K108" s="199">
        <v>44176.537499999999</v>
      </c>
      <c r="L108" s="201">
        <v>13068.94</v>
      </c>
      <c r="M108" s="203">
        <f t="shared" si="21"/>
        <v>345.19</v>
      </c>
      <c r="N108" s="204">
        <f t="shared" si="22"/>
        <v>0.84</v>
      </c>
      <c r="O108" s="205">
        <f t="shared" si="23"/>
        <v>0</v>
      </c>
      <c r="P108" s="206">
        <f t="shared" si="24"/>
        <v>0.84</v>
      </c>
      <c r="Q108" s="206">
        <f t="shared" si="25"/>
        <v>0</v>
      </c>
      <c r="R10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323620</v>
      </c>
      <c r="T10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323800</v>
      </c>
      <c r="U108" s="208">
        <f ca="1">IF(Tabla33610673[[#This Row],[Equity]]&lt;Tabla33610673[[#This Row],[Equity Peak]],(Tabla33610673[[#This Row],[Equity Peak]]-Tabla33610673[[#This Row],[Equity]])/Tabla33610673[[#This Row],[Equity Peak]],"")</f>
        <v>5.5589870290302656E-4</v>
      </c>
      <c r="V108" s="209">
        <f t="shared" si="26"/>
        <v>0</v>
      </c>
      <c r="W108" s="209">
        <f t="shared" si="27"/>
        <v>0</v>
      </c>
      <c r="X108" s="209">
        <f t="shared" si="28"/>
        <v>0</v>
      </c>
      <c r="Y108" s="209">
        <f t="shared" si="29"/>
        <v>0</v>
      </c>
      <c r="Z108" s="209">
        <f t="shared" si="30"/>
        <v>0.84</v>
      </c>
      <c r="AA108" s="205">
        <f t="shared" si="31"/>
        <v>0</v>
      </c>
      <c r="AB108" s="209">
        <f t="shared" si="32"/>
        <v>0</v>
      </c>
      <c r="AC108" s="205">
        <f t="shared" si="33"/>
        <v>0</v>
      </c>
      <c r="AD108" s="210">
        <f t="shared" si="34"/>
        <v>31.995833333334303</v>
      </c>
      <c r="AE108" s="210">
        <f t="shared" si="35"/>
        <v>31.995833333334303</v>
      </c>
      <c r="AF108" s="210">
        <f t="shared" si="36"/>
        <v>0</v>
      </c>
      <c r="AG108" s="210">
        <f t="shared" si="37"/>
        <v>0</v>
      </c>
    </row>
    <row r="109" spans="2:33" ht="15" customHeight="1" x14ac:dyDescent="0.3">
      <c r="B109" s="196" t="s">
        <v>5</v>
      </c>
      <c r="C109" s="197" t="s">
        <v>15</v>
      </c>
      <c r="D109" s="198" t="str">
        <f t="shared" si="19"/>
        <v>C</v>
      </c>
      <c r="E109" s="199">
        <v>44166.666666666664</v>
      </c>
      <c r="F109" s="200" t="s">
        <v>94</v>
      </c>
      <c r="G109" s="201">
        <v>6377.52</v>
      </c>
      <c r="H109" s="201">
        <v>6265.88</v>
      </c>
      <c r="I109" s="202">
        <f t="shared" si="20"/>
        <v>111.64000000000033</v>
      </c>
      <c r="J109" s="201">
        <v>6935.73</v>
      </c>
      <c r="K109" s="199">
        <v>44176.443749999999</v>
      </c>
      <c r="L109" s="201">
        <v>6539.27</v>
      </c>
      <c r="M109" s="203">
        <f t="shared" si="21"/>
        <v>161.75</v>
      </c>
      <c r="N109" s="204">
        <f t="shared" si="22"/>
        <v>1.45</v>
      </c>
      <c r="O109" s="205">
        <f t="shared" si="23"/>
        <v>0</v>
      </c>
      <c r="P109" s="206">
        <f t="shared" si="24"/>
        <v>1.45</v>
      </c>
      <c r="Q109" s="206">
        <f t="shared" si="25"/>
        <v>0</v>
      </c>
      <c r="R10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322780</v>
      </c>
      <c r="T10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323800</v>
      </c>
      <c r="U109" s="208">
        <f ca="1">IF(Tabla33610673[[#This Row],[Equity]]&lt;Tabla33610673[[#This Row],[Equity Peak]],(Tabla33610673[[#This Row],[Equity Peak]]-Tabla33610673[[#This Row],[Equity]])/Tabla33610673[[#This Row],[Equity Peak]],"")</f>
        <v>3.1500926497838172E-3</v>
      </c>
      <c r="V109" s="209">
        <f t="shared" si="26"/>
        <v>0</v>
      </c>
      <c r="W109" s="209">
        <f t="shared" si="27"/>
        <v>0</v>
      </c>
      <c r="X109" s="209">
        <f t="shared" si="28"/>
        <v>0</v>
      </c>
      <c r="Y109" s="209">
        <f t="shared" si="29"/>
        <v>0</v>
      </c>
      <c r="Z109" s="209">
        <f t="shared" si="30"/>
        <v>1.45</v>
      </c>
      <c r="AA109" s="205">
        <f t="shared" si="31"/>
        <v>0</v>
      </c>
      <c r="AB109" s="209">
        <f t="shared" si="32"/>
        <v>0</v>
      </c>
      <c r="AC109" s="205">
        <f t="shared" si="33"/>
        <v>0</v>
      </c>
      <c r="AD109" s="210">
        <f t="shared" si="34"/>
        <v>9.7770833333343035</v>
      </c>
      <c r="AE109" s="210">
        <f t="shared" si="35"/>
        <v>9.7770833333343035</v>
      </c>
      <c r="AF109" s="210">
        <f t="shared" si="36"/>
        <v>0</v>
      </c>
      <c r="AG109" s="210">
        <f t="shared" si="37"/>
        <v>0</v>
      </c>
    </row>
    <row r="110" spans="2:33" ht="15" customHeight="1" x14ac:dyDescent="0.3">
      <c r="B110" s="196" t="s">
        <v>5</v>
      </c>
      <c r="C110" s="197" t="s">
        <v>15</v>
      </c>
      <c r="D110" s="198" t="str">
        <f t="shared" si="19"/>
        <v>C</v>
      </c>
      <c r="E110" s="199">
        <v>44172.708333333336</v>
      </c>
      <c r="F110" s="200" t="s">
        <v>92</v>
      </c>
      <c r="G110" s="201">
        <v>12584.5</v>
      </c>
      <c r="H110" s="201">
        <v>12246.19</v>
      </c>
      <c r="I110" s="202">
        <f t="shared" si="20"/>
        <v>338.30999999999949</v>
      </c>
      <c r="J110" s="201">
        <v>14839.88</v>
      </c>
      <c r="K110" s="199">
        <v>44175.67291666667</v>
      </c>
      <c r="L110" s="201">
        <v>12246.19</v>
      </c>
      <c r="M110" s="203">
        <f t="shared" si="21"/>
        <v>-338.31</v>
      </c>
      <c r="N110" s="204">
        <f t="shared" si="22"/>
        <v>-1</v>
      </c>
      <c r="O110" s="205">
        <f t="shared" si="23"/>
        <v>0</v>
      </c>
      <c r="P110" s="206">
        <f t="shared" si="24"/>
        <v>0</v>
      </c>
      <c r="Q110" s="206">
        <f t="shared" si="25"/>
        <v>-1</v>
      </c>
      <c r="R11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321330</v>
      </c>
      <c r="T11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323800</v>
      </c>
      <c r="U110" s="208">
        <f ca="1">IF(Tabla33610673[[#This Row],[Equity]]&lt;Tabla33610673[[#This Row],[Equity Peak]],(Tabla33610673[[#This Row],[Equity Peak]]-Tabla33610673[[#This Row],[Equity]])/Tabla33610673[[#This Row],[Equity Peak]],"")</f>
        <v>7.6281655342804204E-3</v>
      </c>
      <c r="V110" s="209">
        <f t="shared" si="26"/>
        <v>0</v>
      </c>
      <c r="W110" s="209">
        <f t="shared" si="27"/>
        <v>0</v>
      </c>
      <c r="X110" s="209">
        <f t="shared" si="28"/>
        <v>0</v>
      </c>
      <c r="Y110" s="209">
        <f t="shared" si="29"/>
        <v>0</v>
      </c>
      <c r="Z110" s="209">
        <f t="shared" si="30"/>
        <v>-1</v>
      </c>
      <c r="AA110" s="205">
        <f t="shared" si="31"/>
        <v>0</v>
      </c>
      <c r="AB110" s="209">
        <f t="shared" si="32"/>
        <v>0</v>
      </c>
      <c r="AC110" s="205">
        <f t="shared" si="33"/>
        <v>0</v>
      </c>
      <c r="AD110" s="210">
        <f t="shared" si="34"/>
        <v>2.9645833333343035</v>
      </c>
      <c r="AE110" s="210">
        <f t="shared" si="35"/>
        <v>0</v>
      </c>
      <c r="AF110" s="210">
        <f t="shared" si="36"/>
        <v>2.9645833333343035</v>
      </c>
      <c r="AG110" s="210">
        <f t="shared" si="37"/>
        <v>0</v>
      </c>
    </row>
    <row r="111" spans="2:33" ht="15" customHeight="1" x14ac:dyDescent="0.3">
      <c r="B111" s="196" t="s">
        <v>7</v>
      </c>
      <c r="C111" s="197" t="s">
        <v>15</v>
      </c>
      <c r="D111" s="198" t="str">
        <f t="shared" si="19"/>
        <v>C</v>
      </c>
      <c r="E111" s="199">
        <v>44174.5</v>
      </c>
      <c r="F111" s="200" t="s">
        <v>122</v>
      </c>
      <c r="G111" s="201">
        <v>77.805999999999997</v>
      </c>
      <c r="H111" s="201">
        <v>77.448999999999998</v>
      </c>
      <c r="I111" s="202">
        <f t="shared" si="20"/>
        <v>0.35699999999999932</v>
      </c>
      <c r="J111" s="201">
        <v>83.988</v>
      </c>
      <c r="K111" s="199">
        <v>44174.872916666667</v>
      </c>
      <c r="L111" s="201">
        <v>77.448999999999998</v>
      </c>
      <c r="M111" s="203">
        <f t="shared" si="21"/>
        <v>-0.35699999999999998</v>
      </c>
      <c r="N111" s="204">
        <f t="shared" si="22"/>
        <v>-1</v>
      </c>
      <c r="O111" s="205">
        <f t="shared" si="23"/>
        <v>0</v>
      </c>
      <c r="P111" s="206">
        <f t="shared" si="24"/>
        <v>0</v>
      </c>
      <c r="Q111" s="206">
        <f t="shared" si="25"/>
        <v>-1</v>
      </c>
      <c r="R11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322330</v>
      </c>
      <c r="T11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323800</v>
      </c>
      <c r="U111" s="208">
        <f ca="1">IF(Tabla33610673[[#This Row],[Equity]]&lt;Tabla33610673[[#This Row],[Equity Peak]],(Tabla33610673[[#This Row],[Equity Peak]]-Tabla33610673[[#This Row],[Equity]])/Tabla33610673[[#This Row],[Equity Peak]],"")</f>
        <v>4.5398394070413836E-3</v>
      </c>
      <c r="V111" s="209">
        <f t="shared" si="26"/>
        <v>-1</v>
      </c>
      <c r="W111" s="209">
        <f t="shared" si="27"/>
        <v>0</v>
      </c>
      <c r="X111" s="209">
        <f t="shared" si="28"/>
        <v>0</v>
      </c>
      <c r="Y111" s="209">
        <f t="shared" si="29"/>
        <v>0</v>
      </c>
      <c r="Z111" s="209">
        <f t="shared" si="30"/>
        <v>0</v>
      </c>
      <c r="AA111" s="205">
        <f t="shared" si="31"/>
        <v>0</v>
      </c>
      <c r="AB111" s="209">
        <f t="shared" si="32"/>
        <v>0</v>
      </c>
      <c r="AC111" s="205">
        <f t="shared" si="33"/>
        <v>0</v>
      </c>
      <c r="AD111" s="210">
        <f t="shared" si="34"/>
        <v>0.37291666666715173</v>
      </c>
      <c r="AE111" s="210">
        <f t="shared" si="35"/>
        <v>0</v>
      </c>
      <c r="AF111" s="210">
        <f t="shared" si="36"/>
        <v>0.37291666666715173</v>
      </c>
      <c r="AG111" s="210">
        <f t="shared" si="37"/>
        <v>0</v>
      </c>
    </row>
    <row r="112" spans="2:33" ht="15" customHeight="1" x14ac:dyDescent="0.3">
      <c r="B112" s="196" t="s">
        <v>84</v>
      </c>
      <c r="C112" s="197" t="s">
        <v>13</v>
      </c>
      <c r="D112" s="198" t="str">
        <f t="shared" si="19"/>
        <v>C</v>
      </c>
      <c r="E112" s="199">
        <v>44174.166666666664</v>
      </c>
      <c r="F112" s="200" t="s">
        <v>80</v>
      </c>
      <c r="G112" s="201">
        <v>18189</v>
      </c>
      <c r="H112" s="201">
        <v>18814.11</v>
      </c>
      <c r="I112" s="202">
        <f t="shared" si="20"/>
        <v>625.11000000000058</v>
      </c>
      <c r="J112" s="201">
        <v>8812.39</v>
      </c>
      <c r="K112" s="199">
        <v>44174.61041666667</v>
      </c>
      <c r="L112" s="201">
        <v>18480.09</v>
      </c>
      <c r="M112" s="203">
        <f t="shared" si="21"/>
        <v>-291.08999999999997</v>
      </c>
      <c r="N112" s="204">
        <f t="shared" si="22"/>
        <v>-0.47</v>
      </c>
      <c r="O112" s="205">
        <f t="shared" si="23"/>
        <v>0</v>
      </c>
      <c r="P112" s="206">
        <f t="shared" si="24"/>
        <v>0</v>
      </c>
      <c r="Q112" s="206">
        <f t="shared" si="25"/>
        <v>-0.47</v>
      </c>
      <c r="R11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323330</v>
      </c>
      <c r="T11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323800</v>
      </c>
      <c r="U112" s="208">
        <f ca="1">IF(Tabla33610673[[#This Row],[Equity]]&lt;Tabla33610673[[#This Row],[Equity Peak]],(Tabla33610673[[#This Row],[Equity Peak]]-Tabla33610673[[#This Row],[Equity]])/Tabla33610673[[#This Row],[Equity Peak]],"")</f>
        <v>1.4515132798023471E-3</v>
      </c>
      <c r="V112" s="209">
        <f t="shared" si="26"/>
        <v>0</v>
      </c>
      <c r="W112" s="209">
        <f t="shared" si="27"/>
        <v>0</v>
      </c>
      <c r="X112" s="209">
        <f t="shared" si="28"/>
        <v>0</v>
      </c>
      <c r="Y112" s="209">
        <f t="shared" si="29"/>
        <v>0</v>
      </c>
      <c r="Z112" s="209">
        <f t="shared" si="30"/>
        <v>0</v>
      </c>
      <c r="AA112" s="205">
        <f t="shared" si="31"/>
        <v>0</v>
      </c>
      <c r="AB112" s="209">
        <f t="shared" si="32"/>
        <v>-0.47</v>
      </c>
      <c r="AC112" s="205">
        <f t="shared" si="33"/>
        <v>0</v>
      </c>
      <c r="AD112" s="210">
        <f t="shared" si="34"/>
        <v>0.44375000000582077</v>
      </c>
      <c r="AE112" s="210">
        <f t="shared" si="35"/>
        <v>0</v>
      </c>
      <c r="AF112" s="210">
        <f t="shared" si="36"/>
        <v>0.44375000000582077</v>
      </c>
      <c r="AG112" s="210">
        <f t="shared" si="37"/>
        <v>0</v>
      </c>
    </row>
    <row r="113" spans="2:33" ht="15" customHeight="1" x14ac:dyDescent="0.3">
      <c r="B113" s="196" t="s">
        <v>7</v>
      </c>
      <c r="C113" s="197" t="s">
        <v>15</v>
      </c>
      <c r="D113" s="198" t="str">
        <f t="shared" si="19"/>
        <v>C</v>
      </c>
      <c r="E113" s="199">
        <v>44139.5</v>
      </c>
      <c r="F113" s="200" t="s">
        <v>121</v>
      </c>
      <c r="G113" s="201">
        <v>0.70981000000000005</v>
      </c>
      <c r="H113" s="201">
        <v>0.70286000000000004</v>
      </c>
      <c r="I113" s="202">
        <f t="shared" si="20"/>
        <v>6.9500000000000117E-3</v>
      </c>
      <c r="J113" s="201">
        <v>0.74690000000000001</v>
      </c>
      <c r="K113" s="199">
        <v>44174.45416666667</v>
      </c>
      <c r="L113" s="201">
        <v>0.74690000000000001</v>
      </c>
      <c r="M113" s="203">
        <f t="shared" si="21"/>
        <v>3.7100000000000001E-2</v>
      </c>
      <c r="N113" s="204">
        <f t="shared" si="22"/>
        <v>5.34</v>
      </c>
      <c r="O113" s="205">
        <f t="shared" si="23"/>
        <v>0</v>
      </c>
      <c r="P113" s="206">
        <f t="shared" si="24"/>
        <v>5.34</v>
      </c>
      <c r="Q113" s="206">
        <f t="shared" si="25"/>
        <v>0</v>
      </c>
      <c r="R11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323800</v>
      </c>
      <c r="T11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323800</v>
      </c>
      <c r="U11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13" s="209">
        <f t="shared" si="26"/>
        <v>5.34</v>
      </c>
      <c r="W113" s="209">
        <f t="shared" si="27"/>
        <v>0</v>
      </c>
      <c r="X113" s="209">
        <f t="shared" si="28"/>
        <v>0</v>
      </c>
      <c r="Y113" s="209">
        <f t="shared" si="29"/>
        <v>0</v>
      </c>
      <c r="Z113" s="209">
        <f t="shared" si="30"/>
        <v>0</v>
      </c>
      <c r="AA113" s="205">
        <f t="shared" si="31"/>
        <v>0</v>
      </c>
      <c r="AB113" s="209">
        <f t="shared" si="32"/>
        <v>0</v>
      </c>
      <c r="AC113" s="205">
        <f t="shared" si="33"/>
        <v>0</v>
      </c>
      <c r="AD113" s="210">
        <f t="shared" si="34"/>
        <v>34.954166666670062</v>
      </c>
      <c r="AE113" s="210">
        <f t="shared" si="35"/>
        <v>34.954166666670062</v>
      </c>
      <c r="AF113" s="210">
        <f t="shared" si="36"/>
        <v>0</v>
      </c>
      <c r="AG113" s="210">
        <f t="shared" si="37"/>
        <v>0</v>
      </c>
    </row>
    <row r="114" spans="2:33" ht="15" customHeight="1" x14ac:dyDescent="0.3">
      <c r="B114" s="196" t="s">
        <v>7</v>
      </c>
      <c r="C114" s="197" t="s">
        <v>15</v>
      </c>
      <c r="D114" s="198" t="str">
        <f t="shared" si="19"/>
        <v>C</v>
      </c>
      <c r="E114" s="199">
        <v>44167.166666666664</v>
      </c>
      <c r="F114" s="200" t="s">
        <v>119</v>
      </c>
      <c r="G114" s="201">
        <v>0.89995000000000003</v>
      </c>
      <c r="H114" s="201">
        <v>0.89549999999999996</v>
      </c>
      <c r="I114" s="202">
        <f t="shared" si="20"/>
        <v>4.450000000000065E-3</v>
      </c>
      <c r="J114" s="201">
        <v>0.91181000000000001</v>
      </c>
      <c r="K114" s="199">
        <v>44172.433333333334</v>
      </c>
      <c r="L114" s="201">
        <v>0.91181000000000001</v>
      </c>
      <c r="M114" s="203">
        <f t="shared" si="21"/>
        <v>1.1900000000000001E-2</v>
      </c>
      <c r="N114" s="204">
        <f t="shared" si="22"/>
        <v>2.67</v>
      </c>
      <c r="O114" s="205">
        <f t="shared" si="23"/>
        <v>0</v>
      </c>
      <c r="P114" s="206">
        <f t="shared" si="24"/>
        <v>2.67</v>
      </c>
      <c r="Q114" s="206">
        <f t="shared" si="25"/>
        <v>0</v>
      </c>
      <c r="R11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318460</v>
      </c>
      <c r="T11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318460</v>
      </c>
      <c r="U11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14" s="209">
        <f t="shared" si="26"/>
        <v>2.67</v>
      </c>
      <c r="W114" s="209">
        <f t="shared" si="27"/>
        <v>0</v>
      </c>
      <c r="X114" s="209">
        <f t="shared" si="28"/>
        <v>0</v>
      </c>
      <c r="Y114" s="209">
        <f t="shared" si="29"/>
        <v>0</v>
      </c>
      <c r="Z114" s="209">
        <f t="shared" si="30"/>
        <v>0</v>
      </c>
      <c r="AA114" s="205">
        <f t="shared" si="31"/>
        <v>0</v>
      </c>
      <c r="AB114" s="209">
        <f t="shared" si="32"/>
        <v>0</v>
      </c>
      <c r="AC114" s="205">
        <f t="shared" si="33"/>
        <v>0</v>
      </c>
      <c r="AD114" s="210">
        <f t="shared" si="34"/>
        <v>5.2666666666700621</v>
      </c>
      <c r="AE114" s="210">
        <f t="shared" si="35"/>
        <v>5.2666666666700621</v>
      </c>
      <c r="AF114" s="210">
        <f t="shared" si="36"/>
        <v>0</v>
      </c>
      <c r="AG114" s="210">
        <f t="shared" si="37"/>
        <v>0</v>
      </c>
    </row>
    <row r="115" spans="2:33" ht="15" customHeight="1" x14ac:dyDescent="0.3">
      <c r="B115" s="196" t="s">
        <v>7</v>
      </c>
      <c r="C115" s="197" t="s">
        <v>15</v>
      </c>
      <c r="D115" s="198" t="str">
        <f t="shared" si="19"/>
        <v>C</v>
      </c>
      <c r="E115" s="199">
        <v>44140.666666666664</v>
      </c>
      <c r="F115" s="200" t="s">
        <v>114</v>
      </c>
      <c r="G115" s="201">
        <v>1.3087599999999999</v>
      </c>
      <c r="H115" s="201">
        <v>1.2898499999999999</v>
      </c>
      <c r="I115" s="202">
        <f t="shared" si="20"/>
        <v>1.8909999999999982E-2</v>
      </c>
      <c r="J115" s="201">
        <v>1.3844099999999999</v>
      </c>
      <c r="K115" s="199">
        <v>44172.431250000001</v>
      </c>
      <c r="L115" s="201">
        <v>1.329</v>
      </c>
      <c r="M115" s="203">
        <f t="shared" si="21"/>
        <v>2.0199999999999999E-2</v>
      </c>
      <c r="N115" s="204">
        <f t="shared" si="22"/>
        <v>1.07</v>
      </c>
      <c r="O115" s="205">
        <f t="shared" si="23"/>
        <v>0</v>
      </c>
      <c r="P115" s="206">
        <f t="shared" si="24"/>
        <v>1.07</v>
      </c>
      <c r="Q115" s="206">
        <f t="shared" si="25"/>
        <v>0</v>
      </c>
      <c r="R11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315790</v>
      </c>
      <c r="T11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317050</v>
      </c>
      <c r="U115" s="208">
        <f ca="1">IF(Tabla33610673[[#This Row],[Equity]]&lt;Tabla33610673[[#This Row],[Equity Peak]],(Tabla33610673[[#This Row],[Equity Peak]]-Tabla33610673[[#This Row],[Equity]])/Tabla33610673[[#This Row],[Equity Peak]],"")</f>
        <v>3.9741365715186879E-3</v>
      </c>
      <c r="V115" s="209">
        <f t="shared" si="26"/>
        <v>1.07</v>
      </c>
      <c r="W115" s="209">
        <f t="shared" si="27"/>
        <v>0</v>
      </c>
      <c r="X115" s="209">
        <f t="shared" si="28"/>
        <v>0</v>
      </c>
      <c r="Y115" s="209">
        <f t="shared" si="29"/>
        <v>0</v>
      </c>
      <c r="Z115" s="209">
        <f t="shared" si="30"/>
        <v>0</v>
      </c>
      <c r="AA115" s="205">
        <f t="shared" si="31"/>
        <v>0</v>
      </c>
      <c r="AB115" s="209">
        <f t="shared" si="32"/>
        <v>0</v>
      </c>
      <c r="AC115" s="205">
        <f t="shared" si="33"/>
        <v>0</v>
      </c>
      <c r="AD115" s="210">
        <f t="shared" si="34"/>
        <v>31.764583333337214</v>
      </c>
      <c r="AE115" s="210">
        <f t="shared" si="35"/>
        <v>31.764583333337214</v>
      </c>
      <c r="AF115" s="210">
        <f t="shared" si="36"/>
        <v>0</v>
      </c>
      <c r="AG115" s="210">
        <f t="shared" si="37"/>
        <v>0</v>
      </c>
    </row>
    <row r="116" spans="2:33" ht="15" customHeight="1" x14ac:dyDescent="0.3">
      <c r="B116" s="196" t="s">
        <v>7</v>
      </c>
      <c r="C116" s="197" t="s">
        <v>15</v>
      </c>
      <c r="D116" s="198" t="str">
        <f t="shared" si="19"/>
        <v>C</v>
      </c>
      <c r="E116" s="199">
        <v>44166.833333333336</v>
      </c>
      <c r="F116" s="200" t="s">
        <v>117</v>
      </c>
      <c r="G116" s="201">
        <v>1.20452</v>
      </c>
      <c r="H116" s="201">
        <v>1.1970499999999999</v>
      </c>
      <c r="I116" s="202">
        <f t="shared" si="20"/>
        <v>7.4700000000000877E-3</v>
      </c>
      <c r="J116" s="201">
        <v>1.2523</v>
      </c>
      <c r="K116" s="199">
        <v>44172.42291666667</v>
      </c>
      <c r="L116" s="201">
        <v>1.2109099999999999</v>
      </c>
      <c r="M116" s="203">
        <f t="shared" si="21"/>
        <v>6.4000000000000003E-3</v>
      </c>
      <c r="N116" s="204">
        <f t="shared" si="22"/>
        <v>0.86</v>
      </c>
      <c r="O116" s="205">
        <f t="shared" si="23"/>
        <v>0</v>
      </c>
      <c r="P116" s="206">
        <f t="shared" si="24"/>
        <v>0.86</v>
      </c>
      <c r="Q116" s="206">
        <f t="shared" si="25"/>
        <v>0</v>
      </c>
      <c r="R11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314720</v>
      </c>
      <c r="T11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317050</v>
      </c>
      <c r="U116" s="208">
        <f ca="1">IF(Tabla33610673[[#This Row],[Equity]]&lt;Tabla33610673[[#This Row],[Equity Peak]],(Tabla33610673[[#This Row],[Equity Peak]]-Tabla33610673[[#This Row],[Equity]])/Tabla33610673[[#This Row],[Equity Peak]],"")</f>
        <v>7.3489985806655103E-3</v>
      </c>
      <c r="V116" s="209">
        <f t="shared" si="26"/>
        <v>0.86</v>
      </c>
      <c r="W116" s="209">
        <f t="shared" si="27"/>
        <v>0</v>
      </c>
      <c r="X116" s="209">
        <f t="shared" si="28"/>
        <v>0</v>
      </c>
      <c r="Y116" s="209">
        <f t="shared" si="29"/>
        <v>0</v>
      </c>
      <c r="Z116" s="209">
        <f t="shared" si="30"/>
        <v>0</v>
      </c>
      <c r="AA116" s="205">
        <f t="shared" si="31"/>
        <v>0</v>
      </c>
      <c r="AB116" s="209">
        <f t="shared" si="32"/>
        <v>0</v>
      </c>
      <c r="AC116" s="205">
        <f t="shared" si="33"/>
        <v>0</v>
      </c>
      <c r="AD116" s="210">
        <f t="shared" si="34"/>
        <v>5.5895833333343035</v>
      </c>
      <c r="AE116" s="210">
        <f t="shared" si="35"/>
        <v>5.5895833333343035</v>
      </c>
      <c r="AF116" s="210">
        <f t="shared" si="36"/>
        <v>0</v>
      </c>
      <c r="AG116" s="210">
        <f t="shared" si="37"/>
        <v>0</v>
      </c>
    </row>
    <row r="117" spans="2:33" ht="15" customHeight="1" x14ac:dyDescent="0.3">
      <c r="B117" s="196" t="s">
        <v>7</v>
      </c>
      <c r="C117" s="197" t="s">
        <v>13</v>
      </c>
      <c r="D117" s="198" t="str">
        <f t="shared" si="19"/>
        <v>C</v>
      </c>
      <c r="E117" s="199">
        <v>44168.833333333336</v>
      </c>
      <c r="F117" s="200" t="s">
        <v>113</v>
      </c>
      <c r="G117" s="201">
        <v>103.883</v>
      </c>
      <c r="H117" s="201">
        <v>104.551</v>
      </c>
      <c r="I117" s="202">
        <f t="shared" si="20"/>
        <v>0.66800000000000637</v>
      </c>
      <c r="J117" s="201">
        <v>100.768</v>
      </c>
      <c r="K117" s="199">
        <v>44169.724999999999</v>
      </c>
      <c r="L117" s="201">
        <v>104.15</v>
      </c>
      <c r="M117" s="203">
        <f t="shared" si="21"/>
        <v>-0.26700000000000002</v>
      </c>
      <c r="N117" s="204">
        <f t="shared" si="22"/>
        <v>-0.4</v>
      </c>
      <c r="O117" s="205">
        <f t="shared" si="23"/>
        <v>0</v>
      </c>
      <c r="P117" s="206">
        <f t="shared" si="24"/>
        <v>0</v>
      </c>
      <c r="Q117" s="206">
        <f t="shared" si="25"/>
        <v>-0.4</v>
      </c>
      <c r="R1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313860</v>
      </c>
      <c r="T1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317050</v>
      </c>
      <c r="U117" s="208">
        <f ca="1">IF(Tabla33610673[[#This Row],[Equity]]&lt;Tabla33610673[[#This Row],[Equity Peak]],(Tabla33610673[[#This Row],[Equity Peak]]-Tabla33610673[[#This Row],[Equity]])/Tabla33610673[[#This Row],[Equity Peak]],"")</f>
        <v>1.0061504494559217E-2</v>
      </c>
      <c r="V117" s="209">
        <f t="shared" si="26"/>
        <v>-0.4</v>
      </c>
      <c r="W117" s="209">
        <f t="shared" si="27"/>
        <v>0</v>
      </c>
      <c r="X117" s="209">
        <f t="shared" si="28"/>
        <v>0</v>
      </c>
      <c r="Y117" s="209">
        <f t="shared" si="29"/>
        <v>0</v>
      </c>
      <c r="Z117" s="209">
        <f t="shared" si="30"/>
        <v>0</v>
      </c>
      <c r="AA117" s="205">
        <f t="shared" si="31"/>
        <v>0</v>
      </c>
      <c r="AB117" s="209">
        <f t="shared" si="32"/>
        <v>0</v>
      </c>
      <c r="AC117" s="205">
        <f t="shared" si="33"/>
        <v>0</v>
      </c>
      <c r="AD117" s="210">
        <f t="shared" si="34"/>
        <v>0.89166666666278616</v>
      </c>
      <c r="AE117" s="210">
        <f t="shared" si="35"/>
        <v>0</v>
      </c>
      <c r="AF117" s="210">
        <f t="shared" si="36"/>
        <v>0.89166666666278616</v>
      </c>
      <c r="AG117" s="210">
        <f t="shared" si="37"/>
        <v>0</v>
      </c>
    </row>
    <row r="118" spans="2:33" ht="15" customHeight="1" x14ac:dyDescent="0.3">
      <c r="B118" s="196" t="s">
        <v>7</v>
      </c>
      <c r="C118" s="197" t="s">
        <v>15</v>
      </c>
      <c r="D118" s="198" t="str">
        <f t="shared" si="19"/>
        <v>C</v>
      </c>
      <c r="E118" s="199">
        <v>44168.017361111109</v>
      </c>
      <c r="F118" s="200" t="s">
        <v>122</v>
      </c>
      <c r="G118" s="201">
        <v>77.459000000000003</v>
      </c>
      <c r="H118" s="201">
        <v>77.072000000000003</v>
      </c>
      <c r="I118" s="202">
        <f t="shared" si="20"/>
        <v>0.38700000000000045</v>
      </c>
      <c r="J118" s="201">
        <v>84.161000000000001</v>
      </c>
      <c r="K118" s="199">
        <v>44169.645833333336</v>
      </c>
      <c r="L118" s="201">
        <v>77.072000000000003</v>
      </c>
      <c r="M118" s="203">
        <f t="shared" si="21"/>
        <v>-0.38700000000000001</v>
      </c>
      <c r="N118" s="204">
        <f t="shared" si="22"/>
        <v>-1</v>
      </c>
      <c r="O118" s="205">
        <f t="shared" si="23"/>
        <v>0</v>
      </c>
      <c r="P118" s="206">
        <f t="shared" si="24"/>
        <v>0</v>
      </c>
      <c r="Q118" s="206">
        <f t="shared" si="25"/>
        <v>-1</v>
      </c>
      <c r="R1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314260</v>
      </c>
      <c r="T1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317050</v>
      </c>
      <c r="U118" s="208">
        <f ca="1">IF(Tabla33610673[[#This Row],[Equity]]&lt;Tabla33610673[[#This Row],[Equity Peak]],(Tabla33610673[[#This Row],[Equity Peak]]-Tabla33610673[[#This Row],[Equity]])/Tabla33610673[[#This Row],[Equity Peak]],"")</f>
        <v>8.7998738369342369E-3</v>
      </c>
      <c r="V118" s="209">
        <f t="shared" si="26"/>
        <v>-1</v>
      </c>
      <c r="W118" s="209">
        <f t="shared" si="27"/>
        <v>0</v>
      </c>
      <c r="X118" s="209">
        <f t="shared" si="28"/>
        <v>0</v>
      </c>
      <c r="Y118" s="209">
        <f t="shared" si="29"/>
        <v>0</v>
      </c>
      <c r="Z118" s="209">
        <f t="shared" si="30"/>
        <v>0</v>
      </c>
      <c r="AA118" s="205">
        <f t="shared" si="31"/>
        <v>0</v>
      </c>
      <c r="AB118" s="209">
        <f t="shared" si="32"/>
        <v>0</v>
      </c>
      <c r="AC118" s="205">
        <f t="shared" si="33"/>
        <v>0</v>
      </c>
      <c r="AD118" s="210">
        <f t="shared" si="34"/>
        <v>1.6284722222262644</v>
      </c>
      <c r="AE118" s="210">
        <f t="shared" si="35"/>
        <v>0</v>
      </c>
      <c r="AF118" s="210">
        <f t="shared" si="36"/>
        <v>1.6284722222262644</v>
      </c>
      <c r="AG118" s="210">
        <f t="shared" si="37"/>
        <v>0</v>
      </c>
    </row>
    <row r="119" spans="2:33" ht="15" customHeight="1" x14ac:dyDescent="0.3">
      <c r="B119" s="196" t="s">
        <v>7</v>
      </c>
      <c r="C119" s="197" t="s">
        <v>13</v>
      </c>
      <c r="D119" s="198" t="str">
        <f t="shared" si="19"/>
        <v>C</v>
      </c>
      <c r="E119" s="199">
        <v>44167.5</v>
      </c>
      <c r="F119" s="200" t="s">
        <v>116</v>
      </c>
      <c r="G119" s="201">
        <v>1.8076399999999999</v>
      </c>
      <c r="H119" s="201">
        <v>1.8250999999999999</v>
      </c>
      <c r="I119" s="202">
        <f t="shared" si="20"/>
        <v>1.7460000000000031E-2</v>
      </c>
      <c r="J119" s="201">
        <v>1.7494400000000001</v>
      </c>
      <c r="K119" s="199">
        <v>44168.54791666667</v>
      </c>
      <c r="L119" s="201">
        <v>1.81013</v>
      </c>
      <c r="M119" s="203">
        <f t="shared" si="21"/>
        <v>-2.5000000000000001E-3</v>
      </c>
      <c r="N119" s="204">
        <f t="shared" si="22"/>
        <v>-0.14000000000000001</v>
      </c>
      <c r="O119" s="205">
        <f t="shared" si="23"/>
        <v>0</v>
      </c>
      <c r="P119" s="206">
        <f t="shared" si="24"/>
        <v>0</v>
      </c>
      <c r="Q119" s="206">
        <f t="shared" si="25"/>
        <v>-0.14000000000000001</v>
      </c>
      <c r="R1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315260</v>
      </c>
      <c r="T1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317050</v>
      </c>
      <c r="U119" s="208">
        <f ca="1">IF(Tabla33610673[[#This Row],[Equity]]&lt;Tabla33610673[[#This Row],[Equity Peak]],(Tabla33610673[[#This Row],[Equity Peak]]-Tabla33610673[[#This Row],[Equity]])/Tabla33610673[[#This Row],[Equity Peak]],"")</f>
        <v>5.6457971928717864E-3</v>
      </c>
      <c r="V119" s="209">
        <f t="shared" si="26"/>
        <v>-0.14000000000000001</v>
      </c>
      <c r="W119" s="209">
        <f t="shared" si="27"/>
        <v>0</v>
      </c>
      <c r="X119" s="209">
        <f t="shared" si="28"/>
        <v>0</v>
      </c>
      <c r="Y119" s="209">
        <f t="shared" si="29"/>
        <v>0</v>
      </c>
      <c r="Z119" s="209">
        <f t="shared" si="30"/>
        <v>0</v>
      </c>
      <c r="AA119" s="205">
        <f t="shared" si="31"/>
        <v>0</v>
      </c>
      <c r="AB119" s="209">
        <f t="shared" si="32"/>
        <v>0</v>
      </c>
      <c r="AC119" s="205">
        <f t="shared" si="33"/>
        <v>0</v>
      </c>
      <c r="AD119" s="210">
        <f t="shared" si="34"/>
        <v>1.0479166666700621</v>
      </c>
      <c r="AE119" s="210">
        <f t="shared" si="35"/>
        <v>0</v>
      </c>
      <c r="AF119" s="210">
        <f t="shared" si="36"/>
        <v>1.0479166666700621</v>
      </c>
      <c r="AG119" s="210">
        <f t="shared" si="37"/>
        <v>0</v>
      </c>
    </row>
    <row r="120" spans="2:33" ht="15" customHeight="1" x14ac:dyDescent="0.3">
      <c r="B120" s="196" t="s">
        <v>7</v>
      </c>
      <c r="C120" s="197" t="s">
        <v>15</v>
      </c>
      <c r="D120" s="198" t="str">
        <f t="shared" si="19"/>
        <v>C</v>
      </c>
      <c r="E120" s="199">
        <v>44166.5</v>
      </c>
      <c r="F120" s="200" t="s">
        <v>120</v>
      </c>
      <c r="G120" s="201">
        <v>1.6293500000000001</v>
      </c>
      <c r="H120" s="201">
        <v>1.62355</v>
      </c>
      <c r="I120" s="202">
        <f t="shared" si="20"/>
        <v>5.8000000000000274E-3</v>
      </c>
      <c r="J120" s="201">
        <v>1.6912199999999999</v>
      </c>
      <c r="K120" s="199">
        <v>44168.470833333333</v>
      </c>
      <c r="L120" s="201">
        <v>1.63022</v>
      </c>
      <c r="M120" s="203">
        <f t="shared" si="21"/>
        <v>8.9999999999999998E-4</v>
      </c>
      <c r="N120" s="204">
        <f t="shared" si="22"/>
        <v>0.16</v>
      </c>
      <c r="O120" s="205">
        <f t="shared" si="23"/>
        <v>0</v>
      </c>
      <c r="P120" s="206">
        <f t="shared" si="24"/>
        <v>0.16</v>
      </c>
      <c r="Q120" s="206">
        <f t="shared" si="25"/>
        <v>0</v>
      </c>
      <c r="R1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315400</v>
      </c>
      <c r="T1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317050</v>
      </c>
      <c r="U120" s="208">
        <f ca="1">IF(Tabla33610673[[#This Row],[Equity]]&lt;Tabla33610673[[#This Row],[Equity Peak]],(Tabla33610673[[#This Row],[Equity Peak]]-Tabla33610673[[#This Row],[Equity]])/Tabla33610673[[#This Row],[Equity Peak]],"")</f>
        <v>5.2042264627030436E-3</v>
      </c>
      <c r="V120" s="209">
        <f t="shared" si="26"/>
        <v>0.16</v>
      </c>
      <c r="W120" s="209">
        <f t="shared" si="27"/>
        <v>0</v>
      </c>
      <c r="X120" s="209">
        <f t="shared" si="28"/>
        <v>0</v>
      </c>
      <c r="Y120" s="209">
        <f t="shared" si="29"/>
        <v>0</v>
      </c>
      <c r="Z120" s="209">
        <f t="shared" si="30"/>
        <v>0</v>
      </c>
      <c r="AA120" s="205">
        <f t="shared" si="31"/>
        <v>0</v>
      </c>
      <c r="AB120" s="209">
        <f t="shared" si="32"/>
        <v>0</v>
      </c>
      <c r="AC120" s="205">
        <f t="shared" si="33"/>
        <v>0</v>
      </c>
      <c r="AD120" s="210">
        <f t="shared" si="34"/>
        <v>1.9708333333328483</v>
      </c>
      <c r="AE120" s="210">
        <f t="shared" si="35"/>
        <v>1.9708333333328483</v>
      </c>
      <c r="AF120" s="210">
        <f t="shared" si="36"/>
        <v>0</v>
      </c>
      <c r="AG120" s="210">
        <f t="shared" si="37"/>
        <v>0</v>
      </c>
    </row>
    <row r="121" spans="2:33" ht="15" customHeight="1" x14ac:dyDescent="0.3">
      <c r="B121" s="196" t="s">
        <v>7</v>
      </c>
      <c r="C121" s="197" t="s">
        <v>15</v>
      </c>
      <c r="D121" s="198" t="str">
        <f t="shared" si="19"/>
        <v>C</v>
      </c>
      <c r="E121" s="199">
        <v>44167.5</v>
      </c>
      <c r="F121" s="200" t="s">
        <v>122</v>
      </c>
      <c r="G121" s="201">
        <v>77.281999999999996</v>
      </c>
      <c r="H121" s="201">
        <v>76.94</v>
      </c>
      <c r="I121" s="202">
        <f t="shared" si="20"/>
        <v>0.34199999999999875</v>
      </c>
      <c r="J121" s="201">
        <v>83.207999999999998</v>
      </c>
      <c r="K121" s="199">
        <v>44167.681944444441</v>
      </c>
      <c r="L121" s="201">
        <v>76.94</v>
      </c>
      <c r="M121" s="203">
        <f t="shared" si="21"/>
        <v>-0.34200000000000003</v>
      </c>
      <c r="N121" s="204">
        <f t="shared" si="22"/>
        <v>-1</v>
      </c>
      <c r="O121" s="205">
        <f t="shared" si="23"/>
        <v>0</v>
      </c>
      <c r="P121" s="206">
        <f t="shared" si="24"/>
        <v>0</v>
      </c>
      <c r="Q121" s="206">
        <f t="shared" si="25"/>
        <v>-1</v>
      </c>
      <c r="R1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315240</v>
      </c>
      <c r="T1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317050</v>
      </c>
      <c r="U121" s="208">
        <f ca="1">IF(Tabla33610673[[#This Row],[Equity]]&lt;Tabla33610673[[#This Row],[Equity Peak]],(Tabla33610673[[#This Row],[Equity Peak]]-Tabla33610673[[#This Row],[Equity]])/Tabla33610673[[#This Row],[Equity Peak]],"")</f>
        <v>5.7088787257530355E-3</v>
      </c>
      <c r="V121" s="209">
        <f t="shared" si="26"/>
        <v>-1</v>
      </c>
      <c r="W121" s="209">
        <f t="shared" si="27"/>
        <v>0</v>
      </c>
      <c r="X121" s="209">
        <f t="shared" si="28"/>
        <v>0</v>
      </c>
      <c r="Y121" s="209">
        <f t="shared" si="29"/>
        <v>0</v>
      </c>
      <c r="Z121" s="209">
        <f t="shared" si="30"/>
        <v>0</v>
      </c>
      <c r="AA121" s="205">
        <f t="shared" si="31"/>
        <v>0</v>
      </c>
      <c r="AB121" s="209">
        <f t="shared" si="32"/>
        <v>0</v>
      </c>
      <c r="AC121" s="205">
        <f t="shared" si="33"/>
        <v>0</v>
      </c>
      <c r="AD121" s="210">
        <f t="shared" si="34"/>
        <v>0.18194444444088731</v>
      </c>
      <c r="AE121" s="210">
        <f t="shared" si="35"/>
        <v>0</v>
      </c>
      <c r="AF121" s="210">
        <f t="shared" si="36"/>
        <v>0.18194444444088731</v>
      </c>
      <c r="AG121" s="210">
        <f t="shared" si="37"/>
        <v>0</v>
      </c>
    </row>
    <row r="122" spans="2:33" ht="15" customHeight="1" x14ac:dyDescent="0.3">
      <c r="B122" s="196" t="s">
        <v>84</v>
      </c>
      <c r="C122" s="197" t="s">
        <v>15</v>
      </c>
      <c r="D122" s="198" t="str">
        <f t="shared" si="19"/>
        <v>C</v>
      </c>
      <c r="E122" s="199">
        <v>44165.333333333336</v>
      </c>
      <c r="F122" s="200" t="s">
        <v>80</v>
      </c>
      <c r="G122" s="201">
        <v>18525.3</v>
      </c>
      <c r="H122" s="201">
        <v>16993.580000000002</v>
      </c>
      <c r="I122" s="202">
        <f t="shared" si="20"/>
        <v>1531.7199999999975</v>
      </c>
      <c r="J122" s="201">
        <v>41501.1</v>
      </c>
      <c r="K122" s="199">
        <v>44166.606249999997</v>
      </c>
      <c r="L122" s="201">
        <v>18404.05</v>
      </c>
      <c r="M122" s="203">
        <f t="shared" si="21"/>
        <v>-121.25</v>
      </c>
      <c r="N122" s="204">
        <f t="shared" si="22"/>
        <v>-0.08</v>
      </c>
      <c r="O122" s="205">
        <f t="shared" si="23"/>
        <v>0</v>
      </c>
      <c r="P122" s="206">
        <f t="shared" si="24"/>
        <v>0</v>
      </c>
      <c r="Q122" s="206">
        <f t="shared" si="25"/>
        <v>-0.08</v>
      </c>
      <c r="R1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316240</v>
      </c>
      <c r="T1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317050</v>
      </c>
      <c r="U122" s="208">
        <f ca="1">IF(Tabla33610673[[#This Row],[Equity]]&lt;Tabla33610673[[#This Row],[Equity Peak]],(Tabla33610673[[#This Row],[Equity Peak]]-Tabla33610673[[#This Row],[Equity]])/Tabla33610673[[#This Row],[Equity Peak]],"")</f>
        <v>2.554802081690585E-3</v>
      </c>
      <c r="V122" s="209">
        <f t="shared" si="26"/>
        <v>0</v>
      </c>
      <c r="W122" s="209">
        <f t="shared" si="27"/>
        <v>0</v>
      </c>
      <c r="X122" s="209">
        <f t="shared" si="28"/>
        <v>0</v>
      </c>
      <c r="Y122" s="209">
        <f t="shared" si="29"/>
        <v>0</v>
      </c>
      <c r="Z122" s="209">
        <f t="shared" si="30"/>
        <v>0</v>
      </c>
      <c r="AA122" s="205">
        <f t="shared" si="31"/>
        <v>0</v>
      </c>
      <c r="AB122" s="209">
        <f t="shared" si="32"/>
        <v>-0.08</v>
      </c>
      <c r="AC122" s="205">
        <f t="shared" si="33"/>
        <v>0</v>
      </c>
      <c r="AD122" s="210">
        <f t="shared" si="34"/>
        <v>1.272916666661331</v>
      </c>
      <c r="AE122" s="210">
        <f t="shared" si="35"/>
        <v>0</v>
      </c>
      <c r="AF122" s="210">
        <f t="shared" si="36"/>
        <v>1.272916666661331</v>
      </c>
      <c r="AG122" s="210">
        <f t="shared" si="37"/>
        <v>0</v>
      </c>
    </row>
    <row r="123" spans="2:33" ht="15" customHeight="1" x14ac:dyDescent="0.3">
      <c r="B123" s="196" t="s">
        <v>5</v>
      </c>
      <c r="C123" s="197" t="s">
        <v>13</v>
      </c>
      <c r="D123" s="198" t="str">
        <f t="shared" si="19"/>
        <v>C</v>
      </c>
      <c r="E123" s="199">
        <v>44165.875</v>
      </c>
      <c r="F123" s="200" t="s">
        <v>94</v>
      </c>
      <c r="G123" s="201">
        <v>6268.05</v>
      </c>
      <c r="H123" s="201">
        <v>6362.06</v>
      </c>
      <c r="I123" s="202">
        <f t="shared" si="20"/>
        <v>94.010000000000218</v>
      </c>
      <c r="J123" s="201">
        <v>5797.98</v>
      </c>
      <c r="K123" s="199">
        <v>44166.433333333334</v>
      </c>
      <c r="L123" s="201">
        <v>6337.12</v>
      </c>
      <c r="M123" s="203">
        <f t="shared" si="21"/>
        <v>-69.069999999999993</v>
      </c>
      <c r="N123" s="204">
        <f t="shared" si="22"/>
        <v>-0.73</v>
      </c>
      <c r="O123" s="205">
        <f t="shared" si="23"/>
        <v>0</v>
      </c>
      <c r="P123" s="206">
        <f t="shared" si="24"/>
        <v>0</v>
      </c>
      <c r="Q123" s="206">
        <f t="shared" si="25"/>
        <v>-0.73</v>
      </c>
      <c r="R1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316320</v>
      </c>
      <c r="T1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317050</v>
      </c>
      <c r="U123" s="208">
        <f ca="1">IF(Tabla33610673[[#This Row],[Equity]]&lt;Tabla33610673[[#This Row],[Equity Peak]],(Tabla33610673[[#This Row],[Equity Peak]]-Tabla33610673[[#This Row],[Equity]])/Tabla33610673[[#This Row],[Equity Peak]],"")</f>
        <v>2.302475950165589E-3</v>
      </c>
      <c r="V123" s="209">
        <f t="shared" si="26"/>
        <v>0</v>
      </c>
      <c r="W123" s="209">
        <f t="shared" si="27"/>
        <v>0</v>
      </c>
      <c r="X123" s="209">
        <f t="shared" si="28"/>
        <v>0</v>
      </c>
      <c r="Y123" s="209">
        <f t="shared" si="29"/>
        <v>0</v>
      </c>
      <c r="Z123" s="209">
        <f t="shared" si="30"/>
        <v>-0.73</v>
      </c>
      <c r="AA123" s="205">
        <f t="shared" si="31"/>
        <v>0</v>
      </c>
      <c r="AB123" s="209">
        <f t="shared" si="32"/>
        <v>0</v>
      </c>
      <c r="AC123" s="205">
        <f t="shared" si="33"/>
        <v>0</v>
      </c>
      <c r="AD123" s="210">
        <f t="shared" si="34"/>
        <v>0.55833333333430346</v>
      </c>
      <c r="AE123" s="210">
        <f t="shared" si="35"/>
        <v>0</v>
      </c>
      <c r="AF123" s="210">
        <f t="shared" si="36"/>
        <v>0.55833333333430346</v>
      </c>
      <c r="AG123" s="210">
        <f t="shared" si="37"/>
        <v>0</v>
      </c>
    </row>
    <row r="124" spans="2:33" ht="15" customHeight="1" x14ac:dyDescent="0.3">
      <c r="B124" s="196" t="s">
        <v>19</v>
      </c>
      <c r="C124" s="197" t="s">
        <v>13</v>
      </c>
      <c r="D124" s="198" t="str">
        <f t="shared" si="19"/>
        <v>C</v>
      </c>
      <c r="E124" s="199">
        <v>44158.708333333336</v>
      </c>
      <c r="F124" s="200" t="s">
        <v>88</v>
      </c>
      <c r="G124" s="201">
        <v>1841.65</v>
      </c>
      <c r="H124" s="201">
        <v>1866.2</v>
      </c>
      <c r="I124" s="202">
        <f t="shared" si="20"/>
        <v>24.549999999999955</v>
      </c>
      <c r="J124" s="201">
        <v>1684.55</v>
      </c>
      <c r="K124" s="199">
        <v>44166.32916666667</v>
      </c>
      <c r="L124" s="201">
        <v>1787.89</v>
      </c>
      <c r="M124" s="203">
        <f t="shared" si="21"/>
        <v>53.76</v>
      </c>
      <c r="N124" s="204">
        <f t="shared" si="22"/>
        <v>2.19</v>
      </c>
      <c r="O124" s="205">
        <f t="shared" si="23"/>
        <v>0</v>
      </c>
      <c r="P124" s="206">
        <f t="shared" si="24"/>
        <v>2.19</v>
      </c>
      <c r="Q124" s="206">
        <f t="shared" si="25"/>
        <v>0</v>
      </c>
      <c r="R1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317050</v>
      </c>
      <c r="T1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317050</v>
      </c>
      <c r="U12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24" s="209">
        <f t="shared" si="26"/>
        <v>0</v>
      </c>
      <c r="W124" s="209">
        <f t="shared" si="27"/>
        <v>0</v>
      </c>
      <c r="X124" s="209">
        <f t="shared" si="28"/>
        <v>2.19</v>
      </c>
      <c r="Y124" s="209">
        <f t="shared" si="29"/>
        <v>0</v>
      </c>
      <c r="Z124" s="209">
        <f t="shared" si="30"/>
        <v>0</v>
      </c>
      <c r="AA124" s="205">
        <f t="shared" si="31"/>
        <v>0</v>
      </c>
      <c r="AB124" s="209">
        <f t="shared" si="32"/>
        <v>0</v>
      </c>
      <c r="AC124" s="205">
        <f t="shared" si="33"/>
        <v>0</v>
      </c>
      <c r="AD124" s="210">
        <f t="shared" si="34"/>
        <v>7.6208333333343035</v>
      </c>
      <c r="AE124" s="210">
        <f t="shared" si="35"/>
        <v>7.6208333333343035</v>
      </c>
      <c r="AF124" s="210">
        <f t="shared" si="36"/>
        <v>0</v>
      </c>
      <c r="AG124" s="210">
        <f t="shared" si="37"/>
        <v>0</v>
      </c>
    </row>
    <row r="125" spans="2:33" ht="15" customHeight="1" x14ac:dyDescent="0.3">
      <c r="B125" s="196" t="s">
        <v>19</v>
      </c>
      <c r="C125" s="197" t="s">
        <v>13</v>
      </c>
      <c r="D125" s="198" t="str">
        <f t="shared" si="19"/>
        <v>C</v>
      </c>
      <c r="E125" s="199">
        <v>44154.541666666664</v>
      </c>
      <c r="F125" s="200" t="s">
        <v>89</v>
      </c>
      <c r="G125" s="201">
        <v>23.896000000000001</v>
      </c>
      <c r="H125" s="201">
        <v>24.757999999999999</v>
      </c>
      <c r="I125" s="202">
        <f t="shared" si="20"/>
        <v>0.86199999999999832</v>
      </c>
      <c r="J125" s="201">
        <v>19.759</v>
      </c>
      <c r="K125" s="199">
        <v>44165.79583333333</v>
      </c>
      <c r="L125" s="201">
        <v>22.606000000000002</v>
      </c>
      <c r="M125" s="203">
        <f t="shared" si="21"/>
        <v>1.29</v>
      </c>
      <c r="N125" s="204">
        <f t="shared" si="22"/>
        <v>1.5</v>
      </c>
      <c r="O125" s="205">
        <f t="shared" si="23"/>
        <v>0</v>
      </c>
      <c r="P125" s="206">
        <f t="shared" si="24"/>
        <v>1.5</v>
      </c>
      <c r="Q125" s="206">
        <f t="shared" si="25"/>
        <v>0</v>
      </c>
      <c r="R1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314860</v>
      </c>
      <c r="T1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314860</v>
      </c>
      <c r="U12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25" s="209">
        <f t="shared" si="26"/>
        <v>0</v>
      </c>
      <c r="W125" s="209">
        <f t="shared" si="27"/>
        <v>0</v>
      </c>
      <c r="X125" s="209">
        <f t="shared" si="28"/>
        <v>1.5</v>
      </c>
      <c r="Y125" s="209">
        <f t="shared" si="29"/>
        <v>0</v>
      </c>
      <c r="Z125" s="209">
        <f t="shared" si="30"/>
        <v>0</v>
      </c>
      <c r="AA125" s="205">
        <f t="shared" si="31"/>
        <v>0</v>
      </c>
      <c r="AB125" s="209">
        <f t="shared" si="32"/>
        <v>0</v>
      </c>
      <c r="AC125" s="205">
        <f t="shared" si="33"/>
        <v>0</v>
      </c>
      <c r="AD125" s="210">
        <f t="shared" si="34"/>
        <v>11.254166666665697</v>
      </c>
      <c r="AE125" s="210">
        <f t="shared" si="35"/>
        <v>11.254166666665697</v>
      </c>
      <c r="AF125" s="210">
        <f t="shared" si="36"/>
        <v>0</v>
      </c>
      <c r="AG125" s="210">
        <f t="shared" si="37"/>
        <v>0</v>
      </c>
    </row>
    <row r="126" spans="2:33" ht="15" customHeight="1" x14ac:dyDescent="0.3">
      <c r="B126" s="196" t="s">
        <v>7</v>
      </c>
      <c r="C126" s="197" t="s">
        <v>13</v>
      </c>
      <c r="D126" s="198" t="str">
        <f t="shared" si="19"/>
        <v>C</v>
      </c>
      <c r="E126" s="199">
        <v>44161.666666666664</v>
      </c>
      <c r="F126" s="200" t="s">
        <v>116</v>
      </c>
      <c r="G126" s="201">
        <v>1.8125599999999999</v>
      </c>
      <c r="H126" s="201">
        <v>1.83124</v>
      </c>
      <c r="I126" s="202">
        <f t="shared" si="20"/>
        <v>1.868000000000003E-2</v>
      </c>
      <c r="J126" s="201">
        <v>1.7502899999999999</v>
      </c>
      <c r="K126" s="199">
        <v>44165.708333333336</v>
      </c>
      <c r="L126" s="201">
        <v>1.81325</v>
      </c>
      <c r="M126" s="203">
        <f t="shared" si="21"/>
        <v>-6.9999999999999999E-4</v>
      </c>
      <c r="N126" s="204">
        <f t="shared" si="22"/>
        <v>-0.04</v>
      </c>
      <c r="O126" s="205">
        <f t="shared" si="23"/>
        <v>0</v>
      </c>
      <c r="P126" s="206">
        <f t="shared" si="24"/>
        <v>0</v>
      </c>
      <c r="Q126" s="206">
        <f t="shared" si="25"/>
        <v>-0.04</v>
      </c>
      <c r="R1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313360</v>
      </c>
      <c r="T1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313400</v>
      </c>
      <c r="U126" s="208">
        <f ca="1">IF(Tabla33610673[[#This Row],[Equity]]&lt;Tabla33610673[[#This Row],[Equity Peak]],(Tabla33610673[[#This Row],[Equity Peak]]-Tabla33610673[[#This Row],[Equity]])/Tabla33610673[[#This Row],[Equity Peak]],"")</f>
        <v>1.2763241863433312E-4</v>
      </c>
      <c r="V126" s="209">
        <f t="shared" si="26"/>
        <v>-0.04</v>
      </c>
      <c r="W126" s="209">
        <f t="shared" si="27"/>
        <v>0</v>
      </c>
      <c r="X126" s="209">
        <f t="shared" si="28"/>
        <v>0</v>
      </c>
      <c r="Y126" s="209">
        <f t="shared" si="29"/>
        <v>0</v>
      </c>
      <c r="Z126" s="209">
        <f t="shared" si="30"/>
        <v>0</v>
      </c>
      <c r="AA126" s="205">
        <f t="shared" si="31"/>
        <v>0</v>
      </c>
      <c r="AB126" s="209">
        <f t="shared" si="32"/>
        <v>0</v>
      </c>
      <c r="AC126" s="205">
        <f t="shared" si="33"/>
        <v>0</v>
      </c>
      <c r="AD126" s="210">
        <f t="shared" si="34"/>
        <v>4.0416666666715173</v>
      </c>
      <c r="AE126" s="210">
        <f t="shared" si="35"/>
        <v>0</v>
      </c>
      <c r="AF126" s="210">
        <f t="shared" si="36"/>
        <v>4.0416666666715173</v>
      </c>
      <c r="AG126" s="210">
        <f t="shared" si="37"/>
        <v>0</v>
      </c>
    </row>
    <row r="127" spans="2:33" ht="15" customHeight="1" x14ac:dyDescent="0.3">
      <c r="B127" s="196" t="s">
        <v>84</v>
      </c>
      <c r="C127" s="197" t="s">
        <v>15</v>
      </c>
      <c r="D127" s="198" t="str">
        <f t="shared" si="19"/>
        <v>C</v>
      </c>
      <c r="E127" s="199">
        <v>44112.833333333336</v>
      </c>
      <c r="F127" s="200" t="s">
        <v>80</v>
      </c>
      <c r="G127" s="201">
        <v>10928.48</v>
      </c>
      <c r="H127" s="201">
        <v>10734.88</v>
      </c>
      <c r="I127" s="202">
        <f t="shared" si="20"/>
        <v>193.60000000000036</v>
      </c>
      <c r="J127" s="201">
        <v>13832.42</v>
      </c>
      <c r="K127" s="199">
        <v>44165.333333333336</v>
      </c>
      <c r="L127" s="201">
        <v>18525.3</v>
      </c>
      <c r="M127" s="203">
        <f t="shared" si="21"/>
        <v>7596.82</v>
      </c>
      <c r="N127" s="204">
        <f t="shared" si="22"/>
        <v>39.24</v>
      </c>
      <c r="O127" s="205">
        <f t="shared" si="23"/>
        <v>0</v>
      </c>
      <c r="P127" s="206">
        <f t="shared" si="24"/>
        <v>39.24</v>
      </c>
      <c r="Q127" s="206">
        <f t="shared" si="25"/>
        <v>0</v>
      </c>
      <c r="R1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313400</v>
      </c>
      <c r="T1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313400</v>
      </c>
      <c r="U12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27" s="209">
        <f t="shared" si="26"/>
        <v>0</v>
      </c>
      <c r="W127" s="209">
        <f t="shared" si="27"/>
        <v>0</v>
      </c>
      <c r="X127" s="209">
        <f t="shared" si="28"/>
        <v>0</v>
      </c>
      <c r="Y127" s="209">
        <f t="shared" si="29"/>
        <v>0</v>
      </c>
      <c r="Z127" s="209">
        <f t="shared" si="30"/>
        <v>0</v>
      </c>
      <c r="AA127" s="205">
        <f t="shared" si="31"/>
        <v>0</v>
      </c>
      <c r="AB127" s="209">
        <f t="shared" si="32"/>
        <v>39.24</v>
      </c>
      <c r="AC127" s="205">
        <f t="shared" si="33"/>
        <v>0</v>
      </c>
      <c r="AD127" s="210">
        <f t="shared" si="34"/>
        <v>52.5</v>
      </c>
      <c r="AE127" s="210">
        <f t="shared" si="35"/>
        <v>52.5</v>
      </c>
      <c r="AF127" s="210">
        <f t="shared" si="36"/>
        <v>0</v>
      </c>
      <c r="AG127" s="210">
        <f t="shared" si="37"/>
        <v>0</v>
      </c>
    </row>
    <row r="128" spans="2:33" ht="15" customHeight="1" x14ac:dyDescent="0.3">
      <c r="B128" s="196" t="s">
        <v>7</v>
      </c>
      <c r="C128" s="197" t="s">
        <v>13</v>
      </c>
      <c r="D128" s="198" t="str">
        <f t="shared" si="19"/>
        <v>C</v>
      </c>
      <c r="E128" s="199">
        <v>44162.166666666664</v>
      </c>
      <c r="F128" s="200" t="s">
        <v>113</v>
      </c>
      <c r="G128" s="201">
        <v>104.03</v>
      </c>
      <c r="H128" s="201">
        <v>104.46599999999999</v>
      </c>
      <c r="I128" s="202">
        <f t="shared" si="20"/>
        <v>0.43599999999999284</v>
      </c>
      <c r="J128" s="201">
        <v>101.996</v>
      </c>
      <c r="K128" s="199">
        <v>44162.586111111108</v>
      </c>
      <c r="L128" s="201">
        <v>104.16200000000001</v>
      </c>
      <c r="M128" s="203">
        <f t="shared" si="21"/>
        <v>-0.13200000000000001</v>
      </c>
      <c r="N128" s="204">
        <f t="shared" si="22"/>
        <v>-0.3</v>
      </c>
      <c r="O128" s="205">
        <f t="shared" si="23"/>
        <v>0</v>
      </c>
      <c r="P128" s="206">
        <f t="shared" si="24"/>
        <v>0</v>
      </c>
      <c r="Q128" s="206">
        <f t="shared" si="25"/>
        <v>-0.3</v>
      </c>
      <c r="R1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274160</v>
      </c>
      <c r="T1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28" s="208">
        <f ca="1">IF(Tabla33610673[[#This Row],[Equity]]&lt;Tabla33610673[[#This Row],[Equity Peak]],(Tabla33610673[[#This Row],[Equity Peak]]-Tabla33610673[[#This Row],[Equity]])/Tabla33610673[[#This Row],[Equity Peak]],"")</f>
        <v>7.3859522085445327E-3</v>
      </c>
      <c r="V128" s="209">
        <f t="shared" si="26"/>
        <v>-0.3</v>
      </c>
      <c r="W128" s="209">
        <f t="shared" si="27"/>
        <v>0</v>
      </c>
      <c r="X128" s="209">
        <f t="shared" si="28"/>
        <v>0</v>
      </c>
      <c r="Y128" s="209">
        <f t="shared" si="29"/>
        <v>0</v>
      </c>
      <c r="Z128" s="209">
        <f t="shared" si="30"/>
        <v>0</v>
      </c>
      <c r="AA128" s="205">
        <f t="shared" si="31"/>
        <v>0</v>
      </c>
      <c r="AB128" s="209">
        <f t="shared" si="32"/>
        <v>0</v>
      </c>
      <c r="AC128" s="205">
        <f t="shared" si="33"/>
        <v>0</v>
      </c>
      <c r="AD128" s="210">
        <f t="shared" si="34"/>
        <v>0.41944444444379769</v>
      </c>
      <c r="AE128" s="210">
        <f t="shared" si="35"/>
        <v>0</v>
      </c>
      <c r="AF128" s="210">
        <f t="shared" si="36"/>
        <v>0.41944444444379769</v>
      </c>
      <c r="AG128" s="210">
        <f t="shared" si="37"/>
        <v>0</v>
      </c>
    </row>
    <row r="129" spans="2:33" ht="15" customHeight="1" x14ac:dyDescent="0.3">
      <c r="B129" s="196" t="s">
        <v>5</v>
      </c>
      <c r="C129" s="197" t="s">
        <v>15</v>
      </c>
      <c r="D129" s="198" t="str">
        <f t="shared" si="19"/>
        <v>C</v>
      </c>
      <c r="E129" s="199">
        <v>44140.673611111109</v>
      </c>
      <c r="F129" s="200" t="s">
        <v>90</v>
      </c>
      <c r="G129" s="201">
        <v>6164</v>
      </c>
      <c r="H129" s="201">
        <v>6083.03</v>
      </c>
      <c r="I129" s="202">
        <f t="shared" si="20"/>
        <v>80.970000000000255</v>
      </c>
      <c r="J129" s="201">
        <v>7243.57</v>
      </c>
      <c r="K129" s="199">
        <v>44162.176388888889</v>
      </c>
      <c r="L129" s="201">
        <v>6591.13</v>
      </c>
      <c r="M129" s="203">
        <f t="shared" si="21"/>
        <v>427.13</v>
      </c>
      <c r="N129" s="204">
        <f t="shared" si="22"/>
        <v>5.28</v>
      </c>
      <c r="O129" s="205">
        <f t="shared" si="23"/>
        <v>0</v>
      </c>
      <c r="P129" s="206">
        <f t="shared" si="24"/>
        <v>5.28</v>
      </c>
      <c r="Q129" s="206">
        <f t="shared" si="25"/>
        <v>0</v>
      </c>
      <c r="R1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274460</v>
      </c>
      <c r="T1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29" s="208">
        <f ca="1">IF(Tabla33610673[[#This Row],[Equity]]&lt;Tabla33610673[[#This Row],[Equity Peak]],(Tabla33610673[[#This Row],[Equity Peak]]-Tabla33610673[[#This Row],[Equity]])/Tabla33610673[[#This Row],[Equity Peak]],"")</f>
        <v>6.2997827661115131E-3</v>
      </c>
      <c r="V129" s="209">
        <f t="shared" si="26"/>
        <v>0</v>
      </c>
      <c r="W129" s="209">
        <f t="shared" si="27"/>
        <v>0</v>
      </c>
      <c r="X129" s="209">
        <f t="shared" si="28"/>
        <v>0</v>
      </c>
      <c r="Y129" s="209">
        <f t="shared" si="29"/>
        <v>0</v>
      </c>
      <c r="Z129" s="209">
        <f t="shared" si="30"/>
        <v>5.28</v>
      </c>
      <c r="AA129" s="205">
        <f t="shared" si="31"/>
        <v>0</v>
      </c>
      <c r="AB129" s="209">
        <f t="shared" si="32"/>
        <v>0</v>
      </c>
      <c r="AC129" s="205">
        <f t="shared" si="33"/>
        <v>0</v>
      </c>
      <c r="AD129" s="210">
        <f t="shared" si="34"/>
        <v>21.502777777779556</v>
      </c>
      <c r="AE129" s="210">
        <f t="shared" si="35"/>
        <v>21.502777777779556</v>
      </c>
      <c r="AF129" s="210">
        <f t="shared" si="36"/>
        <v>0</v>
      </c>
      <c r="AG129" s="210">
        <f t="shared" si="37"/>
        <v>0</v>
      </c>
    </row>
    <row r="130" spans="2:33" ht="15" customHeight="1" x14ac:dyDescent="0.3">
      <c r="B130" s="196" t="s">
        <v>7</v>
      </c>
      <c r="C130" s="197" t="s">
        <v>15</v>
      </c>
      <c r="D130" s="198" t="str">
        <f t="shared" si="19"/>
        <v>C</v>
      </c>
      <c r="E130" s="199">
        <v>44159.017361111109</v>
      </c>
      <c r="F130" s="200" t="s">
        <v>118</v>
      </c>
      <c r="G130" s="201">
        <v>123.693</v>
      </c>
      <c r="H130" s="201">
        <v>123.06399999999999</v>
      </c>
      <c r="I130" s="202">
        <f t="shared" si="20"/>
        <v>0.62900000000000489</v>
      </c>
      <c r="J130" s="201">
        <v>126.211</v>
      </c>
      <c r="K130" s="199">
        <v>44161.599999999999</v>
      </c>
      <c r="L130" s="201">
        <v>123.946</v>
      </c>
      <c r="M130" s="203">
        <f t="shared" si="21"/>
        <v>0.253</v>
      </c>
      <c r="N130" s="204">
        <f t="shared" si="22"/>
        <v>0.4</v>
      </c>
      <c r="O130" s="205">
        <f t="shared" si="23"/>
        <v>0</v>
      </c>
      <c r="P130" s="206">
        <f t="shared" si="24"/>
        <v>0.4</v>
      </c>
      <c r="Q130" s="206">
        <f t="shared" si="25"/>
        <v>0</v>
      </c>
      <c r="R1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269180</v>
      </c>
      <c r="T1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30" s="208">
        <f ca="1">IF(Tabla33610673[[#This Row],[Equity]]&lt;Tabla33610673[[#This Row],[Equity Peak]],(Tabla33610673[[#This Row],[Equity Peak]]-Tabla33610673[[#This Row],[Equity]])/Tabla33610673[[#This Row],[Equity Peak]],"")</f>
        <v>2.5416364952932657E-2</v>
      </c>
      <c r="V130" s="209">
        <f t="shared" si="26"/>
        <v>0.4</v>
      </c>
      <c r="W130" s="209">
        <f t="shared" si="27"/>
        <v>0</v>
      </c>
      <c r="X130" s="209">
        <f t="shared" si="28"/>
        <v>0</v>
      </c>
      <c r="Y130" s="209">
        <f t="shared" si="29"/>
        <v>0</v>
      </c>
      <c r="Z130" s="209">
        <f t="shared" si="30"/>
        <v>0</v>
      </c>
      <c r="AA130" s="205">
        <f t="shared" si="31"/>
        <v>0</v>
      </c>
      <c r="AB130" s="209">
        <f t="shared" si="32"/>
        <v>0</v>
      </c>
      <c r="AC130" s="205">
        <f t="shared" si="33"/>
        <v>0</v>
      </c>
      <c r="AD130" s="210">
        <f t="shared" si="34"/>
        <v>2.5826388888890506</v>
      </c>
      <c r="AE130" s="210">
        <f t="shared" si="35"/>
        <v>2.5826388888890506</v>
      </c>
      <c r="AF130" s="210">
        <f t="shared" si="36"/>
        <v>0</v>
      </c>
      <c r="AG130" s="210">
        <f t="shared" si="37"/>
        <v>0</v>
      </c>
    </row>
    <row r="131" spans="2:33" ht="15" customHeight="1" x14ac:dyDescent="0.3">
      <c r="B131" s="196" t="s">
        <v>7</v>
      </c>
      <c r="C131" s="197" t="s">
        <v>13</v>
      </c>
      <c r="D131" s="198" t="str">
        <f t="shared" si="19"/>
        <v>C</v>
      </c>
      <c r="E131" s="199">
        <v>44153.5</v>
      </c>
      <c r="F131" s="200" t="s">
        <v>118</v>
      </c>
      <c r="G131" s="201">
        <v>123.462</v>
      </c>
      <c r="H131" s="201">
        <v>124.13</v>
      </c>
      <c r="I131" s="202">
        <f t="shared" si="20"/>
        <v>0.66799999999999216</v>
      </c>
      <c r="J131" s="201">
        <v>120.788</v>
      </c>
      <c r="K131" s="199">
        <v>44158.70416666667</v>
      </c>
      <c r="L131" s="201">
        <v>123.559</v>
      </c>
      <c r="M131" s="203">
        <f t="shared" si="21"/>
        <v>-9.7000000000000003E-2</v>
      </c>
      <c r="N131" s="204">
        <f t="shared" si="22"/>
        <v>-0.15</v>
      </c>
      <c r="O131" s="205">
        <f t="shared" si="23"/>
        <v>0</v>
      </c>
      <c r="P131" s="206">
        <f t="shared" si="24"/>
        <v>0</v>
      </c>
      <c r="Q131" s="206">
        <f t="shared" si="25"/>
        <v>-0.15</v>
      </c>
      <c r="R1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268780</v>
      </c>
      <c r="T1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31" s="208">
        <f ca="1">IF(Tabla33610673[[#This Row],[Equity]]&lt;Tabla33610673[[#This Row],[Equity Peak]],(Tabla33610673[[#This Row],[Equity Peak]]-Tabla33610673[[#This Row],[Equity]])/Tabla33610673[[#This Row],[Equity Peak]],"")</f>
        <v>2.6864590876176684E-2</v>
      </c>
      <c r="V131" s="209">
        <f t="shared" si="26"/>
        <v>-0.15</v>
      </c>
      <c r="W131" s="209">
        <f t="shared" si="27"/>
        <v>0</v>
      </c>
      <c r="X131" s="209">
        <f t="shared" si="28"/>
        <v>0</v>
      </c>
      <c r="Y131" s="209">
        <f t="shared" si="29"/>
        <v>0</v>
      </c>
      <c r="Z131" s="209">
        <f t="shared" si="30"/>
        <v>0</v>
      </c>
      <c r="AA131" s="205">
        <f t="shared" si="31"/>
        <v>0</v>
      </c>
      <c r="AB131" s="209">
        <f t="shared" si="32"/>
        <v>0</v>
      </c>
      <c r="AC131" s="205">
        <f t="shared" si="33"/>
        <v>0</v>
      </c>
      <c r="AD131" s="210">
        <f t="shared" si="34"/>
        <v>5.2041666666700621</v>
      </c>
      <c r="AE131" s="210">
        <f t="shared" si="35"/>
        <v>0</v>
      </c>
      <c r="AF131" s="210">
        <f t="shared" si="36"/>
        <v>5.2041666666700621</v>
      </c>
      <c r="AG131" s="210">
        <f t="shared" si="37"/>
        <v>0</v>
      </c>
    </row>
    <row r="132" spans="2:33" ht="15" customHeight="1" x14ac:dyDescent="0.3">
      <c r="B132" s="196" t="s">
        <v>7</v>
      </c>
      <c r="C132" s="197" t="s">
        <v>13</v>
      </c>
      <c r="D132" s="198" t="str">
        <f t="shared" si="19"/>
        <v>C</v>
      </c>
      <c r="E132" s="199">
        <v>44151.833333333336</v>
      </c>
      <c r="F132" s="200" t="s">
        <v>113</v>
      </c>
      <c r="G132" s="201">
        <v>104.538</v>
      </c>
      <c r="H132" s="201">
        <v>105.32899999999999</v>
      </c>
      <c r="I132" s="202">
        <f t="shared" si="20"/>
        <v>0.79099999999999682</v>
      </c>
      <c r="J132" s="201">
        <v>100.846</v>
      </c>
      <c r="K132" s="199">
        <v>44154.51458333333</v>
      </c>
      <c r="L132" s="201">
        <v>104.16</v>
      </c>
      <c r="M132" s="203">
        <f t="shared" si="21"/>
        <v>0.378</v>
      </c>
      <c r="N132" s="204">
        <f t="shared" si="22"/>
        <v>0.48</v>
      </c>
      <c r="O132" s="205">
        <f t="shared" si="23"/>
        <v>0</v>
      </c>
      <c r="P132" s="206">
        <f t="shared" si="24"/>
        <v>0.48</v>
      </c>
      <c r="Q132" s="206">
        <f t="shared" si="25"/>
        <v>0</v>
      </c>
      <c r="R1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268930</v>
      </c>
      <c r="T1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32" s="208">
        <f ca="1">IF(Tabla33610673[[#This Row],[Equity]]&lt;Tabla33610673[[#This Row],[Equity Peak]],(Tabla33610673[[#This Row],[Equity Peak]]-Tabla33610673[[#This Row],[Equity]])/Tabla33610673[[#This Row],[Equity Peak]],"")</f>
        <v>2.6321506154960175E-2</v>
      </c>
      <c r="V132" s="209">
        <f t="shared" si="26"/>
        <v>0.48</v>
      </c>
      <c r="W132" s="209">
        <f t="shared" si="27"/>
        <v>0</v>
      </c>
      <c r="X132" s="209">
        <f t="shared" si="28"/>
        <v>0</v>
      </c>
      <c r="Y132" s="209">
        <f t="shared" si="29"/>
        <v>0</v>
      </c>
      <c r="Z132" s="209">
        <f t="shared" si="30"/>
        <v>0</v>
      </c>
      <c r="AA132" s="205">
        <f t="shared" si="31"/>
        <v>0</v>
      </c>
      <c r="AB132" s="209">
        <f t="shared" si="32"/>
        <v>0</v>
      </c>
      <c r="AC132" s="205">
        <f t="shared" si="33"/>
        <v>0</v>
      </c>
      <c r="AD132" s="210">
        <f t="shared" si="34"/>
        <v>2.6812499999941792</v>
      </c>
      <c r="AE132" s="210">
        <f t="shared" si="35"/>
        <v>2.6812499999941792</v>
      </c>
      <c r="AF132" s="210">
        <f t="shared" si="36"/>
        <v>0</v>
      </c>
      <c r="AG132" s="210">
        <f t="shared" si="37"/>
        <v>0</v>
      </c>
    </row>
    <row r="133" spans="2:33" ht="15" customHeight="1" x14ac:dyDescent="0.3">
      <c r="B133" s="196" t="s">
        <v>7</v>
      </c>
      <c r="C133" s="197" t="s">
        <v>15</v>
      </c>
      <c r="D133" s="198" t="str">
        <f t="shared" si="19"/>
        <v>C</v>
      </c>
      <c r="E133" s="199">
        <v>44144.666666666664</v>
      </c>
      <c r="F133" s="200" t="s">
        <v>118</v>
      </c>
      <c r="G133" s="201">
        <v>124.723</v>
      </c>
      <c r="H133" s="201">
        <v>123.57599999999999</v>
      </c>
      <c r="I133" s="202">
        <f t="shared" si="20"/>
        <v>1.1470000000000056</v>
      </c>
      <c r="J133" s="201">
        <v>129.31</v>
      </c>
      <c r="K133" s="199">
        <v>44152.706250000003</v>
      </c>
      <c r="L133" s="201">
        <v>123.57899999999999</v>
      </c>
      <c r="M133" s="203">
        <f t="shared" si="21"/>
        <v>-1.1439999999999999</v>
      </c>
      <c r="N133" s="204">
        <f t="shared" si="22"/>
        <v>-1</v>
      </c>
      <c r="O133" s="205">
        <f t="shared" si="23"/>
        <v>0</v>
      </c>
      <c r="P133" s="206">
        <f t="shared" si="24"/>
        <v>0</v>
      </c>
      <c r="Q133" s="206">
        <f t="shared" si="25"/>
        <v>-1</v>
      </c>
      <c r="R1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268450</v>
      </c>
      <c r="T1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33" s="208">
        <f ca="1">IF(Tabla33610673[[#This Row],[Equity]]&lt;Tabla33610673[[#This Row],[Equity Peak]],(Tabla33610673[[#This Row],[Equity Peak]]-Tabla33610673[[#This Row],[Equity]])/Tabla33610673[[#This Row],[Equity Peak]],"")</f>
        <v>2.8059377262853007E-2</v>
      </c>
      <c r="V133" s="209">
        <f t="shared" si="26"/>
        <v>-1</v>
      </c>
      <c r="W133" s="209">
        <f t="shared" si="27"/>
        <v>0</v>
      </c>
      <c r="X133" s="209">
        <f t="shared" si="28"/>
        <v>0</v>
      </c>
      <c r="Y133" s="209">
        <f t="shared" si="29"/>
        <v>0</v>
      </c>
      <c r="Z133" s="209">
        <f t="shared" si="30"/>
        <v>0</v>
      </c>
      <c r="AA133" s="205">
        <f t="shared" si="31"/>
        <v>0</v>
      </c>
      <c r="AB133" s="209">
        <f t="shared" si="32"/>
        <v>0</v>
      </c>
      <c r="AC133" s="205">
        <f t="shared" si="33"/>
        <v>0</v>
      </c>
      <c r="AD133" s="210">
        <f t="shared" si="34"/>
        <v>8.039583333338669</v>
      </c>
      <c r="AE133" s="210">
        <f t="shared" si="35"/>
        <v>0</v>
      </c>
      <c r="AF133" s="210">
        <f t="shared" si="36"/>
        <v>8.039583333338669</v>
      </c>
      <c r="AG133" s="210">
        <f t="shared" si="37"/>
        <v>0</v>
      </c>
    </row>
    <row r="134" spans="2:33" ht="15" customHeight="1" x14ac:dyDescent="0.3">
      <c r="B134" s="196" t="s">
        <v>7</v>
      </c>
      <c r="C134" s="197" t="s">
        <v>13</v>
      </c>
      <c r="D134" s="198" t="str">
        <f t="shared" si="19"/>
        <v>C</v>
      </c>
      <c r="E134" s="199">
        <v>44151.5</v>
      </c>
      <c r="F134" s="200" t="s">
        <v>113</v>
      </c>
      <c r="G134" s="201">
        <v>104.544</v>
      </c>
      <c r="H134" s="201">
        <v>105.179</v>
      </c>
      <c r="I134" s="202">
        <f t="shared" si="20"/>
        <v>0.63500000000000512</v>
      </c>
      <c r="J134" s="201">
        <v>101.58199999999999</v>
      </c>
      <c r="K134" s="199">
        <v>44151.57708333333</v>
      </c>
      <c r="L134" s="201">
        <v>104.86199999999999</v>
      </c>
      <c r="M134" s="203">
        <f t="shared" si="21"/>
        <v>-0.318</v>
      </c>
      <c r="N134" s="204">
        <f t="shared" si="22"/>
        <v>-0.5</v>
      </c>
      <c r="O134" s="205">
        <f t="shared" si="23"/>
        <v>0</v>
      </c>
      <c r="P134" s="206">
        <f t="shared" si="24"/>
        <v>0</v>
      </c>
      <c r="Q134" s="206">
        <f t="shared" si="25"/>
        <v>-0.5</v>
      </c>
      <c r="R1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269450</v>
      </c>
      <c r="T1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34" s="208">
        <f ca="1">IF(Tabla33610673[[#This Row],[Equity]]&lt;Tabla33610673[[#This Row],[Equity Peak]],(Tabla33610673[[#This Row],[Equity Peak]]-Tabla33610673[[#This Row],[Equity]])/Tabla33610673[[#This Row],[Equity Peak]],"")</f>
        <v>2.4438812454742938E-2</v>
      </c>
      <c r="V134" s="209">
        <f t="shared" si="26"/>
        <v>-0.5</v>
      </c>
      <c r="W134" s="209">
        <f t="shared" si="27"/>
        <v>0</v>
      </c>
      <c r="X134" s="209">
        <f t="shared" si="28"/>
        <v>0</v>
      </c>
      <c r="Y134" s="209">
        <f t="shared" si="29"/>
        <v>0</v>
      </c>
      <c r="Z134" s="209">
        <f t="shared" si="30"/>
        <v>0</v>
      </c>
      <c r="AA134" s="205">
        <f t="shared" si="31"/>
        <v>0</v>
      </c>
      <c r="AB134" s="209">
        <f t="shared" si="32"/>
        <v>0</v>
      </c>
      <c r="AC134" s="205">
        <f t="shared" si="33"/>
        <v>0</v>
      </c>
      <c r="AD134" s="210">
        <f t="shared" si="34"/>
        <v>7.7083333329937886E-2</v>
      </c>
      <c r="AE134" s="210">
        <f t="shared" si="35"/>
        <v>0</v>
      </c>
      <c r="AF134" s="210">
        <f t="shared" si="36"/>
        <v>7.7083333329937886E-2</v>
      </c>
      <c r="AG134" s="210">
        <f t="shared" si="37"/>
        <v>0</v>
      </c>
    </row>
    <row r="135" spans="2:33" ht="15" customHeight="1" x14ac:dyDescent="0.3">
      <c r="B135" s="196" t="s">
        <v>7</v>
      </c>
      <c r="C135" s="197" t="s">
        <v>15</v>
      </c>
      <c r="D135" s="198" t="str">
        <f t="shared" si="19"/>
        <v>C</v>
      </c>
      <c r="E135" s="199">
        <v>44139.833333333336</v>
      </c>
      <c r="F135" s="200" t="s">
        <v>122</v>
      </c>
      <c r="G135" s="201">
        <v>75.072999999999993</v>
      </c>
      <c r="H135" s="201">
        <v>74.334000000000003</v>
      </c>
      <c r="I135" s="202">
        <f t="shared" si="20"/>
        <v>0.73899999999999011</v>
      </c>
      <c r="J135" s="201">
        <v>87.88</v>
      </c>
      <c r="K135" s="199">
        <v>44147.919444444444</v>
      </c>
      <c r="L135" s="201">
        <v>76.016999999999996</v>
      </c>
      <c r="M135" s="203">
        <f t="shared" si="21"/>
        <v>0.94399999999999995</v>
      </c>
      <c r="N135" s="204">
        <f t="shared" si="22"/>
        <v>1.28</v>
      </c>
      <c r="O135" s="205">
        <f t="shared" si="23"/>
        <v>0</v>
      </c>
      <c r="P135" s="206">
        <f t="shared" si="24"/>
        <v>1.28</v>
      </c>
      <c r="Q135" s="206">
        <f t="shared" si="25"/>
        <v>0</v>
      </c>
      <c r="R1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269950</v>
      </c>
      <c r="T1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35" s="208">
        <f ca="1">IF(Tabla33610673[[#This Row],[Equity]]&lt;Tabla33610673[[#This Row],[Equity Peak]],(Tabla33610673[[#This Row],[Equity Peak]]-Tabla33610673[[#This Row],[Equity]])/Tabla33610673[[#This Row],[Equity Peak]],"")</f>
        <v>2.2628530050687906E-2</v>
      </c>
      <c r="V135" s="209">
        <f t="shared" si="26"/>
        <v>1.28</v>
      </c>
      <c r="W135" s="209">
        <f t="shared" si="27"/>
        <v>0</v>
      </c>
      <c r="X135" s="209">
        <f t="shared" si="28"/>
        <v>0</v>
      </c>
      <c r="Y135" s="209">
        <f t="shared" si="29"/>
        <v>0</v>
      </c>
      <c r="Z135" s="209">
        <f t="shared" si="30"/>
        <v>0</v>
      </c>
      <c r="AA135" s="205">
        <f t="shared" si="31"/>
        <v>0</v>
      </c>
      <c r="AB135" s="209">
        <f t="shared" si="32"/>
        <v>0</v>
      </c>
      <c r="AC135" s="205">
        <f t="shared" si="33"/>
        <v>0</v>
      </c>
      <c r="AD135" s="210">
        <f t="shared" si="34"/>
        <v>8.086111111108039</v>
      </c>
      <c r="AE135" s="210">
        <f t="shared" si="35"/>
        <v>8.086111111108039</v>
      </c>
      <c r="AF135" s="210">
        <f t="shared" si="36"/>
        <v>0</v>
      </c>
      <c r="AG135" s="210">
        <f t="shared" si="37"/>
        <v>0</v>
      </c>
    </row>
    <row r="136" spans="2:33" ht="15" customHeight="1" x14ac:dyDescent="0.3">
      <c r="B136" s="196" t="s">
        <v>7</v>
      </c>
      <c r="C136" s="197" t="s">
        <v>15</v>
      </c>
      <c r="D136" s="198" t="str">
        <f t="shared" si="19"/>
        <v>C</v>
      </c>
      <c r="E136" s="199">
        <v>44144.833333333336</v>
      </c>
      <c r="F136" s="200" t="s">
        <v>115</v>
      </c>
      <c r="G136" s="201">
        <v>138.59899999999999</v>
      </c>
      <c r="H136" s="201">
        <v>137.00399999999999</v>
      </c>
      <c r="I136" s="202">
        <f t="shared" si="20"/>
        <v>1.5949999999999989</v>
      </c>
      <c r="J136" s="201">
        <v>147.53</v>
      </c>
      <c r="K136" s="199">
        <v>44147.73541666667</v>
      </c>
      <c r="L136" s="201">
        <v>138.191</v>
      </c>
      <c r="M136" s="203">
        <f t="shared" si="21"/>
        <v>-0.40799999999999997</v>
      </c>
      <c r="N136" s="204">
        <f t="shared" si="22"/>
        <v>-0.26</v>
      </c>
      <c r="O136" s="205">
        <f t="shared" si="23"/>
        <v>0</v>
      </c>
      <c r="P136" s="206">
        <f t="shared" si="24"/>
        <v>0</v>
      </c>
      <c r="Q136" s="206">
        <f t="shared" si="25"/>
        <v>-0.26</v>
      </c>
      <c r="R1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268670</v>
      </c>
      <c r="T1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36" s="208">
        <f ca="1">IF(Tabla33610673[[#This Row],[Equity]]&lt;Tabla33610673[[#This Row],[Equity Peak]],(Tabla33610673[[#This Row],[Equity Peak]]-Tabla33610673[[#This Row],[Equity]])/Tabla33610673[[#This Row],[Equity Peak]],"")</f>
        <v>2.7262853005068789E-2</v>
      </c>
      <c r="V136" s="209">
        <f t="shared" si="26"/>
        <v>-0.26</v>
      </c>
      <c r="W136" s="209">
        <f t="shared" si="27"/>
        <v>0</v>
      </c>
      <c r="X136" s="209">
        <f t="shared" si="28"/>
        <v>0</v>
      </c>
      <c r="Y136" s="209">
        <f t="shared" si="29"/>
        <v>0</v>
      </c>
      <c r="Z136" s="209">
        <f t="shared" si="30"/>
        <v>0</v>
      </c>
      <c r="AA136" s="205">
        <f t="shared" si="31"/>
        <v>0</v>
      </c>
      <c r="AB136" s="209">
        <f t="shared" si="32"/>
        <v>0</v>
      </c>
      <c r="AC136" s="205">
        <f t="shared" si="33"/>
        <v>0</v>
      </c>
      <c r="AD136" s="210">
        <f t="shared" si="34"/>
        <v>2.9020833333343035</v>
      </c>
      <c r="AE136" s="210">
        <f t="shared" si="35"/>
        <v>0</v>
      </c>
      <c r="AF136" s="210">
        <f t="shared" si="36"/>
        <v>2.9020833333343035</v>
      </c>
      <c r="AG136" s="210">
        <f t="shared" si="37"/>
        <v>0</v>
      </c>
    </row>
    <row r="137" spans="2:33" ht="15" customHeight="1" x14ac:dyDescent="0.3">
      <c r="B137" s="196" t="s">
        <v>19</v>
      </c>
      <c r="C137" s="197" t="s">
        <v>15</v>
      </c>
      <c r="D137" s="198" t="str">
        <f t="shared" si="19"/>
        <v>C</v>
      </c>
      <c r="E137" s="199">
        <v>44146.125</v>
      </c>
      <c r="F137" s="200" t="s">
        <v>108</v>
      </c>
      <c r="G137" s="201">
        <v>41.726999999999997</v>
      </c>
      <c r="H137" s="201">
        <v>40.243000000000002</v>
      </c>
      <c r="I137" s="202">
        <f t="shared" si="20"/>
        <v>1.4839999999999947</v>
      </c>
      <c r="J137" s="201">
        <v>59.536999999999999</v>
      </c>
      <c r="K137" s="199">
        <v>44146.89166666667</v>
      </c>
      <c r="L137" s="201">
        <v>41.698999999999998</v>
      </c>
      <c r="M137" s="203">
        <f t="shared" si="21"/>
        <v>-2.8000000000000001E-2</v>
      </c>
      <c r="N137" s="204">
        <f t="shared" si="22"/>
        <v>-0.02</v>
      </c>
      <c r="O137" s="205">
        <f t="shared" si="23"/>
        <v>0</v>
      </c>
      <c r="P137" s="206">
        <f t="shared" si="24"/>
        <v>0</v>
      </c>
      <c r="Q137" s="206">
        <f t="shared" si="25"/>
        <v>-0.02</v>
      </c>
      <c r="R1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268930</v>
      </c>
      <c r="T1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37" s="208">
        <f ca="1">IF(Tabla33610673[[#This Row],[Equity]]&lt;Tabla33610673[[#This Row],[Equity Peak]],(Tabla33610673[[#This Row],[Equity Peak]]-Tabla33610673[[#This Row],[Equity]])/Tabla33610673[[#This Row],[Equity Peak]],"")</f>
        <v>2.6321506154960175E-2</v>
      </c>
      <c r="V137" s="209">
        <f t="shared" si="26"/>
        <v>0</v>
      </c>
      <c r="W137" s="209">
        <f t="shared" si="27"/>
        <v>0</v>
      </c>
      <c r="X137" s="209">
        <f t="shared" si="28"/>
        <v>-0.02</v>
      </c>
      <c r="Y137" s="209">
        <f t="shared" si="29"/>
        <v>0</v>
      </c>
      <c r="Z137" s="209">
        <f t="shared" si="30"/>
        <v>0</v>
      </c>
      <c r="AA137" s="205">
        <f t="shared" si="31"/>
        <v>0</v>
      </c>
      <c r="AB137" s="209">
        <f t="shared" si="32"/>
        <v>0</v>
      </c>
      <c r="AC137" s="205">
        <f t="shared" si="33"/>
        <v>0</v>
      </c>
      <c r="AD137" s="210">
        <f t="shared" si="34"/>
        <v>0.76666666667006211</v>
      </c>
      <c r="AE137" s="210">
        <f t="shared" si="35"/>
        <v>0</v>
      </c>
      <c r="AF137" s="210">
        <f t="shared" si="36"/>
        <v>0.76666666667006211</v>
      </c>
      <c r="AG137" s="210">
        <f t="shared" si="37"/>
        <v>0</v>
      </c>
    </row>
    <row r="138" spans="2:33" ht="15" customHeight="1" x14ac:dyDescent="0.3">
      <c r="B138" s="196" t="s">
        <v>7</v>
      </c>
      <c r="C138" s="197" t="s">
        <v>15</v>
      </c>
      <c r="D138" s="198" t="str">
        <f t="shared" si="19"/>
        <v>C</v>
      </c>
      <c r="E138" s="199">
        <v>44141.5</v>
      </c>
      <c r="F138" s="200" t="s">
        <v>117</v>
      </c>
      <c r="G138" s="201">
        <v>1.1853199999999999</v>
      </c>
      <c r="H138" s="201">
        <v>1.1724300000000001</v>
      </c>
      <c r="I138" s="202">
        <f t="shared" si="20"/>
        <v>1.2889999999999846E-2</v>
      </c>
      <c r="J138" s="201">
        <v>1.26783</v>
      </c>
      <c r="K138" s="199">
        <v>44145.535416666666</v>
      </c>
      <c r="L138" s="201">
        <v>1.1788799999999999</v>
      </c>
      <c r="M138" s="203">
        <f t="shared" si="21"/>
        <v>-6.4000000000000003E-3</v>
      </c>
      <c r="N138" s="204">
        <f t="shared" si="22"/>
        <v>-0.5</v>
      </c>
      <c r="O138" s="205">
        <f t="shared" si="23"/>
        <v>0</v>
      </c>
      <c r="P138" s="206">
        <f t="shared" si="24"/>
        <v>0</v>
      </c>
      <c r="Q138" s="206">
        <f t="shared" si="25"/>
        <v>-0.5</v>
      </c>
      <c r="R1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268950</v>
      </c>
      <c r="T1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38" s="208">
        <f ca="1">IF(Tabla33610673[[#This Row],[Equity]]&lt;Tabla33610673[[#This Row],[Equity Peak]],(Tabla33610673[[#This Row],[Equity Peak]]-Tabla33610673[[#This Row],[Equity]])/Tabla33610673[[#This Row],[Equity Peak]],"")</f>
        <v>2.6249094858797971E-2</v>
      </c>
      <c r="V138" s="209">
        <f t="shared" si="26"/>
        <v>-0.5</v>
      </c>
      <c r="W138" s="209">
        <f t="shared" si="27"/>
        <v>0</v>
      </c>
      <c r="X138" s="209">
        <f t="shared" si="28"/>
        <v>0</v>
      </c>
      <c r="Y138" s="209">
        <f t="shared" si="29"/>
        <v>0</v>
      </c>
      <c r="Z138" s="209">
        <f t="shared" si="30"/>
        <v>0</v>
      </c>
      <c r="AA138" s="205">
        <f t="shared" si="31"/>
        <v>0</v>
      </c>
      <c r="AB138" s="209">
        <f t="shared" si="32"/>
        <v>0</v>
      </c>
      <c r="AC138" s="205">
        <f t="shared" si="33"/>
        <v>0</v>
      </c>
      <c r="AD138" s="210">
        <f t="shared" si="34"/>
        <v>4.0354166666656965</v>
      </c>
      <c r="AE138" s="210">
        <f t="shared" si="35"/>
        <v>0</v>
      </c>
      <c r="AF138" s="210">
        <f t="shared" si="36"/>
        <v>4.0354166666656965</v>
      </c>
      <c r="AG138" s="210">
        <f t="shared" si="37"/>
        <v>0</v>
      </c>
    </row>
    <row r="139" spans="2:33" ht="15" customHeight="1" x14ac:dyDescent="0.3">
      <c r="B139" s="196" t="s">
        <v>19</v>
      </c>
      <c r="C139" s="197" t="s">
        <v>15</v>
      </c>
      <c r="D139" s="198" t="str">
        <f t="shared" si="19"/>
        <v>C</v>
      </c>
      <c r="E139" s="199">
        <v>44144.625</v>
      </c>
      <c r="F139" s="200" t="s">
        <v>108</v>
      </c>
      <c r="G139" s="201">
        <v>40.911999999999999</v>
      </c>
      <c r="H139" s="201">
        <v>39.424999999999997</v>
      </c>
      <c r="I139" s="202">
        <f t="shared" si="20"/>
        <v>1.4870000000000019</v>
      </c>
      <c r="J139" s="201">
        <v>58.75</v>
      </c>
      <c r="K139" s="199">
        <v>44144.984027777777</v>
      </c>
      <c r="L139" s="201">
        <v>39.993000000000002</v>
      </c>
      <c r="M139" s="203">
        <f t="shared" si="21"/>
        <v>-0.91900000000000004</v>
      </c>
      <c r="N139" s="204">
        <f t="shared" si="22"/>
        <v>-0.62</v>
      </c>
      <c r="O139" s="205">
        <f t="shared" si="23"/>
        <v>0</v>
      </c>
      <c r="P139" s="206">
        <f t="shared" si="24"/>
        <v>0</v>
      </c>
      <c r="Q139" s="206">
        <f t="shared" si="25"/>
        <v>-0.62</v>
      </c>
      <c r="R1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269450</v>
      </c>
      <c r="T1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39" s="208">
        <f ca="1">IF(Tabla33610673[[#This Row],[Equity]]&lt;Tabla33610673[[#This Row],[Equity Peak]],(Tabla33610673[[#This Row],[Equity Peak]]-Tabla33610673[[#This Row],[Equity]])/Tabla33610673[[#This Row],[Equity Peak]],"")</f>
        <v>2.4438812454742938E-2</v>
      </c>
      <c r="V139" s="209">
        <f t="shared" si="26"/>
        <v>0</v>
      </c>
      <c r="W139" s="209">
        <f t="shared" si="27"/>
        <v>0</v>
      </c>
      <c r="X139" s="209">
        <f t="shared" si="28"/>
        <v>-0.62</v>
      </c>
      <c r="Y139" s="209">
        <f t="shared" si="29"/>
        <v>0</v>
      </c>
      <c r="Z139" s="209">
        <f t="shared" si="30"/>
        <v>0</v>
      </c>
      <c r="AA139" s="205">
        <f t="shared" si="31"/>
        <v>0</v>
      </c>
      <c r="AB139" s="209">
        <f t="shared" si="32"/>
        <v>0</v>
      </c>
      <c r="AC139" s="205">
        <f t="shared" si="33"/>
        <v>0</v>
      </c>
      <c r="AD139" s="210">
        <f t="shared" si="34"/>
        <v>0.35902777777664596</v>
      </c>
      <c r="AE139" s="210">
        <f t="shared" si="35"/>
        <v>0</v>
      </c>
      <c r="AF139" s="210">
        <f t="shared" si="36"/>
        <v>0.35902777777664596</v>
      </c>
      <c r="AG139" s="210">
        <f t="shared" si="37"/>
        <v>0</v>
      </c>
    </row>
    <row r="140" spans="2:33" ht="15" customHeight="1" x14ac:dyDescent="0.3">
      <c r="B140" s="196" t="s">
        <v>5</v>
      </c>
      <c r="C140" s="197" t="s">
        <v>15</v>
      </c>
      <c r="D140" s="198" t="str">
        <f t="shared" si="19"/>
        <v>C</v>
      </c>
      <c r="E140" s="199">
        <v>44139.833333333336</v>
      </c>
      <c r="F140" s="200" t="s">
        <v>93</v>
      </c>
      <c r="G140" s="201">
        <v>3476.25</v>
      </c>
      <c r="H140" s="201">
        <v>3402.12</v>
      </c>
      <c r="I140" s="202">
        <f t="shared" si="20"/>
        <v>74.130000000000109</v>
      </c>
      <c r="J140" s="201">
        <v>3673.93</v>
      </c>
      <c r="K140" s="199">
        <v>44144.652083333334</v>
      </c>
      <c r="L140" s="201">
        <v>3673.93</v>
      </c>
      <c r="M140" s="203">
        <f t="shared" si="21"/>
        <v>197.68</v>
      </c>
      <c r="N140" s="204">
        <f t="shared" si="22"/>
        <v>2.67</v>
      </c>
      <c r="O140" s="205">
        <f t="shared" si="23"/>
        <v>0</v>
      </c>
      <c r="P140" s="206">
        <f t="shared" si="24"/>
        <v>2.67</v>
      </c>
      <c r="Q140" s="206">
        <f t="shared" si="25"/>
        <v>0</v>
      </c>
      <c r="R1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270070</v>
      </c>
      <c r="T1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40" s="208">
        <f ca="1">IF(Tabla33610673[[#This Row],[Equity]]&lt;Tabla33610673[[#This Row],[Equity Peak]],(Tabla33610673[[#This Row],[Equity Peak]]-Tabla33610673[[#This Row],[Equity]])/Tabla33610673[[#This Row],[Equity Peak]],"")</f>
        <v>2.2194062273714701E-2</v>
      </c>
      <c r="V140" s="209">
        <f t="shared" si="26"/>
        <v>0</v>
      </c>
      <c r="W140" s="209">
        <f t="shared" si="27"/>
        <v>0</v>
      </c>
      <c r="X140" s="209">
        <f t="shared" si="28"/>
        <v>0</v>
      </c>
      <c r="Y140" s="209">
        <f t="shared" si="29"/>
        <v>0</v>
      </c>
      <c r="Z140" s="209">
        <f t="shared" si="30"/>
        <v>2.67</v>
      </c>
      <c r="AA140" s="205">
        <f t="shared" si="31"/>
        <v>0</v>
      </c>
      <c r="AB140" s="209">
        <f t="shared" si="32"/>
        <v>0</v>
      </c>
      <c r="AC140" s="205">
        <f t="shared" si="33"/>
        <v>0</v>
      </c>
      <c r="AD140" s="210">
        <f t="shared" si="34"/>
        <v>4.8187499999985448</v>
      </c>
      <c r="AE140" s="210">
        <f t="shared" si="35"/>
        <v>4.8187499999985448</v>
      </c>
      <c r="AF140" s="210">
        <f t="shared" si="36"/>
        <v>0</v>
      </c>
      <c r="AG140" s="210">
        <f t="shared" si="37"/>
        <v>0</v>
      </c>
    </row>
    <row r="141" spans="2:33" ht="15" customHeight="1" x14ac:dyDescent="0.3">
      <c r="B141" s="196" t="s">
        <v>5</v>
      </c>
      <c r="C141" s="197" t="s">
        <v>15</v>
      </c>
      <c r="D141" s="198" t="str">
        <f t="shared" si="19"/>
        <v>C</v>
      </c>
      <c r="E141" s="199">
        <v>44139.833333333336</v>
      </c>
      <c r="F141" s="200" t="s">
        <v>92</v>
      </c>
      <c r="G141" s="201">
        <v>11812.3</v>
      </c>
      <c r="H141" s="201">
        <v>11487.32</v>
      </c>
      <c r="I141" s="202">
        <f t="shared" si="20"/>
        <v>324.97999999999956</v>
      </c>
      <c r="J141" s="201">
        <v>13978.81</v>
      </c>
      <c r="K141" s="199">
        <v>44144.605555555558</v>
      </c>
      <c r="L141" s="201">
        <v>12126.23</v>
      </c>
      <c r="M141" s="203">
        <f t="shared" si="21"/>
        <v>313.93</v>
      </c>
      <c r="N141" s="204">
        <f t="shared" si="22"/>
        <v>0.97</v>
      </c>
      <c r="O141" s="205">
        <f t="shared" si="23"/>
        <v>0</v>
      </c>
      <c r="P141" s="206">
        <f t="shared" si="24"/>
        <v>0.97</v>
      </c>
      <c r="Q141" s="206">
        <f t="shared" si="25"/>
        <v>0</v>
      </c>
      <c r="R1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267400</v>
      </c>
      <c r="T1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41" s="208">
        <f ca="1">IF(Tabla33610673[[#This Row],[Equity]]&lt;Tabla33610673[[#This Row],[Equity Peak]],(Tabla33610673[[#This Row],[Equity Peak]]-Tabla33610673[[#This Row],[Equity]])/Tabla33610673[[#This Row],[Equity Peak]],"")</f>
        <v>3.1860970311368572E-2</v>
      </c>
      <c r="V141" s="209">
        <f t="shared" si="26"/>
        <v>0</v>
      </c>
      <c r="W141" s="209">
        <f t="shared" si="27"/>
        <v>0</v>
      </c>
      <c r="X141" s="209">
        <f t="shared" si="28"/>
        <v>0</v>
      </c>
      <c r="Y141" s="209">
        <f t="shared" si="29"/>
        <v>0</v>
      </c>
      <c r="Z141" s="209">
        <f t="shared" si="30"/>
        <v>0.97</v>
      </c>
      <c r="AA141" s="205">
        <f t="shared" si="31"/>
        <v>0</v>
      </c>
      <c r="AB141" s="209">
        <f t="shared" si="32"/>
        <v>0</v>
      </c>
      <c r="AC141" s="205">
        <f t="shared" si="33"/>
        <v>0</v>
      </c>
      <c r="AD141" s="210">
        <f t="shared" si="34"/>
        <v>4.7722222222218988</v>
      </c>
      <c r="AE141" s="210">
        <f t="shared" si="35"/>
        <v>4.7722222222218988</v>
      </c>
      <c r="AF141" s="210">
        <f t="shared" si="36"/>
        <v>0</v>
      </c>
      <c r="AG141" s="210">
        <f t="shared" si="37"/>
        <v>0</v>
      </c>
    </row>
    <row r="142" spans="2:33" ht="15" customHeight="1" x14ac:dyDescent="0.3">
      <c r="B142" s="196" t="s">
        <v>19</v>
      </c>
      <c r="C142" s="197" t="s">
        <v>15</v>
      </c>
      <c r="D142" s="198" t="str">
        <f t="shared" si="19"/>
        <v>C</v>
      </c>
      <c r="E142" s="199">
        <v>44141.041666666664</v>
      </c>
      <c r="F142" s="200" t="s">
        <v>89</v>
      </c>
      <c r="G142" s="201">
        <v>25.363</v>
      </c>
      <c r="H142" s="201">
        <v>24.556000000000001</v>
      </c>
      <c r="I142" s="202">
        <f t="shared" si="20"/>
        <v>0.80699999999999861</v>
      </c>
      <c r="J142" s="201">
        <v>29.238</v>
      </c>
      <c r="K142" s="199">
        <v>44144.589583333334</v>
      </c>
      <c r="L142" s="201">
        <v>24.556000000000001</v>
      </c>
      <c r="M142" s="203">
        <f t="shared" si="21"/>
        <v>-0.80700000000000005</v>
      </c>
      <c r="N142" s="204">
        <f t="shared" si="22"/>
        <v>-1</v>
      </c>
      <c r="O142" s="205">
        <f t="shared" si="23"/>
        <v>0</v>
      </c>
      <c r="P142" s="206">
        <f t="shared" si="24"/>
        <v>0</v>
      </c>
      <c r="Q142" s="206">
        <f t="shared" si="25"/>
        <v>-1</v>
      </c>
      <c r="R1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266430</v>
      </c>
      <c r="T1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42" s="208">
        <f ca="1">IF(Tabla33610673[[#This Row],[Equity]]&lt;Tabla33610673[[#This Row],[Equity Peak]],(Tabla33610673[[#This Row],[Equity Peak]]-Tabla33610673[[#This Row],[Equity]])/Tabla33610673[[#This Row],[Equity Peak]],"")</f>
        <v>3.5372918175235336E-2</v>
      </c>
      <c r="V142" s="209">
        <f t="shared" si="26"/>
        <v>0</v>
      </c>
      <c r="W142" s="209">
        <f t="shared" si="27"/>
        <v>0</v>
      </c>
      <c r="X142" s="209">
        <f t="shared" si="28"/>
        <v>-1</v>
      </c>
      <c r="Y142" s="209">
        <f t="shared" si="29"/>
        <v>0</v>
      </c>
      <c r="Z142" s="209">
        <f t="shared" si="30"/>
        <v>0</v>
      </c>
      <c r="AA142" s="205">
        <f t="shared" si="31"/>
        <v>0</v>
      </c>
      <c r="AB142" s="209">
        <f t="shared" si="32"/>
        <v>0</v>
      </c>
      <c r="AC142" s="205">
        <f t="shared" si="33"/>
        <v>0</v>
      </c>
      <c r="AD142" s="210">
        <f t="shared" si="34"/>
        <v>3.5479166666700621</v>
      </c>
      <c r="AE142" s="210">
        <f t="shared" si="35"/>
        <v>0</v>
      </c>
      <c r="AF142" s="210">
        <f t="shared" si="36"/>
        <v>3.5479166666700621</v>
      </c>
      <c r="AG142" s="210">
        <f t="shared" si="37"/>
        <v>0</v>
      </c>
    </row>
    <row r="143" spans="2:33" ht="15" customHeight="1" x14ac:dyDescent="0.3">
      <c r="B143" s="196" t="s">
        <v>5</v>
      </c>
      <c r="C143" s="197" t="s">
        <v>15</v>
      </c>
      <c r="D143" s="198" t="str">
        <f t="shared" si="19"/>
        <v>C</v>
      </c>
      <c r="E143" s="199">
        <v>44140.833333333336</v>
      </c>
      <c r="F143" s="200" t="s">
        <v>95</v>
      </c>
      <c r="G143" s="201">
        <v>28358.799999999999</v>
      </c>
      <c r="H143" s="201">
        <v>28055.18</v>
      </c>
      <c r="I143" s="202">
        <f t="shared" si="20"/>
        <v>303.61999999999898</v>
      </c>
      <c r="J143" s="201">
        <v>29573.27</v>
      </c>
      <c r="K143" s="199">
        <v>44144.577777777777</v>
      </c>
      <c r="L143" s="201">
        <v>29573.27</v>
      </c>
      <c r="M143" s="203">
        <f t="shared" si="21"/>
        <v>1214.47</v>
      </c>
      <c r="N143" s="204">
        <f t="shared" si="22"/>
        <v>4</v>
      </c>
      <c r="O143" s="205">
        <f t="shared" si="23"/>
        <v>0</v>
      </c>
      <c r="P143" s="206">
        <f t="shared" si="24"/>
        <v>4</v>
      </c>
      <c r="Q143" s="206">
        <f t="shared" si="25"/>
        <v>0</v>
      </c>
      <c r="R1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267430</v>
      </c>
      <c r="T1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43" s="208">
        <f ca="1">IF(Tabla33610673[[#This Row],[Equity]]&lt;Tabla33610673[[#This Row],[Equity Peak]],(Tabla33610673[[#This Row],[Equity Peak]]-Tabla33610673[[#This Row],[Equity]])/Tabla33610673[[#This Row],[Equity Peak]],"")</f>
        <v>3.1752353367125272E-2</v>
      </c>
      <c r="V143" s="209">
        <f t="shared" si="26"/>
        <v>0</v>
      </c>
      <c r="W143" s="209">
        <f t="shared" si="27"/>
        <v>0</v>
      </c>
      <c r="X143" s="209">
        <f t="shared" si="28"/>
        <v>0</v>
      </c>
      <c r="Y143" s="209">
        <f t="shared" si="29"/>
        <v>0</v>
      </c>
      <c r="Z143" s="209">
        <f t="shared" si="30"/>
        <v>4</v>
      </c>
      <c r="AA143" s="205">
        <f t="shared" si="31"/>
        <v>0</v>
      </c>
      <c r="AB143" s="209">
        <f t="shared" si="32"/>
        <v>0</v>
      </c>
      <c r="AC143" s="205">
        <f t="shared" si="33"/>
        <v>0</v>
      </c>
      <c r="AD143" s="210">
        <f t="shared" si="34"/>
        <v>3.7444444444408873</v>
      </c>
      <c r="AE143" s="210">
        <f t="shared" si="35"/>
        <v>3.7444444444408873</v>
      </c>
      <c r="AF143" s="210">
        <f t="shared" si="36"/>
        <v>0</v>
      </c>
      <c r="AG143" s="210">
        <f t="shared" si="37"/>
        <v>0</v>
      </c>
    </row>
    <row r="144" spans="2:33" ht="15" customHeight="1" x14ac:dyDescent="0.3">
      <c r="B144" s="196" t="s">
        <v>7</v>
      </c>
      <c r="C144" s="197" t="s">
        <v>13</v>
      </c>
      <c r="D144" s="198" t="str">
        <f t="shared" si="19"/>
        <v>C</v>
      </c>
      <c r="E144" s="199">
        <v>44140.666666666664</v>
      </c>
      <c r="F144" s="200" t="s">
        <v>113</v>
      </c>
      <c r="G144" s="201">
        <v>103.667</v>
      </c>
      <c r="H144" s="201">
        <v>104.976</v>
      </c>
      <c r="I144" s="202">
        <f t="shared" si="20"/>
        <v>1.3089999999999975</v>
      </c>
      <c r="J144" s="201">
        <v>97.56</v>
      </c>
      <c r="K144" s="199">
        <v>44144.56527777778</v>
      </c>
      <c r="L144" s="201">
        <v>103.76900000000001</v>
      </c>
      <c r="M144" s="203">
        <f t="shared" si="21"/>
        <v>-0.10199999999999999</v>
      </c>
      <c r="N144" s="204">
        <f t="shared" si="22"/>
        <v>-0.08</v>
      </c>
      <c r="O144" s="205">
        <f t="shared" si="23"/>
        <v>0</v>
      </c>
      <c r="P144" s="206">
        <f t="shared" si="24"/>
        <v>0</v>
      </c>
      <c r="Q144" s="206">
        <f t="shared" si="25"/>
        <v>-0.08</v>
      </c>
      <c r="R1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263430</v>
      </c>
      <c r="T1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44" s="208">
        <f ca="1">IF(Tabla33610673[[#This Row],[Equity]]&lt;Tabla33610673[[#This Row],[Equity Peak]],(Tabla33610673[[#This Row],[Equity Peak]]-Tabla33610673[[#This Row],[Equity]])/Tabla33610673[[#This Row],[Equity Peak]],"")</f>
        <v>4.623461259956553E-2</v>
      </c>
      <c r="V144" s="209">
        <f t="shared" si="26"/>
        <v>-0.08</v>
      </c>
      <c r="W144" s="209">
        <f t="shared" si="27"/>
        <v>0</v>
      </c>
      <c r="X144" s="209">
        <f t="shared" si="28"/>
        <v>0</v>
      </c>
      <c r="Y144" s="209">
        <f t="shared" si="29"/>
        <v>0</v>
      </c>
      <c r="Z144" s="209">
        <f t="shared" si="30"/>
        <v>0</v>
      </c>
      <c r="AA144" s="205">
        <f t="shared" si="31"/>
        <v>0</v>
      </c>
      <c r="AB144" s="209">
        <f t="shared" si="32"/>
        <v>0</v>
      </c>
      <c r="AC144" s="205">
        <f t="shared" si="33"/>
        <v>0</v>
      </c>
      <c r="AD144" s="210">
        <f t="shared" si="34"/>
        <v>3.898611111115315</v>
      </c>
      <c r="AE144" s="210">
        <f t="shared" si="35"/>
        <v>0</v>
      </c>
      <c r="AF144" s="210">
        <f t="shared" si="36"/>
        <v>3.898611111115315</v>
      </c>
      <c r="AG144" s="210">
        <f t="shared" si="37"/>
        <v>0</v>
      </c>
    </row>
    <row r="145" spans="2:33" ht="15" customHeight="1" x14ac:dyDescent="0.3">
      <c r="B145" s="196" t="s">
        <v>19</v>
      </c>
      <c r="C145" s="197" t="s">
        <v>13</v>
      </c>
      <c r="D145" s="198" t="str">
        <f t="shared" ref="D145:D208" si="38">IF(E145&lt;&gt;"",IF(K145&lt;&gt;"","C","O"),"")</f>
        <v>C</v>
      </c>
      <c r="E145" s="199">
        <v>44141.291666666664</v>
      </c>
      <c r="F145" s="200" t="s">
        <v>108</v>
      </c>
      <c r="G145" s="201">
        <v>37.887</v>
      </c>
      <c r="H145" s="201">
        <v>39.354999999999997</v>
      </c>
      <c r="I145" s="202">
        <f t="shared" ref="I145:I208" si="39">ABS(G145-H145)</f>
        <v>1.4679999999999964</v>
      </c>
      <c r="J145" s="201">
        <v>20.27</v>
      </c>
      <c r="K145" s="199">
        <v>44144.130555555559</v>
      </c>
      <c r="L145" s="201">
        <v>38.354999999999997</v>
      </c>
      <c r="M145" s="203">
        <f t="shared" ref="M145:M208" si="40">ROUND(IF(C145="L",(L145-G145),(G145-L145)),4)</f>
        <v>-0.46800000000000003</v>
      </c>
      <c r="N145" s="204">
        <f t="shared" ref="N145:N208" si="41">IFERROR(ROUND((M145/I145),2),"")</f>
        <v>-0.32</v>
      </c>
      <c r="O145" s="205">
        <f t="shared" ref="O145:O208" si="42">IF(D145="O",IF(N145&lt;0,N145,0),0)</f>
        <v>0</v>
      </c>
      <c r="P145" s="206">
        <f t="shared" ref="P145:P208" si="43">IF(N145&gt;= 0,N145,0)</f>
        <v>0</v>
      </c>
      <c r="Q145" s="206">
        <f t="shared" ref="Q145:Q208" si="44">IF(N145&lt;0,N145,0)</f>
        <v>-0.32</v>
      </c>
      <c r="R1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263510</v>
      </c>
      <c r="T1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45" s="208">
        <f ca="1">IF(Tabla33610673[[#This Row],[Equity]]&lt;Tabla33610673[[#This Row],[Equity Peak]],(Tabla33610673[[#This Row],[Equity Peak]]-Tabla33610673[[#This Row],[Equity]])/Tabla33610673[[#This Row],[Equity Peak]],"")</f>
        <v>4.5944967414916729E-2</v>
      </c>
      <c r="V145" s="209">
        <f t="shared" ref="V145:V208" si="45">IF(B145="FX",N145,0)</f>
        <v>0</v>
      </c>
      <c r="W145" s="209">
        <f t="shared" ref="W145:W208" si="46">IF(D145="O",IF(V145&lt;0,V145,0),0)</f>
        <v>0</v>
      </c>
      <c r="X145" s="209">
        <f t="shared" ref="X145:X208" si="47">IF(B145="COM",N145,0)</f>
        <v>-0.32</v>
      </c>
      <c r="Y145" s="209">
        <f t="shared" ref="Y145:Y208" si="48">IF(D145="O",IF(X145&lt;0,X145,0),0)</f>
        <v>0</v>
      </c>
      <c r="Z145" s="209">
        <f t="shared" ref="Z145:Z208" si="49">IF(B145="IND",N145,0)</f>
        <v>0</v>
      </c>
      <c r="AA145" s="205">
        <f t="shared" ref="AA145:AA208" si="50">IF(D145="O",IF(Z145&lt;0,Z145,0),0)</f>
        <v>0</v>
      </c>
      <c r="AB145" s="209">
        <f t="shared" ref="AB145:AB208" si="51">IF(B145="CRYPTO",N145,0)</f>
        <v>0</v>
      </c>
      <c r="AC145" s="205">
        <f t="shared" ref="AC145:AC208" si="52">IF(D145="O",IF(AB145&lt;0,AB145,0),0)</f>
        <v>0</v>
      </c>
      <c r="AD145" s="210">
        <f t="shared" ref="AD145:AD208" si="53">IF(K145&lt;&gt;"",K145-E145,0)</f>
        <v>2.8388888888948713</v>
      </c>
      <c r="AE145" s="210">
        <f t="shared" ref="AE145:AE208" si="54">IF(N145&gt;0,AD145,0)</f>
        <v>0</v>
      </c>
      <c r="AF145" s="210">
        <f t="shared" ref="AF145:AF208" si="55">IF(N145&lt;0,AD145,0)</f>
        <v>2.8388888888948713</v>
      </c>
      <c r="AG145" s="210">
        <f t="shared" ref="AG145:AG208" si="56">IF(N145=0,AD145,0)</f>
        <v>0</v>
      </c>
    </row>
    <row r="146" spans="2:33" ht="15" customHeight="1" x14ac:dyDescent="0.3">
      <c r="B146" s="196" t="s">
        <v>19</v>
      </c>
      <c r="C146" s="197" t="s">
        <v>15</v>
      </c>
      <c r="D146" s="198" t="str">
        <f t="shared" si="38"/>
        <v>C</v>
      </c>
      <c r="E146" s="199">
        <v>44141.125</v>
      </c>
      <c r="F146" s="200" t="s">
        <v>108</v>
      </c>
      <c r="G146" s="201">
        <v>38.518999999999998</v>
      </c>
      <c r="H146" s="201">
        <v>37.052999999999997</v>
      </c>
      <c r="I146" s="202">
        <f t="shared" si="39"/>
        <v>1.4660000000000011</v>
      </c>
      <c r="J146" s="201">
        <v>56.106999999999999</v>
      </c>
      <c r="K146" s="199">
        <v>44141.291666666664</v>
      </c>
      <c r="L146" s="201">
        <v>37.887</v>
      </c>
      <c r="M146" s="203">
        <f t="shared" si="40"/>
        <v>-0.63200000000000001</v>
      </c>
      <c r="N146" s="204">
        <f t="shared" si="41"/>
        <v>-0.43</v>
      </c>
      <c r="O146" s="205">
        <f t="shared" si="42"/>
        <v>0</v>
      </c>
      <c r="P146" s="206">
        <f t="shared" si="43"/>
        <v>0</v>
      </c>
      <c r="Q146" s="206">
        <f t="shared" si="44"/>
        <v>-0.43</v>
      </c>
      <c r="R1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263830</v>
      </c>
      <c r="T1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46" s="208">
        <f ca="1">IF(Tabla33610673[[#This Row],[Equity]]&lt;Tabla33610673[[#This Row],[Equity Peak]],(Tabla33610673[[#This Row],[Equity Peak]]-Tabla33610673[[#This Row],[Equity]])/Tabla33610673[[#This Row],[Equity Peak]],"")</f>
        <v>4.4786386676321503E-2</v>
      </c>
      <c r="V146" s="209">
        <f t="shared" si="45"/>
        <v>0</v>
      </c>
      <c r="W146" s="209">
        <f t="shared" si="46"/>
        <v>0</v>
      </c>
      <c r="X146" s="209">
        <f t="shared" si="47"/>
        <v>-0.43</v>
      </c>
      <c r="Y146" s="209">
        <f t="shared" si="48"/>
        <v>0</v>
      </c>
      <c r="Z146" s="209">
        <f t="shared" si="49"/>
        <v>0</v>
      </c>
      <c r="AA146" s="205">
        <f t="shared" si="50"/>
        <v>0</v>
      </c>
      <c r="AB146" s="209">
        <f t="shared" si="51"/>
        <v>0</v>
      </c>
      <c r="AC146" s="205">
        <f t="shared" si="52"/>
        <v>0</v>
      </c>
      <c r="AD146" s="210">
        <f t="shared" si="53"/>
        <v>0.16666666666424135</v>
      </c>
      <c r="AE146" s="210">
        <f t="shared" si="54"/>
        <v>0</v>
      </c>
      <c r="AF146" s="210">
        <f t="shared" si="55"/>
        <v>0.16666666666424135</v>
      </c>
      <c r="AG146" s="210">
        <f t="shared" si="56"/>
        <v>0</v>
      </c>
    </row>
    <row r="147" spans="2:33" ht="15" customHeight="1" x14ac:dyDescent="0.3">
      <c r="B147" s="196" t="s">
        <v>5</v>
      </c>
      <c r="C147" s="197" t="s">
        <v>15</v>
      </c>
      <c r="D147" s="198" t="str">
        <f t="shared" si="38"/>
        <v>C</v>
      </c>
      <c r="E147" s="199">
        <v>44139.833333333336</v>
      </c>
      <c r="F147" s="200" t="s">
        <v>95</v>
      </c>
      <c r="G147" s="201">
        <v>28198.2</v>
      </c>
      <c r="H147" s="201">
        <v>27897.86</v>
      </c>
      <c r="I147" s="202">
        <f t="shared" si="39"/>
        <v>300.34000000000015</v>
      </c>
      <c r="J147" s="201">
        <v>29399.56</v>
      </c>
      <c r="K147" s="199">
        <v>44139.931944444441</v>
      </c>
      <c r="L147" s="201">
        <v>27897.86</v>
      </c>
      <c r="M147" s="203">
        <f t="shared" si="40"/>
        <v>-300.33999999999997</v>
      </c>
      <c r="N147" s="204">
        <f t="shared" si="41"/>
        <v>-1</v>
      </c>
      <c r="O147" s="205">
        <f t="shared" si="42"/>
        <v>0</v>
      </c>
      <c r="P147" s="206">
        <f t="shared" si="43"/>
        <v>0</v>
      </c>
      <c r="Q147" s="206">
        <f t="shared" si="44"/>
        <v>-1</v>
      </c>
      <c r="R1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264260</v>
      </c>
      <c r="T1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47" s="208">
        <f ca="1">IF(Tabla33610673[[#This Row],[Equity]]&lt;Tabla33610673[[#This Row],[Equity Peak]],(Tabla33610673[[#This Row],[Equity Peak]]-Tabla33610673[[#This Row],[Equity]])/Tabla33610673[[#This Row],[Equity Peak]],"")</f>
        <v>4.3229543808834175E-2</v>
      </c>
      <c r="V147" s="209">
        <f t="shared" si="45"/>
        <v>0</v>
      </c>
      <c r="W147" s="209">
        <f t="shared" si="46"/>
        <v>0</v>
      </c>
      <c r="X147" s="209">
        <f t="shared" si="47"/>
        <v>0</v>
      </c>
      <c r="Y147" s="209">
        <f t="shared" si="48"/>
        <v>0</v>
      </c>
      <c r="Z147" s="209">
        <f t="shared" si="49"/>
        <v>-1</v>
      </c>
      <c r="AA147" s="205">
        <f t="shared" si="50"/>
        <v>0</v>
      </c>
      <c r="AB147" s="209">
        <f t="shared" si="51"/>
        <v>0</v>
      </c>
      <c r="AC147" s="205">
        <f t="shared" si="52"/>
        <v>0</v>
      </c>
      <c r="AD147" s="210">
        <f t="shared" si="53"/>
        <v>9.8611111105128657E-2</v>
      </c>
      <c r="AE147" s="210">
        <f t="shared" si="54"/>
        <v>0</v>
      </c>
      <c r="AF147" s="210">
        <f t="shared" si="55"/>
        <v>9.8611111105128657E-2</v>
      </c>
      <c r="AG147" s="210">
        <f t="shared" si="56"/>
        <v>0</v>
      </c>
    </row>
    <row r="148" spans="2:33" ht="15" customHeight="1" x14ac:dyDescent="0.3">
      <c r="B148" s="196" t="s">
        <v>7</v>
      </c>
      <c r="C148" s="197" t="s">
        <v>13</v>
      </c>
      <c r="D148" s="198" t="str">
        <f t="shared" si="38"/>
        <v>C</v>
      </c>
      <c r="E148" s="199">
        <v>44137.666666666664</v>
      </c>
      <c r="F148" s="200" t="s">
        <v>120</v>
      </c>
      <c r="G148" s="201">
        <v>1.65082</v>
      </c>
      <c r="H148" s="201">
        <v>1.6599600000000001</v>
      </c>
      <c r="I148" s="202">
        <f t="shared" si="39"/>
        <v>9.140000000000148E-3</v>
      </c>
      <c r="J148" s="201">
        <v>1.5532999999999999</v>
      </c>
      <c r="K148" s="199">
        <v>44139.42291666667</v>
      </c>
      <c r="L148" s="201">
        <v>1.6482600000000001</v>
      </c>
      <c r="M148" s="203">
        <f t="shared" si="40"/>
        <v>2.5999999999999999E-3</v>
      </c>
      <c r="N148" s="204">
        <f t="shared" si="41"/>
        <v>0.28000000000000003</v>
      </c>
      <c r="O148" s="205">
        <f t="shared" si="42"/>
        <v>0</v>
      </c>
      <c r="P148" s="206">
        <f t="shared" si="43"/>
        <v>0.28000000000000003</v>
      </c>
      <c r="Q148" s="206">
        <f t="shared" si="44"/>
        <v>0</v>
      </c>
      <c r="R1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265260</v>
      </c>
      <c r="T1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48" s="208">
        <f ca="1">IF(Tabla33610673[[#This Row],[Equity]]&lt;Tabla33610673[[#This Row],[Equity Peak]],(Tabla33610673[[#This Row],[Equity Peak]]-Tabla33610673[[#This Row],[Equity]])/Tabla33610673[[#This Row],[Equity Peak]],"")</f>
        <v>3.9608979000724111E-2</v>
      </c>
      <c r="V148" s="209">
        <f t="shared" si="45"/>
        <v>0.28000000000000003</v>
      </c>
      <c r="W148" s="209">
        <f t="shared" si="46"/>
        <v>0</v>
      </c>
      <c r="X148" s="209">
        <f t="shared" si="47"/>
        <v>0</v>
      </c>
      <c r="Y148" s="209">
        <f t="shared" si="48"/>
        <v>0</v>
      </c>
      <c r="Z148" s="209">
        <f t="shared" si="49"/>
        <v>0</v>
      </c>
      <c r="AA148" s="205">
        <f t="shared" si="50"/>
        <v>0</v>
      </c>
      <c r="AB148" s="209">
        <f t="shared" si="51"/>
        <v>0</v>
      </c>
      <c r="AC148" s="205">
        <f t="shared" si="52"/>
        <v>0</v>
      </c>
      <c r="AD148" s="210">
        <f t="shared" si="53"/>
        <v>1.7562500000058208</v>
      </c>
      <c r="AE148" s="210">
        <f t="shared" si="54"/>
        <v>1.7562500000058208</v>
      </c>
      <c r="AF148" s="210">
        <f t="shared" si="55"/>
        <v>0</v>
      </c>
      <c r="AG148" s="210">
        <f t="shared" si="56"/>
        <v>0</v>
      </c>
    </row>
    <row r="149" spans="2:33" ht="15" customHeight="1" x14ac:dyDescent="0.3">
      <c r="B149" s="196" t="s">
        <v>5</v>
      </c>
      <c r="C149" s="197" t="s">
        <v>15</v>
      </c>
      <c r="D149" s="198" t="str">
        <f t="shared" si="38"/>
        <v>C</v>
      </c>
      <c r="E149" s="199">
        <v>44138.666666666664</v>
      </c>
      <c r="F149" s="200" t="s">
        <v>94</v>
      </c>
      <c r="G149" s="201">
        <v>5769.74</v>
      </c>
      <c r="H149" s="201">
        <v>5661.92</v>
      </c>
      <c r="I149" s="202">
        <f t="shared" si="39"/>
        <v>107.81999999999971</v>
      </c>
      <c r="J149" s="201">
        <v>6308.83</v>
      </c>
      <c r="K149" s="199">
        <v>44139.193749999999</v>
      </c>
      <c r="L149" s="201">
        <v>5716.92</v>
      </c>
      <c r="M149" s="203">
        <f t="shared" si="40"/>
        <v>-52.82</v>
      </c>
      <c r="N149" s="204">
        <f t="shared" si="41"/>
        <v>-0.49</v>
      </c>
      <c r="O149" s="205">
        <f t="shared" si="42"/>
        <v>0</v>
      </c>
      <c r="P149" s="206">
        <f t="shared" si="43"/>
        <v>0</v>
      </c>
      <c r="Q149" s="206">
        <f t="shared" si="44"/>
        <v>-0.49</v>
      </c>
      <c r="R1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264980</v>
      </c>
      <c r="T1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49" s="208">
        <f ca="1">IF(Tabla33610673[[#This Row],[Equity]]&lt;Tabla33610673[[#This Row],[Equity Peak]],(Tabla33610673[[#This Row],[Equity Peak]]-Tabla33610673[[#This Row],[Equity]])/Tabla33610673[[#This Row],[Equity Peak]],"")</f>
        <v>4.0622737146994929E-2</v>
      </c>
      <c r="V149" s="209">
        <f t="shared" si="45"/>
        <v>0</v>
      </c>
      <c r="W149" s="209">
        <f t="shared" si="46"/>
        <v>0</v>
      </c>
      <c r="X149" s="209">
        <f t="shared" si="47"/>
        <v>0</v>
      </c>
      <c r="Y149" s="209">
        <f t="shared" si="48"/>
        <v>0</v>
      </c>
      <c r="Z149" s="209">
        <f t="shared" si="49"/>
        <v>-0.49</v>
      </c>
      <c r="AA149" s="205">
        <f t="shared" si="50"/>
        <v>0</v>
      </c>
      <c r="AB149" s="209">
        <f t="shared" si="51"/>
        <v>0</v>
      </c>
      <c r="AC149" s="205">
        <f t="shared" si="52"/>
        <v>0</v>
      </c>
      <c r="AD149" s="210">
        <f t="shared" si="53"/>
        <v>0.52708333333430346</v>
      </c>
      <c r="AE149" s="210">
        <f t="shared" si="54"/>
        <v>0</v>
      </c>
      <c r="AF149" s="210">
        <f t="shared" si="55"/>
        <v>0.52708333333430346</v>
      </c>
      <c r="AG149" s="210">
        <f t="shared" si="56"/>
        <v>0</v>
      </c>
    </row>
    <row r="150" spans="2:33" ht="15" customHeight="1" x14ac:dyDescent="0.3">
      <c r="B150" s="196" t="s">
        <v>7</v>
      </c>
      <c r="C150" s="197" t="s">
        <v>13</v>
      </c>
      <c r="D150" s="198" t="str">
        <f t="shared" si="38"/>
        <v>C</v>
      </c>
      <c r="E150" s="199">
        <v>44138.666666666664</v>
      </c>
      <c r="F150" s="200" t="s">
        <v>116</v>
      </c>
      <c r="G150" s="201">
        <v>1.8246199999999999</v>
      </c>
      <c r="H150" s="201">
        <v>1.84375</v>
      </c>
      <c r="I150" s="202">
        <f t="shared" si="39"/>
        <v>1.9130000000000091E-2</v>
      </c>
      <c r="J150" s="201">
        <v>1.76084</v>
      </c>
      <c r="K150" s="199">
        <v>44139.179861111108</v>
      </c>
      <c r="L150" s="201">
        <v>1.8308899999999999</v>
      </c>
      <c r="M150" s="203">
        <f t="shared" si="40"/>
        <v>-6.3E-3</v>
      </c>
      <c r="N150" s="204">
        <f t="shared" si="41"/>
        <v>-0.33</v>
      </c>
      <c r="O150" s="205">
        <f t="shared" si="42"/>
        <v>0</v>
      </c>
      <c r="P150" s="206">
        <f t="shared" si="43"/>
        <v>0</v>
      </c>
      <c r="Q150" s="206">
        <f t="shared" si="44"/>
        <v>-0.33</v>
      </c>
      <c r="R1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265470</v>
      </c>
      <c r="T1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50" s="208">
        <f ca="1">IF(Tabla33610673[[#This Row],[Equity]]&lt;Tabla33610673[[#This Row],[Equity Peak]],(Tabla33610673[[#This Row],[Equity Peak]]-Tabla33610673[[#This Row],[Equity]])/Tabla33610673[[#This Row],[Equity Peak]],"")</f>
        <v>3.8848660391021E-2</v>
      </c>
      <c r="V150" s="209">
        <f t="shared" si="45"/>
        <v>-0.33</v>
      </c>
      <c r="W150" s="209">
        <f t="shared" si="46"/>
        <v>0</v>
      </c>
      <c r="X150" s="209">
        <f t="shared" si="47"/>
        <v>0</v>
      </c>
      <c r="Y150" s="209">
        <f t="shared" si="48"/>
        <v>0</v>
      </c>
      <c r="Z150" s="209">
        <f t="shared" si="49"/>
        <v>0</v>
      </c>
      <c r="AA150" s="205">
        <f t="shared" si="50"/>
        <v>0</v>
      </c>
      <c r="AB150" s="209">
        <f t="shared" si="51"/>
        <v>0</v>
      </c>
      <c r="AC150" s="205">
        <f t="shared" si="52"/>
        <v>0</v>
      </c>
      <c r="AD150" s="210">
        <f t="shared" si="53"/>
        <v>0.51319444444379769</v>
      </c>
      <c r="AE150" s="210">
        <f t="shared" si="54"/>
        <v>0</v>
      </c>
      <c r="AF150" s="210">
        <f t="shared" si="55"/>
        <v>0.51319444444379769</v>
      </c>
      <c r="AG150" s="210">
        <f t="shared" si="56"/>
        <v>0</v>
      </c>
    </row>
    <row r="151" spans="2:33" ht="15" customHeight="1" x14ac:dyDescent="0.3">
      <c r="B151" s="196" t="s">
        <v>19</v>
      </c>
      <c r="C151" s="197" t="s">
        <v>15</v>
      </c>
      <c r="D151" s="198" t="str">
        <f t="shared" si="38"/>
        <v>C</v>
      </c>
      <c r="E151" s="199">
        <v>44138.541666666664</v>
      </c>
      <c r="F151" s="200" t="s">
        <v>88</v>
      </c>
      <c r="G151" s="201">
        <v>1897.17</v>
      </c>
      <c r="H151" s="201">
        <v>1874.97</v>
      </c>
      <c r="I151" s="202">
        <f t="shared" si="39"/>
        <v>22.200000000000045</v>
      </c>
      <c r="J151" s="201">
        <v>2039.26</v>
      </c>
      <c r="K151" s="199">
        <v>44139.125</v>
      </c>
      <c r="L151" s="201">
        <v>1889.21</v>
      </c>
      <c r="M151" s="203">
        <f t="shared" si="40"/>
        <v>-7.96</v>
      </c>
      <c r="N151" s="204">
        <f t="shared" si="41"/>
        <v>-0.36</v>
      </c>
      <c r="O151" s="205">
        <f t="shared" si="42"/>
        <v>0</v>
      </c>
      <c r="P151" s="206">
        <f t="shared" si="43"/>
        <v>0</v>
      </c>
      <c r="Q151" s="206">
        <f t="shared" si="44"/>
        <v>-0.36</v>
      </c>
      <c r="R1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265800</v>
      </c>
      <c r="T1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51" s="208">
        <f ca="1">IF(Tabla33610673[[#This Row],[Equity]]&lt;Tabla33610673[[#This Row],[Equity Peak]],(Tabla33610673[[#This Row],[Equity Peak]]-Tabla33610673[[#This Row],[Equity]])/Tabla33610673[[#This Row],[Equity Peak]],"")</f>
        <v>3.7653874004344681E-2</v>
      </c>
      <c r="V151" s="209">
        <f t="shared" si="45"/>
        <v>0</v>
      </c>
      <c r="W151" s="209">
        <f t="shared" si="46"/>
        <v>0</v>
      </c>
      <c r="X151" s="209">
        <f t="shared" si="47"/>
        <v>-0.36</v>
      </c>
      <c r="Y151" s="209">
        <f t="shared" si="48"/>
        <v>0</v>
      </c>
      <c r="Z151" s="209">
        <f t="shared" si="49"/>
        <v>0</v>
      </c>
      <c r="AA151" s="205">
        <f t="shared" si="50"/>
        <v>0</v>
      </c>
      <c r="AB151" s="209">
        <f t="shared" si="51"/>
        <v>0</v>
      </c>
      <c r="AC151" s="205">
        <f t="shared" si="52"/>
        <v>0</v>
      </c>
      <c r="AD151" s="210">
        <f t="shared" si="53"/>
        <v>0.58333333333575865</v>
      </c>
      <c r="AE151" s="210">
        <f t="shared" si="54"/>
        <v>0</v>
      </c>
      <c r="AF151" s="210">
        <f t="shared" si="55"/>
        <v>0.58333333333575865</v>
      </c>
      <c r="AG151" s="210">
        <f t="shared" si="56"/>
        <v>0</v>
      </c>
    </row>
    <row r="152" spans="2:33" ht="15" customHeight="1" x14ac:dyDescent="0.3">
      <c r="B152" s="196" t="s">
        <v>84</v>
      </c>
      <c r="C152" s="197" t="s">
        <v>13</v>
      </c>
      <c r="D152" s="198" t="str">
        <f t="shared" si="38"/>
        <v>C</v>
      </c>
      <c r="E152" s="199">
        <v>44138.333333333336</v>
      </c>
      <c r="F152" s="200" t="s">
        <v>82</v>
      </c>
      <c r="G152" s="201">
        <v>373.42</v>
      </c>
      <c r="H152" s="201">
        <v>387.1</v>
      </c>
      <c r="I152" s="202">
        <f t="shared" si="39"/>
        <v>13.680000000000007</v>
      </c>
      <c r="J152" s="201">
        <v>118.06</v>
      </c>
      <c r="K152" s="199">
        <v>44139.074999999997</v>
      </c>
      <c r="L152" s="201">
        <v>387.08</v>
      </c>
      <c r="M152" s="203">
        <f t="shared" si="40"/>
        <v>-13.66</v>
      </c>
      <c r="N152" s="204">
        <f t="shared" si="41"/>
        <v>-1</v>
      </c>
      <c r="O152" s="205">
        <f t="shared" si="42"/>
        <v>0</v>
      </c>
      <c r="P152" s="206">
        <f t="shared" si="43"/>
        <v>0</v>
      </c>
      <c r="Q152" s="206">
        <f t="shared" si="44"/>
        <v>-1</v>
      </c>
      <c r="R1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266160</v>
      </c>
      <c r="T1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52" s="208">
        <f ca="1">IF(Tabla33610673[[#This Row],[Equity]]&lt;Tabla33610673[[#This Row],[Equity Peak]],(Tabla33610673[[#This Row],[Equity Peak]]-Tabla33610673[[#This Row],[Equity]])/Tabla33610673[[#This Row],[Equity Peak]],"")</f>
        <v>3.6350470673425055E-2</v>
      </c>
      <c r="V152" s="209">
        <f t="shared" si="45"/>
        <v>0</v>
      </c>
      <c r="W152" s="209">
        <f t="shared" si="46"/>
        <v>0</v>
      </c>
      <c r="X152" s="209">
        <f t="shared" si="47"/>
        <v>0</v>
      </c>
      <c r="Y152" s="209">
        <f t="shared" si="48"/>
        <v>0</v>
      </c>
      <c r="Z152" s="209">
        <f t="shared" si="49"/>
        <v>0</v>
      </c>
      <c r="AA152" s="205">
        <f t="shared" si="50"/>
        <v>0</v>
      </c>
      <c r="AB152" s="209">
        <f t="shared" si="51"/>
        <v>-1</v>
      </c>
      <c r="AC152" s="205">
        <f t="shared" si="52"/>
        <v>0</v>
      </c>
      <c r="AD152" s="210">
        <f t="shared" si="53"/>
        <v>0.74166666666133096</v>
      </c>
      <c r="AE152" s="210">
        <f t="shared" si="54"/>
        <v>0</v>
      </c>
      <c r="AF152" s="210">
        <f t="shared" si="55"/>
        <v>0.74166666666133096</v>
      </c>
      <c r="AG152" s="210">
        <f t="shared" si="56"/>
        <v>0</v>
      </c>
    </row>
    <row r="153" spans="2:33" ht="15" customHeight="1" x14ac:dyDescent="0.3">
      <c r="B153" s="196" t="s">
        <v>19</v>
      </c>
      <c r="C153" s="197" t="s">
        <v>13</v>
      </c>
      <c r="D153" s="198" t="str">
        <f t="shared" si="38"/>
        <v>C</v>
      </c>
      <c r="E153" s="199">
        <v>44131.708333333336</v>
      </c>
      <c r="F153" s="200" t="s">
        <v>89</v>
      </c>
      <c r="G153" s="201">
        <v>24.300999999999998</v>
      </c>
      <c r="H153" s="201">
        <v>25.109000000000002</v>
      </c>
      <c r="I153" s="202">
        <f t="shared" si="39"/>
        <v>0.80800000000000338</v>
      </c>
      <c r="J153" s="201">
        <v>20.420999999999999</v>
      </c>
      <c r="K153" s="199">
        <v>44139.064583333333</v>
      </c>
      <c r="L153" s="201">
        <v>24.466999999999999</v>
      </c>
      <c r="M153" s="203">
        <f t="shared" si="40"/>
        <v>-0.16600000000000001</v>
      </c>
      <c r="N153" s="204">
        <f t="shared" si="41"/>
        <v>-0.21</v>
      </c>
      <c r="O153" s="205">
        <f t="shared" si="42"/>
        <v>0</v>
      </c>
      <c r="P153" s="206">
        <f t="shared" si="43"/>
        <v>0</v>
      </c>
      <c r="Q153" s="206">
        <f t="shared" si="44"/>
        <v>-0.21</v>
      </c>
      <c r="R1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267160</v>
      </c>
      <c r="T1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53" s="208">
        <f ca="1">IF(Tabla33610673[[#This Row],[Equity]]&lt;Tabla33610673[[#This Row],[Equity Peak]],(Tabla33610673[[#This Row],[Equity Peak]]-Tabla33610673[[#This Row],[Equity]])/Tabla33610673[[#This Row],[Equity Peak]],"")</f>
        <v>3.272990586531499E-2</v>
      </c>
      <c r="V153" s="209">
        <f t="shared" si="45"/>
        <v>0</v>
      </c>
      <c r="W153" s="209">
        <f t="shared" si="46"/>
        <v>0</v>
      </c>
      <c r="X153" s="209">
        <f t="shared" si="47"/>
        <v>-0.21</v>
      </c>
      <c r="Y153" s="209">
        <f t="shared" si="48"/>
        <v>0</v>
      </c>
      <c r="Z153" s="209">
        <f t="shared" si="49"/>
        <v>0</v>
      </c>
      <c r="AA153" s="205">
        <f t="shared" si="50"/>
        <v>0</v>
      </c>
      <c r="AB153" s="209">
        <f t="shared" si="51"/>
        <v>0</v>
      </c>
      <c r="AC153" s="205">
        <f t="shared" si="52"/>
        <v>0</v>
      </c>
      <c r="AD153" s="210">
        <f t="shared" si="53"/>
        <v>7.3562499999970896</v>
      </c>
      <c r="AE153" s="210">
        <f t="shared" si="54"/>
        <v>0</v>
      </c>
      <c r="AF153" s="210">
        <f t="shared" si="55"/>
        <v>7.3562499999970896</v>
      </c>
      <c r="AG153" s="210">
        <f t="shared" si="56"/>
        <v>0</v>
      </c>
    </row>
    <row r="154" spans="2:33" ht="15" customHeight="1" x14ac:dyDescent="0.3">
      <c r="B154" s="196" t="s">
        <v>5</v>
      </c>
      <c r="C154" s="197" t="s">
        <v>13</v>
      </c>
      <c r="D154" s="198" t="str">
        <f t="shared" si="38"/>
        <v>C</v>
      </c>
      <c r="E154" s="199">
        <v>44132.666666666664</v>
      </c>
      <c r="F154" s="200" t="s">
        <v>93</v>
      </c>
      <c r="G154" s="201">
        <v>3325.11</v>
      </c>
      <c r="H154" s="201">
        <v>3360.4</v>
      </c>
      <c r="I154" s="202">
        <f t="shared" si="39"/>
        <v>35.289999999999964</v>
      </c>
      <c r="J154" s="201">
        <v>3231</v>
      </c>
      <c r="K154" s="199">
        <v>44138.70416666667</v>
      </c>
      <c r="L154" s="201">
        <v>3360.4</v>
      </c>
      <c r="M154" s="203">
        <f t="shared" si="40"/>
        <v>-35.29</v>
      </c>
      <c r="N154" s="204">
        <f t="shared" si="41"/>
        <v>-1</v>
      </c>
      <c r="O154" s="205">
        <f t="shared" si="42"/>
        <v>0</v>
      </c>
      <c r="P154" s="206">
        <f t="shared" si="43"/>
        <v>0</v>
      </c>
      <c r="Q154" s="206">
        <f t="shared" si="44"/>
        <v>-1</v>
      </c>
      <c r="R1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267370</v>
      </c>
      <c r="T1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54" s="208">
        <f ca="1">IF(Tabla33610673[[#This Row],[Equity]]&lt;Tabla33610673[[#This Row],[Equity Peak]],(Tabla33610673[[#This Row],[Equity Peak]]-Tabla33610673[[#This Row],[Equity]])/Tabla33610673[[#This Row],[Equity Peak]],"")</f>
        <v>3.1969587255611873E-2</v>
      </c>
      <c r="V154" s="209">
        <f t="shared" si="45"/>
        <v>0</v>
      </c>
      <c r="W154" s="209">
        <f t="shared" si="46"/>
        <v>0</v>
      </c>
      <c r="X154" s="209">
        <f t="shared" si="47"/>
        <v>0</v>
      </c>
      <c r="Y154" s="209">
        <f t="shared" si="48"/>
        <v>0</v>
      </c>
      <c r="Z154" s="209">
        <f t="shared" si="49"/>
        <v>-1</v>
      </c>
      <c r="AA154" s="205">
        <f t="shared" si="50"/>
        <v>0</v>
      </c>
      <c r="AB154" s="209">
        <f t="shared" si="51"/>
        <v>0</v>
      </c>
      <c r="AC154" s="205">
        <f t="shared" si="52"/>
        <v>0</v>
      </c>
      <c r="AD154" s="210">
        <f t="shared" si="53"/>
        <v>6.0375000000058208</v>
      </c>
      <c r="AE154" s="210">
        <f t="shared" si="54"/>
        <v>0</v>
      </c>
      <c r="AF154" s="210">
        <f t="shared" si="55"/>
        <v>6.0375000000058208</v>
      </c>
      <c r="AG154" s="210">
        <f t="shared" si="56"/>
        <v>0</v>
      </c>
    </row>
    <row r="155" spans="2:33" ht="15" customHeight="1" x14ac:dyDescent="0.3">
      <c r="B155" s="196" t="s">
        <v>7</v>
      </c>
      <c r="C155" s="197" t="s">
        <v>13</v>
      </c>
      <c r="D155" s="198" t="str">
        <f t="shared" si="38"/>
        <v>C</v>
      </c>
      <c r="E155" s="199">
        <v>44131.666666666664</v>
      </c>
      <c r="F155" s="200" t="s">
        <v>115</v>
      </c>
      <c r="G155" s="201">
        <v>136.37</v>
      </c>
      <c r="H155" s="201">
        <v>137.18100000000001</v>
      </c>
      <c r="I155" s="202">
        <f t="shared" si="39"/>
        <v>0.81100000000000705</v>
      </c>
      <c r="J155" s="201">
        <v>131.83000000000001</v>
      </c>
      <c r="K155" s="199">
        <v>44138.492361111108</v>
      </c>
      <c r="L155" s="201">
        <v>136.017</v>
      </c>
      <c r="M155" s="203">
        <f t="shared" si="40"/>
        <v>0.35299999999999998</v>
      </c>
      <c r="N155" s="204">
        <f t="shared" si="41"/>
        <v>0.44</v>
      </c>
      <c r="O155" s="205">
        <f t="shared" si="42"/>
        <v>0</v>
      </c>
      <c r="P155" s="206">
        <f t="shared" si="43"/>
        <v>0.44</v>
      </c>
      <c r="Q155" s="206">
        <f t="shared" si="44"/>
        <v>0</v>
      </c>
      <c r="R1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268370</v>
      </c>
      <c r="T1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55" s="208">
        <f ca="1">IF(Tabla33610673[[#This Row],[Equity]]&lt;Tabla33610673[[#This Row],[Equity Peak]],(Tabla33610673[[#This Row],[Equity Peak]]-Tabla33610673[[#This Row],[Equity]])/Tabla33610673[[#This Row],[Equity Peak]],"")</f>
        <v>2.8349022447501811E-2</v>
      </c>
      <c r="V155" s="209">
        <f t="shared" si="45"/>
        <v>0.44</v>
      </c>
      <c r="W155" s="209">
        <f t="shared" si="46"/>
        <v>0</v>
      </c>
      <c r="X155" s="209">
        <f t="shared" si="47"/>
        <v>0</v>
      </c>
      <c r="Y155" s="209">
        <f t="shared" si="48"/>
        <v>0</v>
      </c>
      <c r="Z155" s="209">
        <f t="shared" si="49"/>
        <v>0</v>
      </c>
      <c r="AA155" s="205">
        <f t="shared" si="50"/>
        <v>0</v>
      </c>
      <c r="AB155" s="209">
        <f t="shared" si="51"/>
        <v>0</v>
      </c>
      <c r="AC155" s="205">
        <f t="shared" si="52"/>
        <v>0</v>
      </c>
      <c r="AD155" s="210">
        <f t="shared" si="53"/>
        <v>6.8256944444437977</v>
      </c>
      <c r="AE155" s="210">
        <f t="shared" si="54"/>
        <v>6.8256944444437977</v>
      </c>
      <c r="AF155" s="210">
        <f t="shared" si="55"/>
        <v>0</v>
      </c>
      <c r="AG155" s="210">
        <f t="shared" si="56"/>
        <v>0</v>
      </c>
    </row>
    <row r="156" spans="2:33" ht="15" customHeight="1" x14ac:dyDescent="0.3">
      <c r="B156" s="196" t="s">
        <v>19</v>
      </c>
      <c r="C156" s="197" t="s">
        <v>13</v>
      </c>
      <c r="D156" s="198" t="str">
        <f t="shared" si="38"/>
        <v>C</v>
      </c>
      <c r="E156" s="199">
        <v>44127.958333333336</v>
      </c>
      <c r="F156" s="200" t="s">
        <v>108</v>
      </c>
      <c r="G156" s="201">
        <v>39.777999999999999</v>
      </c>
      <c r="H156" s="201">
        <v>41.125999999999998</v>
      </c>
      <c r="I156" s="202">
        <f t="shared" si="39"/>
        <v>1.347999999999999</v>
      </c>
      <c r="J156" s="201">
        <v>23.606000000000002</v>
      </c>
      <c r="K156" s="199">
        <v>44138.48541666667</v>
      </c>
      <c r="L156" s="201">
        <v>38.328000000000003</v>
      </c>
      <c r="M156" s="203">
        <f t="shared" si="40"/>
        <v>1.45</v>
      </c>
      <c r="N156" s="204">
        <f t="shared" si="41"/>
        <v>1.08</v>
      </c>
      <c r="O156" s="205">
        <f t="shared" si="42"/>
        <v>0</v>
      </c>
      <c r="P156" s="206">
        <f t="shared" si="43"/>
        <v>1.08</v>
      </c>
      <c r="Q156" s="206">
        <f t="shared" si="44"/>
        <v>0</v>
      </c>
      <c r="R1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267930</v>
      </c>
      <c r="T1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56" s="208">
        <f ca="1">IF(Tabla33610673[[#This Row],[Equity]]&lt;Tabla33610673[[#This Row],[Equity Peak]],(Tabla33610673[[#This Row],[Equity Peak]]-Tabla33610673[[#This Row],[Equity]])/Tabla33610673[[#This Row],[Equity Peak]],"")</f>
        <v>2.9942070963070239E-2</v>
      </c>
      <c r="V156" s="209">
        <f t="shared" si="45"/>
        <v>0</v>
      </c>
      <c r="W156" s="209">
        <f t="shared" si="46"/>
        <v>0</v>
      </c>
      <c r="X156" s="209">
        <f t="shared" si="47"/>
        <v>1.08</v>
      </c>
      <c r="Y156" s="209">
        <f t="shared" si="48"/>
        <v>0</v>
      </c>
      <c r="Z156" s="209">
        <f t="shared" si="49"/>
        <v>0</v>
      </c>
      <c r="AA156" s="205">
        <f t="shared" si="50"/>
        <v>0</v>
      </c>
      <c r="AB156" s="209">
        <f t="shared" si="51"/>
        <v>0</v>
      </c>
      <c r="AC156" s="205">
        <f t="shared" si="52"/>
        <v>0</v>
      </c>
      <c r="AD156" s="210">
        <f t="shared" si="53"/>
        <v>10.527083333334303</v>
      </c>
      <c r="AE156" s="210">
        <f t="shared" si="54"/>
        <v>10.527083333334303</v>
      </c>
      <c r="AF156" s="210">
        <f t="shared" si="55"/>
        <v>0</v>
      </c>
      <c r="AG156" s="210">
        <f t="shared" si="56"/>
        <v>0</v>
      </c>
    </row>
    <row r="157" spans="2:33" ht="15" customHeight="1" x14ac:dyDescent="0.3">
      <c r="B157" s="196" t="s">
        <v>7</v>
      </c>
      <c r="C157" s="197" t="s">
        <v>13</v>
      </c>
      <c r="D157" s="198" t="str">
        <f t="shared" si="38"/>
        <v>C</v>
      </c>
      <c r="E157" s="199">
        <v>44126.333333333336</v>
      </c>
      <c r="F157" s="200" t="s">
        <v>118</v>
      </c>
      <c r="G157" s="201">
        <v>124.02800000000001</v>
      </c>
      <c r="H157" s="201">
        <v>124.718</v>
      </c>
      <c r="I157" s="202">
        <f t="shared" si="39"/>
        <v>0.68999999999999773</v>
      </c>
      <c r="J157" s="201">
        <v>121.267</v>
      </c>
      <c r="K157" s="199">
        <v>44138.474999999999</v>
      </c>
      <c r="L157" s="201">
        <v>122.46899999999999</v>
      </c>
      <c r="M157" s="203">
        <f t="shared" si="40"/>
        <v>1.5589999999999999</v>
      </c>
      <c r="N157" s="204">
        <f t="shared" si="41"/>
        <v>2.2599999999999998</v>
      </c>
      <c r="O157" s="205">
        <f t="shared" si="42"/>
        <v>0</v>
      </c>
      <c r="P157" s="206">
        <f t="shared" si="43"/>
        <v>2.2599999999999998</v>
      </c>
      <c r="Q157" s="206">
        <f t="shared" si="44"/>
        <v>0</v>
      </c>
      <c r="R1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266850</v>
      </c>
      <c r="T1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57" s="208">
        <f ca="1">IF(Tabla33610673[[#This Row],[Equity]]&lt;Tabla33610673[[#This Row],[Equity Peak]],(Tabla33610673[[#This Row],[Equity Peak]]-Tabla33610673[[#This Row],[Equity]])/Tabla33610673[[#This Row],[Equity Peak]],"")</f>
        <v>3.3852280955829109E-2</v>
      </c>
      <c r="V157" s="209">
        <f t="shared" si="45"/>
        <v>2.2599999999999998</v>
      </c>
      <c r="W157" s="209">
        <f t="shared" si="46"/>
        <v>0</v>
      </c>
      <c r="X157" s="209">
        <f t="shared" si="47"/>
        <v>0</v>
      </c>
      <c r="Y157" s="209">
        <f t="shared" si="48"/>
        <v>0</v>
      </c>
      <c r="Z157" s="209">
        <f t="shared" si="49"/>
        <v>0</v>
      </c>
      <c r="AA157" s="205">
        <f t="shared" si="50"/>
        <v>0</v>
      </c>
      <c r="AB157" s="209">
        <f t="shared" si="51"/>
        <v>0</v>
      </c>
      <c r="AC157" s="205">
        <f t="shared" si="52"/>
        <v>0</v>
      </c>
      <c r="AD157" s="210">
        <f t="shared" si="53"/>
        <v>12.141666666662786</v>
      </c>
      <c r="AE157" s="210">
        <f t="shared" si="54"/>
        <v>12.141666666662786</v>
      </c>
      <c r="AF157" s="210">
        <f t="shared" si="55"/>
        <v>0</v>
      </c>
      <c r="AG157" s="210">
        <f t="shared" si="56"/>
        <v>0</v>
      </c>
    </row>
    <row r="158" spans="2:33" ht="15" customHeight="1" x14ac:dyDescent="0.3">
      <c r="B158" s="196" t="s">
        <v>7</v>
      </c>
      <c r="C158" s="197" t="s">
        <v>13</v>
      </c>
      <c r="D158" s="198" t="str">
        <f t="shared" si="38"/>
        <v>C</v>
      </c>
      <c r="E158" s="199">
        <v>44132.833333333336</v>
      </c>
      <c r="F158" s="200" t="s">
        <v>121</v>
      </c>
      <c r="G158" s="201">
        <v>0.70599000000000001</v>
      </c>
      <c r="H158" s="201">
        <v>0.71030000000000004</v>
      </c>
      <c r="I158" s="202">
        <f t="shared" si="39"/>
        <v>4.310000000000036E-3</v>
      </c>
      <c r="J158" s="201">
        <v>0.68300000000000005</v>
      </c>
      <c r="K158" s="199">
        <v>44138.452777777777</v>
      </c>
      <c r="L158" s="201">
        <v>0.71009999999999995</v>
      </c>
      <c r="M158" s="203">
        <f t="shared" si="40"/>
        <v>-4.1000000000000003E-3</v>
      </c>
      <c r="N158" s="204">
        <f t="shared" si="41"/>
        <v>-0.95</v>
      </c>
      <c r="O158" s="205">
        <f t="shared" si="42"/>
        <v>0</v>
      </c>
      <c r="P158" s="206">
        <f t="shared" si="43"/>
        <v>0</v>
      </c>
      <c r="Q158" s="206">
        <f t="shared" si="44"/>
        <v>-0.95</v>
      </c>
      <c r="R1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264590</v>
      </c>
      <c r="T1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58" s="208">
        <f ca="1">IF(Tabla33610673[[#This Row],[Equity]]&lt;Tabla33610673[[#This Row],[Equity Peak]],(Tabla33610673[[#This Row],[Equity Peak]]-Tabla33610673[[#This Row],[Equity]])/Tabla33610673[[#This Row],[Equity Peak]],"")</f>
        <v>4.2034757422157856E-2</v>
      </c>
      <c r="V158" s="209">
        <f t="shared" si="45"/>
        <v>-0.95</v>
      </c>
      <c r="W158" s="209">
        <f t="shared" si="46"/>
        <v>0</v>
      </c>
      <c r="X158" s="209">
        <f t="shared" si="47"/>
        <v>0</v>
      </c>
      <c r="Y158" s="209">
        <f t="shared" si="48"/>
        <v>0</v>
      </c>
      <c r="Z158" s="209">
        <f t="shared" si="49"/>
        <v>0</v>
      </c>
      <c r="AA158" s="205">
        <f t="shared" si="50"/>
        <v>0</v>
      </c>
      <c r="AB158" s="209">
        <f t="shared" si="51"/>
        <v>0</v>
      </c>
      <c r="AC158" s="205">
        <f t="shared" si="52"/>
        <v>0</v>
      </c>
      <c r="AD158" s="210">
        <f t="shared" si="53"/>
        <v>5.6194444444408873</v>
      </c>
      <c r="AE158" s="210">
        <f t="shared" si="54"/>
        <v>0</v>
      </c>
      <c r="AF158" s="210">
        <f t="shared" si="55"/>
        <v>5.6194444444408873</v>
      </c>
      <c r="AG158" s="210">
        <f t="shared" si="56"/>
        <v>0</v>
      </c>
    </row>
    <row r="159" spans="2:33" ht="15" customHeight="1" x14ac:dyDescent="0.3">
      <c r="B159" s="196" t="s">
        <v>5</v>
      </c>
      <c r="C159" s="197" t="s">
        <v>13</v>
      </c>
      <c r="D159" s="198" t="str">
        <f t="shared" si="38"/>
        <v>C</v>
      </c>
      <c r="E159" s="199">
        <v>44133.243055555555</v>
      </c>
      <c r="F159" s="200" t="s">
        <v>90</v>
      </c>
      <c r="G159" s="201">
        <v>5960.8</v>
      </c>
      <c r="H159" s="201">
        <v>6020.18</v>
      </c>
      <c r="I159" s="202">
        <f t="shared" si="39"/>
        <v>59.380000000000109</v>
      </c>
      <c r="J159" s="201">
        <v>5169.09</v>
      </c>
      <c r="K159" s="199">
        <v>44137.557638888888</v>
      </c>
      <c r="L159" s="201">
        <v>5999.21</v>
      </c>
      <c r="M159" s="203">
        <f t="shared" si="40"/>
        <v>-38.409999999999997</v>
      </c>
      <c r="N159" s="204">
        <f t="shared" si="41"/>
        <v>-0.65</v>
      </c>
      <c r="O159" s="205">
        <f t="shared" si="42"/>
        <v>0</v>
      </c>
      <c r="P159" s="206">
        <f t="shared" si="43"/>
        <v>0</v>
      </c>
      <c r="Q159" s="206">
        <f t="shared" si="44"/>
        <v>-0.65</v>
      </c>
      <c r="R1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265540</v>
      </c>
      <c r="T1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59" s="208">
        <f ca="1">IF(Tabla33610673[[#This Row],[Equity]]&lt;Tabla33610673[[#This Row],[Equity Peak]],(Tabla33610673[[#This Row],[Equity Peak]]-Tabla33610673[[#This Row],[Equity]])/Tabla33610673[[#This Row],[Equity Peak]],"")</f>
        <v>3.8595220854453292E-2</v>
      </c>
      <c r="V159" s="209">
        <f t="shared" si="45"/>
        <v>0</v>
      </c>
      <c r="W159" s="209">
        <f t="shared" si="46"/>
        <v>0</v>
      </c>
      <c r="X159" s="209">
        <f t="shared" si="47"/>
        <v>0</v>
      </c>
      <c r="Y159" s="209">
        <f t="shared" si="48"/>
        <v>0</v>
      </c>
      <c r="Z159" s="209">
        <f t="shared" si="49"/>
        <v>-0.65</v>
      </c>
      <c r="AA159" s="205">
        <f t="shared" si="50"/>
        <v>0</v>
      </c>
      <c r="AB159" s="209">
        <f t="shared" si="51"/>
        <v>0</v>
      </c>
      <c r="AC159" s="205">
        <f t="shared" si="52"/>
        <v>0</v>
      </c>
      <c r="AD159" s="210">
        <f t="shared" si="53"/>
        <v>4.3145833333328483</v>
      </c>
      <c r="AE159" s="210">
        <f t="shared" si="54"/>
        <v>0</v>
      </c>
      <c r="AF159" s="210">
        <f t="shared" si="55"/>
        <v>4.3145833333328483</v>
      </c>
      <c r="AG159" s="210">
        <f t="shared" si="56"/>
        <v>0</v>
      </c>
    </row>
    <row r="160" spans="2:33" ht="15" customHeight="1" x14ac:dyDescent="0.3">
      <c r="B160" s="196" t="s">
        <v>84</v>
      </c>
      <c r="C160" s="197" t="s">
        <v>15</v>
      </c>
      <c r="D160" s="198" t="str">
        <f t="shared" si="38"/>
        <v>C</v>
      </c>
      <c r="E160" s="199">
        <v>44137.166666666664</v>
      </c>
      <c r="F160" s="200" t="s">
        <v>82</v>
      </c>
      <c r="G160" s="201">
        <v>404.03</v>
      </c>
      <c r="H160" s="201">
        <v>391.88</v>
      </c>
      <c r="I160" s="202">
        <f t="shared" si="39"/>
        <v>12.149999999999977</v>
      </c>
      <c r="J160" s="201">
        <v>630.75</v>
      </c>
      <c r="K160" s="199">
        <v>44137.40902777778</v>
      </c>
      <c r="L160" s="201">
        <v>391.88</v>
      </c>
      <c r="M160" s="203">
        <f t="shared" si="40"/>
        <v>-12.15</v>
      </c>
      <c r="N160" s="204">
        <f t="shared" si="41"/>
        <v>-1</v>
      </c>
      <c r="O160" s="205">
        <f t="shared" si="42"/>
        <v>0</v>
      </c>
      <c r="P160" s="206">
        <f t="shared" si="43"/>
        <v>0</v>
      </c>
      <c r="Q160" s="206">
        <f t="shared" si="44"/>
        <v>-1</v>
      </c>
      <c r="R1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266190</v>
      </c>
      <c r="T1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60" s="208">
        <f ca="1">IF(Tabla33610673[[#This Row],[Equity]]&lt;Tabla33610673[[#This Row],[Equity Peak]],(Tabla33610673[[#This Row],[Equity Peak]]-Tabla33610673[[#This Row],[Equity]])/Tabla33610673[[#This Row],[Equity Peak]],"")</f>
        <v>3.6241853729181754E-2</v>
      </c>
      <c r="V160" s="209">
        <f t="shared" si="45"/>
        <v>0</v>
      </c>
      <c r="W160" s="209">
        <f t="shared" si="46"/>
        <v>0</v>
      </c>
      <c r="X160" s="209">
        <f t="shared" si="47"/>
        <v>0</v>
      </c>
      <c r="Y160" s="209">
        <f t="shared" si="48"/>
        <v>0</v>
      </c>
      <c r="Z160" s="209">
        <f t="shared" si="49"/>
        <v>0</v>
      </c>
      <c r="AA160" s="205">
        <f t="shared" si="50"/>
        <v>0</v>
      </c>
      <c r="AB160" s="209">
        <f t="shared" si="51"/>
        <v>-1</v>
      </c>
      <c r="AC160" s="205">
        <f t="shared" si="52"/>
        <v>0</v>
      </c>
      <c r="AD160" s="210">
        <f t="shared" si="53"/>
        <v>0.242361111115315</v>
      </c>
      <c r="AE160" s="210">
        <f t="shared" si="54"/>
        <v>0</v>
      </c>
      <c r="AF160" s="210">
        <f t="shared" si="55"/>
        <v>0.242361111115315</v>
      </c>
      <c r="AG160" s="210">
        <f t="shared" si="56"/>
        <v>0</v>
      </c>
    </row>
    <row r="161" spans="2:33" ht="15" customHeight="1" x14ac:dyDescent="0.3">
      <c r="B161" s="196" t="s">
        <v>84</v>
      </c>
      <c r="C161" s="197" t="s">
        <v>13</v>
      </c>
      <c r="D161" s="198" t="str">
        <f t="shared" si="38"/>
        <v>C</v>
      </c>
      <c r="E161" s="199">
        <v>44134.666666666664</v>
      </c>
      <c r="F161" s="200" t="s">
        <v>82</v>
      </c>
      <c r="G161" s="201">
        <v>379.76</v>
      </c>
      <c r="H161" s="201">
        <v>392.85</v>
      </c>
      <c r="I161" s="202">
        <f t="shared" si="39"/>
        <v>13.090000000000032</v>
      </c>
      <c r="J161" s="201">
        <v>135.46</v>
      </c>
      <c r="K161" s="199">
        <v>44137</v>
      </c>
      <c r="L161" s="201">
        <v>391.5</v>
      </c>
      <c r="M161" s="203">
        <f t="shared" si="40"/>
        <v>-11.74</v>
      </c>
      <c r="N161" s="204">
        <f t="shared" si="41"/>
        <v>-0.9</v>
      </c>
      <c r="O161" s="205">
        <f t="shared" si="42"/>
        <v>0</v>
      </c>
      <c r="P161" s="206">
        <f t="shared" si="43"/>
        <v>0</v>
      </c>
      <c r="Q161" s="206">
        <f t="shared" si="44"/>
        <v>-0.9</v>
      </c>
      <c r="R1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267190</v>
      </c>
      <c r="T1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61" s="208">
        <f ca="1">IF(Tabla33610673[[#This Row],[Equity]]&lt;Tabla33610673[[#This Row],[Equity Peak]],(Tabla33610673[[#This Row],[Equity Peak]]-Tabla33610673[[#This Row],[Equity]])/Tabla33610673[[#This Row],[Equity Peak]],"")</f>
        <v>3.2621288921071689E-2</v>
      </c>
      <c r="V161" s="209">
        <f t="shared" si="45"/>
        <v>0</v>
      </c>
      <c r="W161" s="209">
        <f t="shared" si="46"/>
        <v>0</v>
      </c>
      <c r="X161" s="209">
        <f t="shared" si="47"/>
        <v>0</v>
      </c>
      <c r="Y161" s="209">
        <f t="shared" si="48"/>
        <v>0</v>
      </c>
      <c r="Z161" s="209">
        <f t="shared" si="49"/>
        <v>0</v>
      </c>
      <c r="AA161" s="205">
        <f t="shared" si="50"/>
        <v>0</v>
      </c>
      <c r="AB161" s="209">
        <f t="shared" si="51"/>
        <v>-0.9</v>
      </c>
      <c r="AC161" s="205">
        <f t="shared" si="52"/>
        <v>0</v>
      </c>
      <c r="AD161" s="210">
        <f t="shared" si="53"/>
        <v>2.3333333333357587</v>
      </c>
      <c r="AE161" s="210">
        <f t="shared" si="54"/>
        <v>0</v>
      </c>
      <c r="AF161" s="210">
        <f t="shared" si="55"/>
        <v>2.3333333333357587</v>
      </c>
      <c r="AG161" s="210">
        <f t="shared" si="56"/>
        <v>0</v>
      </c>
    </row>
    <row r="162" spans="2:33" ht="15" customHeight="1" x14ac:dyDescent="0.3">
      <c r="B162" s="196" t="s">
        <v>5</v>
      </c>
      <c r="C162" s="197" t="s">
        <v>13</v>
      </c>
      <c r="D162" s="198" t="str">
        <f t="shared" si="38"/>
        <v>C</v>
      </c>
      <c r="E162" s="199">
        <v>44132.166666666664</v>
      </c>
      <c r="F162" s="200" t="s">
        <v>95</v>
      </c>
      <c r="G162" s="201">
        <v>27311.8</v>
      </c>
      <c r="H162" s="201">
        <v>27587.9</v>
      </c>
      <c r="I162" s="202">
        <f t="shared" si="39"/>
        <v>276.10000000000218</v>
      </c>
      <c r="J162" s="201">
        <v>26207.38</v>
      </c>
      <c r="K162" s="199">
        <v>44134.370833333334</v>
      </c>
      <c r="L162" s="201">
        <v>26207.38</v>
      </c>
      <c r="M162" s="203">
        <f t="shared" si="40"/>
        <v>1104.42</v>
      </c>
      <c r="N162" s="204">
        <f t="shared" si="41"/>
        <v>4</v>
      </c>
      <c r="O162" s="205">
        <f t="shared" si="42"/>
        <v>0</v>
      </c>
      <c r="P162" s="206">
        <f t="shared" si="43"/>
        <v>4</v>
      </c>
      <c r="Q162" s="206">
        <f t="shared" si="44"/>
        <v>0</v>
      </c>
      <c r="R1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268090</v>
      </c>
      <c r="T1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62" s="208">
        <f ca="1">IF(Tabla33610673[[#This Row],[Equity]]&lt;Tabla33610673[[#This Row],[Equity Peak]],(Tabla33610673[[#This Row],[Equity Peak]]-Tabla33610673[[#This Row],[Equity]])/Tabla33610673[[#This Row],[Equity Peak]],"")</f>
        <v>2.936278059377263E-2</v>
      </c>
      <c r="V162" s="209">
        <f t="shared" si="45"/>
        <v>0</v>
      </c>
      <c r="W162" s="209">
        <f t="shared" si="46"/>
        <v>0</v>
      </c>
      <c r="X162" s="209">
        <f t="shared" si="47"/>
        <v>0</v>
      </c>
      <c r="Y162" s="209">
        <f t="shared" si="48"/>
        <v>0</v>
      </c>
      <c r="Z162" s="209">
        <f t="shared" si="49"/>
        <v>4</v>
      </c>
      <c r="AA162" s="205">
        <f t="shared" si="50"/>
        <v>0</v>
      </c>
      <c r="AB162" s="209">
        <f t="shared" si="51"/>
        <v>0</v>
      </c>
      <c r="AC162" s="205">
        <f t="shared" si="52"/>
        <v>0</v>
      </c>
      <c r="AD162" s="210">
        <f t="shared" si="53"/>
        <v>2.2041666666700621</v>
      </c>
      <c r="AE162" s="210">
        <f t="shared" si="54"/>
        <v>2.2041666666700621</v>
      </c>
      <c r="AF162" s="210">
        <f t="shared" si="55"/>
        <v>0</v>
      </c>
      <c r="AG162" s="210">
        <f t="shared" si="56"/>
        <v>0</v>
      </c>
    </row>
    <row r="163" spans="2:33" ht="15" customHeight="1" x14ac:dyDescent="0.3">
      <c r="B163" s="196" t="s">
        <v>7</v>
      </c>
      <c r="C163" s="197" t="s">
        <v>15</v>
      </c>
      <c r="D163" s="198" t="str">
        <f t="shared" si="38"/>
        <v>C</v>
      </c>
      <c r="E163" s="199">
        <v>44132.833333333336</v>
      </c>
      <c r="F163" s="200" t="s">
        <v>116</v>
      </c>
      <c r="G163" s="201">
        <v>1.8386800000000001</v>
      </c>
      <c r="H163" s="201">
        <v>1.8192999999999999</v>
      </c>
      <c r="I163" s="202">
        <f t="shared" si="39"/>
        <v>1.9380000000000175E-2</v>
      </c>
      <c r="J163" s="201">
        <v>1.9032899999999999</v>
      </c>
      <c r="K163" s="199">
        <v>44134.193055555559</v>
      </c>
      <c r="L163" s="201">
        <v>1.8334299999999999</v>
      </c>
      <c r="M163" s="203">
        <f t="shared" si="40"/>
        <v>-5.3E-3</v>
      </c>
      <c r="N163" s="204">
        <f t="shared" si="41"/>
        <v>-0.27</v>
      </c>
      <c r="O163" s="205">
        <f t="shared" si="42"/>
        <v>0</v>
      </c>
      <c r="P163" s="206">
        <f t="shared" si="43"/>
        <v>0</v>
      </c>
      <c r="Q163" s="206">
        <f t="shared" si="44"/>
        <v>-0.27</v>
      </c>
      <c r="R1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264090</v>
      </c>
      <c r="T1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63" s="208">
        <f ca="1">IF(Tabla33610673[[#This Row],[Equity]]&lt;Tabla33610673[[#This Row],[Equity Peak]],(Tabla33610673[[#This Row],[Equity Peak]]-Tabla33610673[[#This Row],[Equity]])/Tabla33610673[[#This Row],[Equity Peak]],"")</f>
        <v>4.3845039826212892E-2</v>
      </c>
      <c r="V163" s="209">
        <f t="shared" si="45"/>
        <v>-0.27</v>
      </c>
      <c r="W163" s="209">
        <f t="shared" si="46"/>
        <v>0</v>
      </c>
      <c r="X163" s="209">
        <f t="shared" si="47"/>
        <v>0</v>
      </c>
      <c r="Y163" s="209">
        <f t="shared" si="48"/>
        <v>0</v>
      </c>
      <c r="Z163" s="209">
        <f t="shared" si="49"/>
        <v>0</v>
      </c>
      <c r="AA163" s="205">
        <f t="shared" si="50"/>
        <v>0</v>
      </c>
      <c r="AB163" s="209">
        <f t="shared" si="51"/>
        <v>0</v>
      </c>
      <c r="AC163" s="205">
        <f t="shared" si="52"/>
        <v>0</v>
      </c>
      <c r="AD163" s="210">
        <f t="shared" si="53"/>
        <v>1.359722222223354</v>
      </c>
      <c r="AE163" s="210">
        <f t="shared" si="54"/>
        <v>0</v>
      </c>
      <c r="AF163" s="210">
        <f t="shared" si="55"/>
        <v>1.359722222223354</v>
      </c>
      <c r="AG163" s="210">
        <f t="shared" si="56"/>
        <v>0</v>
      </c>
    </row>
    <row r="164" spans="2:33" ht="15" customHeight="1" x14ac:dyDescent="0.3">
      <c r="B164" s="196" t="s">
        <v>7</v>
      </c>
      <c r="C164" s="197" t="s">
        <v>15</v>
      </c>
      <c r="D164" s="198" t="str">
        <f t="shared" si="38"/>
        <v>C</v>
      </c>
      <c r="E164" s="199">
        <v>44132.833333333336</v>
      </c>
      <c r="F164" s="200" t="s">
        <v>120</v>
      </c>
      <c r="G164" s="201">
        <v>1.6644600000000001</v>
      </c>
      <c r="H164" s="201">
        <v>1.6565799999999999</v>
      </c>
      <c r="I164" s="202">
        <f t="shared" si="39"/>
        <v>7.8800000000001091E-3</v>
      </c>
      <c r="J164" s="201">
        <v>1.7484900000000001</v>
      </c>
      <c r="K164" s="199">
        <v>44133.744444444441</v>
      </c>
      <c r="L164" s="201">
        <v>1.6588000000000001</v>
      </c>
      <c r="M164" s="203">
        <f t="shared" si="40"/>
        <v>-5.7000000000000002E-3</v>
      </c>
      <c r="N164" s="204">
        <f t="shared" si="41"/>
        <v>-0.72</v>
      </c>
      <c r="O164" s="205">
        <f t="shared" si="42"/>
        <v>0</v>
      </c>
      <c r="P164" s="206">
        <f t="shared" si="43"/>
        <v>0</v>
      </c>
      <c r="Q164" s="206">
        <f t="shared" si="44"/>
        <v>-0.72</v>
      </c>
      <c r="R1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264360</v>
      </c>
      <c r="T1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64" s="208">
        <f ca="1">IF(Tabla33610673[[#This Row],[Equity]]&lt;Tabla33610673[[#This Row],[Equity Peak]],(Tabla33610673[[#This Row],[Equity Peak]]-Tabla33610673[[#This Row],[Equity]])/Tabla33610673[[#This Row],[Equity Peak]],"")</f>
        <v>4.2867487328023174E-2</v>
      </c>
      <c r="V164" s="209">
        <f t="shared" si="45"/>
        <v>-0.72</v>
      </c>
      <c r="W164" s="209">
        <f t="shared" si="46"/>
        <v>0</v>
      </c>
      <c r="X164" s="209">
        <f t="shared" si="47"/>
        <v>0</v>
      </c>
      <c r="Y164" s="209">
        <f t="shared" si="48"/>
        <v>0</v>
      </c>
      <c r="Z164" s="209">
        <f t="shared" si="49"/>
        <v>0</v>
      </c>
      <c r="AA164" s="205">
        <f t="shared" si="50"/>
        <v>0</v>
      </c>
      <c r="AB164" s="209">
        <f t="shared" si="51"/>
        <v>0</v>
      </c>
      <c r="AC164" s="205">
        <f t="shared" si="52"/>
        <v>0</v>
      </c>
      <c r="AD164" s="210">
        <f t="shared" si="53"/>
        <v>0.91111111110512866</v>
      </c>
      <c r="AE164" s="210">
        <f t="shared" si="54"/>
        <v>0</v>
      </c>
      <c r="AF164" s="210">
        <f t="shared" si="55"/>
        <v>0.91111111110512866</v>
      </c>
      <c r="AG164" s="210">
        <f t="shared" si="56"/>
        <v>0</v>
      </c>
    </row>
    <row r="165" spans="2:33" ht="15" customHeight="1" x14ac:dyDescent="0.3">
      <c r="B165" s="196" t="s">
        <v>19</v>
      </c>
      <c r="C165" s="197" t="s">
        <v>15</v>
      </c>
      <c r="D165" s="198" t="str">
        <f t="shared" si="38"/>
        <v>C</v>
      </c>
      <c r="E165" s="199">
        <v>44131.875</v>
      </c>
      <c r="F165" s="200" t="s">
        <v>88</v>
      </c>
      <c r="G165" s="201">
        <v>1908.8</v>
      </c>
      <c r="H165" s="201">
        <v>1889.07</v>
      </c>
      <c r="I165" s="202">
        <f t="shared" si="39"/>
        <v>19.730000000000018</v>
      </c>
      <c r="J165" s="201">
        <v>2035.1</v>
      </c>
      <c r="K165" s="199">
        <v>44132.620833333334</v>
      </c>
      <c r="L165" s="201">
        <v>1890.94</v>
      </c>
      <c r="M165" s="203">
        <f t="shared" si="40"/>
        <v>-17.86</v>
      </c>
      <c r="N165" s="204">
        <f t="shared" si="41"/>
        <v>-0.91</v>
      </c>
      <c r="O165" s="205">
        <f t="shared" si="42"/>
        <v>0</v>
      </c>
      <c r="P165" s="206">
        <f t="shared" si="43"/>
        <v>0</v>
      </c>
      <c r="Q165" s="206">
        <f t="shared" si="44"/>
        <v>-0.91</v>
      </c>
      <c r="R1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265080</v>
      </c>
      <c r="T1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65" s="208">
        <f ca="1">IF(Tabla33610673[[#This Row],[Equity]]&lt;Tabla33610673[[#This Row],[Equity Peak]],(Tabla33610673[[#This Row],[Equity Peak]]-Tabla33610673[[#This Row],[Equity]])/Tabla33610673[[#This Row],[Equity Peak]],"")</f>
        <v>4.0260680666183928E-2</v>
      </c>
      <c r="V165" s="209">
        <f t="shared" si="45"/>
        <v>0</v>
      </c>
      <c r="W165" s="209">
        <f t="shared" si="46"/>
        <v>0</v>
      </c>
      <c r="X165" s="209">
        <f t="shared" si="47"/>
        <v>-0.91</v>
      </c>
      <c r="Y165" s="209">
        <f t="shared" si="48"/>
        <v>0</v>
      </c>
      <c r="Z165" s="209">
        <f t="shared" si="49"/>
        <v>0</v>
      </c>
      <c r="AA165" s="205">
        <f t="shared" si="50"/>
        <v>0</v>
      </c>
      <c r="AB165" s="209">
        <f t="shared" si="51"/>
        <v>0</v>
      </c>
      <c r="AC165" s="205">
        <f t="shared" si="52"/>
        <v>0</v>
      </c>
      <c r="AD165" s="210">
        <f t="shared" si="53"/>
        <v>0.74583333333430346</v>
      </c>
      <c r="AE165" s="210">
        <f t="shared" si="54"/>
        <v>0</v>
      </c>
      <c r="AF165" s="210">
        <f t="shared" si="55"/>
        <v>0.74583333333430346</v>
      </c>
      <c r="AG165" s="210">
        <f t="shared" si="56"/>
        <v>0</v>
      </c>
    </row>
    <row r="166" spans="2:33" ht="15" customHeight="1" x14ac:dyDescent="0.3">
      <c r="B166" s="196" t="s">
        <v>7</v>
      </c>
      <c r="C166" s="197" t="s">
        <v>15</v>
      </c>
      <c r="D166" s="198" t="str">
        <f t="shared" si="38"/>
        <v>C</v>
      </c>
      <c r="E166" s="199">
        <v>44131.333333333336</v>
      </c>
      <c r="F166" s="200" t="s">
        <v>121</v>
      </c>
      <c r="G166" s="201">
        <v>0.71335999999999999</v>
      </c>
      <c r="H166" s="201">
        <v>0.70926</v>
      </c>
      <c r="I166" s="202">
        <f t="shared" si="39"/>
        <v>4.0999999999999925E-3</v>
      </c>
      <c r="J166" s="201">
        <v>0.73521999999999998</v>
      </c>
      <c r="K166" s="199">
        <v>44132.558333333334</v>
      </c>
      <c r="L166" s="201">
        <v>0.70926</v>
      </c>
      <c r="M166" s="203">
        <f t="shared" si="40"/>
        <v>-4.1000000000000003E-3</v>
      </c>
      <c r="N166" s="204">
        <f t="shared" si="41"/>
        <v>-1</v>
      </c>
      <c r="O166" s="205">
        <f t="shared" si="42"/>
        <v>0</v>
      </c>
      <c r="P166" s="206">
        <f t="shared" si="43"/>
        <v>0</v>
      </c>
      <c r="Q166" s="206">
        <f t="shared" si="44"/>
        <v>-1</v>
      </c>
      <c r="R1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265990</v>
      </c>
      <c r="T1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66" s="208">
        <f ca="1">IF(Tabla33610673[[#This Row],[Equity]]&lt;Tabla33610673[[#This Row],[Equity Peak]],(Tabla33610673[[#This Row],[Equity Peak]]-Tabla33610673[[#This Row],[Equity]])/Tabla33610673[[#This Row],[Equity Peak]],"")</f>
        <v>3.6965966690803764E-2</v>
      </c>
      <c r="V166" s="209">
        <f t="shared" si="45"/>
        <v>-1</v>
      </c>
      <c r="W166" s="209">
        <f t="shared" si="46"/>
        <v>0</v>
      </c>
      <c r="X166" s="209">
        <f t="shared" si="47"/>
        <v>0</v>
      </c>
      <c r="Y166" s="209">
        <f t="shared" si="48"/>
        <v>0</v>
      </c>
      <c r="Z166" s="209">
        <f t="shared" si="49"/>
        <v>0</v>
      </c>
      <c r="AA166" s="205">
        <f t="shared" si="50"/>
        <v>0</v>
      </c>
      <c r="AB166" s="209">
        <f t="shared" si="51"/>
        <v>0</v>
      </c>
      <c r="AC166" s="205">
        <f t="shared" si="52"/>
        <v>0</v>
      </c>
      <c r="AD166" s="210">
        <f t="shared" si="53"/>
        <v>1.2249999999985448</v>
      </c>
      <c r="AE166" s="210">
        <f t="shared" si="54"/>
        <v>0</v>
      </c>
      <c r="AF166" s="210">
        <f t="shared" si="55"/>
        <v>1.2249999999985448</v>
      </c>
      <c r="AG166" s="210">
        <f t="shared" si="56"/>
        <v>0</v>
      </c>
    </row>
    <row r="167" spans="2:33" ht="15" customHeight="1" x14ac:dyDescent="0.3">
      <c r="B167" s="196" t="s">
        <v>7</v>
      </c>
      <c r="C167" s="197" t="s">
        <v>15</v>
      </c>
      <c r="D167" s="198" t="str">
        <f t="shared" si="38"/>
        <v>C</v>
      </c>
      <c r="E167" s="199">
        <v>44125.5</v>
      </c>
      <c r="F167" s="200" t="s">
        <v>114</v>
      </c>
      <c r="G167" s="201">
        <v>1.304</v>
      </c>
      <c r="H167" s="201">
        <v>1.2923500000000001</v>
      </c>
      <c r="I167" s="202">
        <f t="shared" si="39"/>
        <v>1.1649999999999938E-2</v>
      </c>
      <c r="J167" s="201">
        <v>1.3506100000000001</v>
      </c>
      <c r="K167" s="199">
        <v>44132.51458333333</v>
      </c>
      <c r="L167" s="201">
        <v>1.2979799999999999</v>
      </c>
      <c r="M167" s="203">
        <f t="shared" si="40"/>
        <v>-6.0000000000000001E-3</v>
      </c>
      <c r="N167" s="204">
        <f t="shared" si="41"/>
        <v>-0.52</v>
      </c>
      <c r="O167" s="205">
        <f t="shared" si="42"/>
        <v>0</v>
      </c>
      <c r="P167" s="206">
        <f t="shared" si="43"/>
        <v>0</v>
      </c>
      <c r="Q167" s="206">
        <f t="shared" si="44"/>
        <v>-0.52</v>
      </c>
      <c r="R1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266990</v>
      </c>
      <c r="T1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67" s="208">
        <f ca="1">IF(Tabla33610673[[#This Row],[Equity]]&lt;Tabla33610673[[#This Row],[Equity Peak]],(Tabla33610673[[#This Row],[Equity Peak]]-Tabla33610673[[#This Row],[Equity]])/Tabla33610673[[#This Row],[Equity Peak]],"")</f>
        <v>3.33454018826937E-2</v>
      </c>
      <c r="V167" s="209">
        <f t="shared" si="45"/>
        <v>-0.52</v>
      </c>
      <c r="W167" s="209">
        <f t="shared" si="46"/>
        <v>0</v>
      </c>
      <c r="X167" s="209">
        <f t="shared" si="47"/>
        <v>0</v>
      </c>
      <c r="Y167" s="209">
        <f t="shared" si="48"/>
        <v>0</v>
      </c>
      <c r="Z167" s="209">
        <f t="shared" si="49"/>
        <v>0</v>
      </c>
      <c r="AA167" s="205">
        <f t="shared" si="50"/>
        <v>0</v>
      </c>
      <c r="AB167" s="209">
        <f t="shared" si="51"/>
        <v>0</v>
      </c>
      <c r="AC167" s="205">
        <f t="shared" si="52"/>
        <v>0</v>
      </c>
      <c r="AD167" s="210">
        <f t="shared" si="53"/>
        <v>7.0145833333299379</v>
      </c>
      <c r="AE167" s="210">
        <f t="shared" si="54"/>
        <v>0</v>
      </c>
      <c r="AF167" s="210">
        <f t="shared" si="55"/>
        <v>7.0145833333299379</v>
      </c>
      <c r="AG167" s="210">
        <f t="shared" si="56"/>
        <v>0</v>
      </c>
    </row>
    <row r="168" spans="2:33" ht="15" customHeight="1" x14ac:dyDescent="0.3">
      <c r="B168" s="196" t="s">
        <v>19</v>
      </c>
      <c r="C168" s="197" t="s">
        <v>15</v>
      </c>
      <c r="D168" s="198" t="str">
        <f t="shared" si="38"/>
        <v>C</v>
      </c>
      <c r="E168" s="199">
        <v>44124.375</v>
      </c>
      <c r="F168" s="200" t="s">
        <v>89</v>
      </c>
      <c r="G168" s="201">
        <v>24.49</v>
      </c>
      <c r="H168" s="201">
        <v>23.582000000000001</v>
      </c>
      <c r="I168" s="202">
        <f t="shared" si="39"/>
        <v>0.9079999999999977</v>
      </c>
      <c r="J168" s="201">
        <v>28.850999999999999</v>
      </c>
      <c r="K168" s="199">
        <v>44131.708333333336</v>
      </c>
      <c r="L168" s="201">
        <v>24.300999999999998</v>
      </c>
      <c r="M168" s="203">
        <f t="shared" si="40"/>
        <v>-0.189</v>
      </c>
      <c r="N168" s="204">
        <f t="shared" si="41"/>
        <v>-0.21</v>
      </c>
      <c r="O168" s="205">
        <f t="shared" si="42"/>
        <v>0</v>
      </c>
      <c r="P168" s="206">
        <f t="shared" si="43"/>
        <v>0</v>
      </c>
      <c r="Q168" s="206">
        <f t="shared" si="44"/>
        <v>-0.21</v>
      </c>
      <c r="R1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267510</v>
      </c>
      <c r="T1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68" s="208">
        <f ca="1">IF(Tabla33610673[[#This Row],[Equity]]&lt;Tabla33610673[[#This Row],[Equity Peak]],(Tabla33610673[[#This Row],[Equity Peak]]-Tabla33610673[[#This Row],[Equity]])/Tabla33610673[[#This Row],[Equity Peak]],"")</f>
        <v>3.1462708182476463E-2</v>
      </c>
      <c r="V168" s="209">
        <f t="shared" si="45"/>
        <v>0</v>
      </c>
      <c r="W168" s="209">
        <f t="shared" si="46"/>
        <v>0</v>
      </c>
      <c r="X168" s="209">
        <f t="shared" si="47"/>
        <v>-0.21</v>
      </c>
      <c r="Y168" s="209">
        <f t="shared" si="48"/>
        <v>0</v>
      </c>
      <c r="Z168" s="209">
        <f t="shared" si="49"/>
        <v>0</v>
      </c>
      <c r="AA168" s="205">
        <f t="shared" si="50"/>
        <v>0</v>
      </c>
      <c r="AB168" s="209">
        <f t="shared" si="51"/>
        <v>0</v>
      </c>
      <c r="AC168" s="205">
        <f t="shared" si="52"/>
        <v>0</v>
      </c>
      <c r="AD168" s="210">
        <f t="shared" si="53"/>
        <v>7.3333333333357587</v>
      </c>
      <c r="AE168" s="210">
        <f t="shared" si="54"/>
        <v>0</v>
      </c>
      <c r="AF168" s="210">
        <f t="shared" si="55"/>
        <v>7.3333333333357587</v>
      </c>
      <c r="AG168" s="210">
        <f t="shared" si="56"/>
        <v>0</v>
      </c>
    </row>
    <row r="169" spans="2:33" ht="15" customHeight="1" x14ac:dyDescent="0.3">
      <c r="B169" s="196" t="s">
        <v>84</v>
      </c>
      <c r="C169" s="197" t="s">
        <v>15</v>
      </c>
      <c r="D169" s="198" t="str">
        <f t="shared" si="38"/>
        <v>C</v>
      </c>
      <c r="E169" s="199">
        <v>44125.833333333336</v>
      </c>
      <c r="F169" s="200" t="s">
        <v>82</v>
      </c>
      <c r="G169" s="201">
        <v>397.94</v>
      </c>
      <c r="H169" s="201">
        <v>387.57</v>
      </c>
      <c r="I169" s="202">
        <f t="shared" si="39"/>
        <v>10.370000000000005</v>
      </c>
      <c r="J169" s="201">
        <v>591.52</v>
      </c>
      <c r="K169" s="199">
        <v>44130.740277777775</v>
      </c>
      <c r="L169" s="201">
        <v>397.83</v>
      </c>
      <c r="M169" s="203">
        <f t="shared" si="40"/>
        <v>-0.11</v>
      </c>
      <c r="N169" s="204">
        <f t="shared" si="41"/>
        <v>-0.01</v>
      </c>
      <c r="O169" s="205">
        <f t="shared" si="42"/>
        <v>0</v>
      </c>
      <c r="P169" s="206">
        <f t="shared" si="43"/>
        <v>0</v>
      </c>
      <c r="Q169" s="206">
        <f t="shared" si="44"/>
        <v>-0.01</v>
      </c>
      <c r="R1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267720</v>
      </c>
      <c r="T1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69" s="208">
        <f ca="1">IF(Tabla33610673[[#This Row],[Equity]]&lt;Tabla33610673[[#This Row],[Equity Peak]],(Tabla33610673[[#This Row],[Equity Peak]]-Tabla33610673[[#This Row],[Equity]])/Tabla33610673[[#This Row],[Equity Peak]],"")</f>
        <v>3.0702389572773353E-2</v>
      </c>
      <c r="V169" s="209">
        <f t="shared" si="45"/>
        <v>0</v>
      </c>
      <c r="W169" s="209">
        <f t="shared" si="46"/>
        <v>0</v>
      </c>
      <c r="X169" s="209">
        <f t="shared" si="47"/>
        <v>0</v>
      </c>
      <c r="Y169" s="209">
        <f t="shared" si="48"/>
        <v>0</v>
      </c>
      <c r="Z169" s="209">
        <f t="shared" si="49"/>
        <v>0</v>
      </c>
      <c r="AA169" s="205">
        <f t="shared" si="50"/>
        <v>0</v>
      </c>
      <c r="AB169" s="209">
        <f t="shared" si="51"/>
        <v>-0.01</v>
      </c>
      <c r="AC169" s="205">
        <f t="shared" si="52"/>
        <v>0</v>
      </c>
      <c r="AD169" s="210">
        <f t="shared" si="53"/>
        <v>4.9069444444394321</v>
      </c>
      <c r="AE169" s="210">
        <f t="shared" si="54"/>
        <v>0</v>
      </c>
      <c r="AF169" s="210">
        <f t="shared" si="55"/>
        <v>4.9069444444394321</v>
      </c>
      <c r="AG169" s="210">
        <f t="shared" si="56"/>
        <v>0</v>
      </c>
    </row>
    <row r="170" spans="2:33" ht="15" customHeight="1" x14ac:dyDescent="0.3">
      <c r="B170" s="196" t="s">
        <v>7</v>
      </c>
      <c r="C170" s="197" t="s">
        <v>15</v>
      </c>
      <c r="D170" s="198" t="str">
        <f t="shared" si="38"/>
        <v>C</v>
      </c>
      <c r="E170" s="199">
        <v>44125.5</v>
      </c>
      <c r="F170" s="200" t="s">
        <v>115</v>
      </c>
      <c r="G170" s="201">
        <v>136.863</v>
      </c>
      <c r="H170" s="201">
        <v>135.816</v>
      </c>
      <c r="I170" s="202">
        <f t="shared" si="39"/>
        <v>1.046999999999997</v>
      </c>
      <c r="J170" s="201">
        <v>142.726</v>
      </c>
      <c r="K170" s="199">
        <v>44130.433333333334</v>
      </c>
      <c r="L170" s="201">
        <v>136.322</v>
      </c>
      <c r="M170" s="203">
        <f t="shared" si="40"/>
        <v>-0.54100000000000004</v>
      </c>
      <c r="N170" s="204">
        <f t="shared" si="41"/>
        <v>-0.52</v>
      </c>
      <c r="O170" s="205">
        <f t="shared" si="42"/>
        <v>0</v>
      </c>
      <c r="P170" s="206">
        <f t="shared" si="43"/>
        <v>0</v>
      </c>
      <c r="Q170" s="206">
        <f t="shared" si="44"/>
        <v>-0.52</v>
      </c>
      <c r="R1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267730</v>
      </c>
      <c r="T1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70" s="208">
        <f ca="1">IF(Tabla33610673[[#This Row],[Equity]]&lt;Tabla33610673[[#This Row],[Equity Peak]],(Tabla33610673[[#This Row],[Equity Peak]]-Tabla33610673[[#This Row],[Equity]])/Tabla33610673[[#This Row],[Equity Peak]],"")</f>
        <v>3.0666183924692253E-2</v>
      </c>
      <c r="V170" s="209">
        <f t="shared" si="45"/>
        <v>-0.52</v>
      </c>
      <c r="W170" s="209">
        <f t="shared" si="46"/>
        <v>0</v>
      </c>
      <c r="X170" s="209">
        <f t="shared" si="47"/>
        <v>0</v>
      </c>
      <c r="Y170" s="209">
        <f t="shared" si="48"/>
        <v>0</v>
      </c>
      <c r="Z170" s="209">
        <f t="shared" si="49"/>
        <v>0</v>
      </c>
      <c r="AA170" s="205">
        <f t="shared" si="50"/>
        <v>0</v>
      </c>
      <c r="AB170" s="209">
        <f t="shared" si="51"/>
        <v>0</v>
      </c>
      <c r="AC170" s="205">
        <f t="shared" si="52"/>
        <v>0</v>
      </c>
      <c r="AD170" s="210">
        <f t="shared" si="53"/>
        <v>4.9333333333343035</v>
      </c>
      <c r="AE170" s="210">
        <f t="shared" si="54"/>
        <v>0</v>
      </c>
      <c r="AF170" s="210">
        <f t="shared" si="55"/>
        <v>4.9333333333343035</v>
      </c>
      <c r="AG170" s="210">
        <f t="shared" si="56"/>
        <v>0</v>
      </c>
    </row>
    <row r="171" spans="2:33" ht="15" customHeight="1" x14ac:dyDescent="0.3">
      <c r="B171" s="196" t="s">
        <v>7</v>
      </c>
      <c r="C171" s="197" t="s">
        <v>13</v>
      </c>
      <c r="D171" s="198" t="str">
        <f t="shared" si="38"/>
        <v>C</v>
      </c>
      <c r="E171" s="199">
        <v>44125.333333333336</v>
      </c>
      <c r="F171" s="200" t="s">
        <v>113</v>
      </c>
      <c r="G171" s="201">
        <v>105.295</v>
      </c>
      <c r="H171" s="201">
        <v>105.777</v>
      </c>
      <c r="I171" s="202">
        <f t="shared" si="39"/>
        <v>0.48199999999999932</v>
      </c>
      <c r="J171" s="201">
        <v>103.048</v>
      </c>
      <c r="K171" s="199">
        <v>44130.419444444444</v>
      </c>
      <c r="L171" s="201">
        <v>104.95399999999999</v>
      </c>
      <c r="M171" s="203">
        <f t="shared" si="40"/>
        <v>0.34100000000000003</v>
      </c>
      <c r="N171" s="204">
        <f t="shared" si="41"/>
        <v>0.71</v>
      </c>
      <c r="O171" s="205">
        <f t="shared" si="42"/>
        <v>0</v>
      </c>
      <c r="P171" s="206">
        <f t="shared" si="43"/>
        <v>0.71</v>
      </c>
      <c r="Q171" s="206">
        <f t="shared" si="44"/>
        <v>0</v>
      </c>
      <c r="R1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268250</v>
      </c>
      <c r="T1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71" s="208">
        <f ca="1">IF(Tabla33610673[[#This Row],[Equity]]&lt;Tabla33610673[[#This Row],[Equity Peak]],(Tabla33610673[[#This Row],[Equity Peak]]-Tabla33610673[[#This Row],[Equity]])/Tabla33610673[[#This Row],[Equity Peak]],"")</f>
        <v>2.8783490224475017E-2</v>
      </c>
      <c r="V171" s="209">
        <f t="shared" si="45"/>
        <v>0.71</v>
      </c>
      <c r="W171" s="209">
        <f t="shared" si="46"/>
        <v>0</v>
      </c>
      <c r="X171" s="209">
        <f t="shared" si="47"/>
        <v>0</v>
      </c>
      <c r="Y171" s="209">
        <f t="shared" si="48"/>
        <v>0</v>
      </c>
      <c r="Z171" s="209">
        <f t="shared" si="49"/>
        <v>0</v>
      </c>
      <c r="AA171" s="205">
        <f t="shared" si="50"/>
        <v>0</v>
      </c>
      <c r="AB171" s="209">
        <f t="shared" si="51"/>
        <v>0</v>
      </c>
      <c r="AC171" s="205">
        <f t="shared" si="52"/>
        <v>0</v>
      </c>
      <c r="AD171" s="210">
        <f t="shared" si="53"/>
        <v>5.086111111108039</v>
      </c>
      <c r="AE171" s="210">
        <f t="shared" si="54"/>
        <v>5.086111111108039</v>
      </c>
      <c r="AF171" s="210">
        <f t="shared" si="55"/>
        <v>0</v>
      </c>
      <c r="AG171" s="210">
        <f t="shared" si="56"/>
        <v>0</v>
      </c>
    </row>
    <row r="172" spans="2:33" ht="15" customHeight="1" x14ac:dyDescent="0.3">
      <c r="B172" s="196" t="s">
        <v>5</v>
      </c>
      <c r="C172" s="197" t="s">
        <v>15</v>
      </c>
      <c r="D172" s="198" t="str">
        <f t="shared" si="38"/>
        <v>C</v>
      </c>
      <c r="E172" s="199">
        <v>44127.017361111109</v>
      </c>
      <c r="F172" s="200" t="s">
        <v>95</v>
      </c>
      <c r="G172" s="201">
        <v>28386.6</v>
      </c>
      <c r="H172" s="201">
        <v>28112.81</v>
      </c>
      <c r="I172" s="202">
        <f t="shared" si="39"/>
        <v>273.78999999999724</v>
      </c>
      <c r="J172" s="201">
        <v>29481.77</v>
      </c>
      <c r="K172" s="199">
        <v>44130.058333333334</v>
      </c>
      <c r="L172" s="201">
        <v>28112.81</v>
      </c>
      <c r="M172" s="203">
        <f t="shared" si="40"/>
        <v>-273.79000000000002</v>
      </c>
      <c r="N172" s="204">
        <f t="shared" si="41"/>
        <v>-1</v>
      </c>
      <c r="O172" s="205">
        <f t="shared" si="42"/>
        <v>0</v>
      </c>
      <c r="P172" s="206">
        <f t="shared" si="43"/>
        <v>0</v>
      </c>
      <c r="Q172" s="206">
        <f t="shared" si="44"/>
        <v>-1</v>
      </c>
      <c r="R1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267540</v>
      </c>
      <c r="T1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72" s="208">
        <f ca="1">IF(Tabla33610673[[#This Row],[Equity]]&lt;Tabla33610673[[#This Row],[Equity Peak]],(Tabla33610673[[#This Row],[Equity Peak]]-Tabla33610673[[#This Row],[Equity]])/Tabla33610673[[#This Row],[Equity Peak]],"")</f>
        <v>3.1354091238233163E-2</v>
      </c>
      <c r="V172" s="209">
        <f t="shared" si="45"/>
        <v>0</v>
      </c>
      <c r="W172" s="209">
        <f t="shared" si="46"/>
        <v>0</v>
      </c>
      <c r="X172" s="209">
        <f t="shared" si="47"/>
        <v>0</v>
      </c>
      <c r="Y172" s="209">
        <f t="shared" si="48"/>
        <v>0</v>
      </c>
      <c r="Z172" s="209">
        <f t="shared" si="49"/>
        <v>-1</v>
      </c>
      <c r="AA172" s="205">
        <f t="shared" si="50"/>
        <v>0</v>
      </c>
      <c r="AB172" s="209">
        <f t="shared" si="51"/>
        <v>0</v>
      </c>
      <c r="AC172" s="205">
        <f t="shared" si="52"/>
        <v>0</v>
      </c>
      <c r="AD172" s="210">
        <f t="shared" si="53"/>
        <v>3.0409722222248092</v>
      </c>
      <c r="AE172" s="210">
        <f t="shared" si="54"/>
        <v>0</v>
      </c>
      <c r="AF172" s="210">
        <f t="shared" si="55"/>
        <v>3.0409722222248092</v>
      </c>
      <c r="AG172" s="210">
        <f t="shared" si="56"/>
        <v>0</v>
      </c>
    </row>
    <row r="173" spans="2:33" ht="15" customHeight="1" x14ac:dyDescent="0.3">
      <c r="B173" s="196" t="s">
        <v>7</v>
      </c>
      <c r="C173" s="197" t="s">
        <v>15</v>
      </c>
      <c r="D173" s="198" t="str">
        <f t="shared" si="38"/>
        <v>C</v>
      </c>
      <c r="E173" s="199">
        <v>44124.833333333336</v>
      </c>
      <c r="F173" s="200" t="s">
        <v>117</v>
      </c>
      <c r="G173" s="201">
        <v>1.1826399999999999</v>
      </c>
      <c r="H173" s="201">
        <v>1.17581</v>
      </c>
      <c r="I173" s="202">
        <f t="shared" si="39"/>
        <v>6.8299999999998917E-3</v>
      </c>
      <c r="J173" s="201">
        <v>1.2263200000000001</v>
      </c>
      <c r="K173" s="199">
        <v>44127.125694444447</v>
      </c>
      <c r="L173" s="201">
        <v>1.1807300000000001</v>
      </c>
      <c r="M173" s="203">
        <f t="shared" si="40"/>
        <v>-1.9E-3</v>
      </c>
      <c r="N173" s="204">
        <f t="shared" si="41"/>
        <v>-0.28000000000000003</v>
      </c>
      <c r="O173" s="205">
        <f t="shared" si="42"/>
        <v>0</v>
      </c>
      <c r="P173" s="206">
        <f t="shared" si="43"/>
        <v>0</v>
      </c>
      <c r="Q173" s="206">
        <f t="shared" si="44"/>
        <v>-0.28000000000000003</v>
      </c>
      <c r="R1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268540</v>
      </c>
      <c r="T1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73" s="208">
        <f ca="1">IF(Tabla33610673[[#This Row],[Equity]]&lt;Tabla33610673[[#This Row],[Equity Peak]],(Tabla33610673[[#This Row],[Equity Peak]]-Tabla33610673[[#This Row],[Equity]])/Tabla33610673[[#This Row],[Equity Peak]],"")</f>
        <v>2.7733526430123098E-2</v>
      </c>
      <c r="V173" s="209">
        <f t="shared" si="45"/>
        <v>-0.28000000000000003</v>
      </c>
      <c r="W173" s="209">
        <f t="shared" si="46"/>
        <v>0</v>
      </c>
      <c r="X173" s="209">
        <f t="shared" si="47"/>
        <v>0</v>
      </c>
      <c r="Y173" s="209">
        <f t="shared" si="48"/>
        <v>0</v>
      </c>
      <c r="Z173" s="209">
        <f t="shared" si="49"/>
        <v>0</v>
      </c>
      <c r="AA173" s="205">
        <f t="shared" si="50"/>
        <v>0</v>
      </c>
      <c r="AB173" s="209">
        <f t="shared" si="51"/>
        <v>0</v>
      </c>
      <c r="AC173" s="205">
        <f t="shared" si="52"/>
        <v>0</v>
      </c>
      <c r="AD173" s="210">
        <f t="shared" si="53"/>
        <v>2.2923611111109494</v>
      </c>
      <c r="AE173" s="210">
        <f t="shared" si="54"/>
        <v>0</v>
      </c>
      <c r="AF173" s="210">
        <f t="shared" si="55"/>
        <v>2.2923611111109494</v>
      </c>
      <c r="AG173" s="210">
        <f t="shared" si="56"/>
        <v>0</v>
      </c>
    </row>
    <row r="174" spans="2:33" ht="15" customHeight="1" x14ac:dyDescent="0.3">
      <c r="B174" s="196" t="s">
        <v>7</v>
      </c>
      <c r="C174" s="197" t="s">
        <v>13</v>
      </c>
      <c r="D174" s="198" t="str">
        <f t="shared" si="38"/>
        <v>C</v>
      </c>
      <c r="E174" s="199">
        <v>44118.166666666664</v>
      </c>
      <c r="F174" s="200" t="s">
        <v>122</v>
      </c>
      <c r="G174" s="201">
        <v>75.572999999999993</v>
      </c>
      <c r="H174" s="201">
        <v>75.902000000000001</v>
      </c>
      <c r="I174" s="202">
        <f t="shared" si="39"/>
        <v>0.32900000000000773</v>
      </c>
      <c r="J174" s="201">
        <v>69.875</v>
      </c>
      <c r="K174" s="199">
        <v>44127.068749999999</v>
      </c>
      <c r="L174" s="201">
        <v>74.84</v>
      </c>
      <c r="M174" s="203">
        <f t="shared" si="40"/>
        <v>0.73299999999999998</v>
      </c>
      <c r="N174" s="204">
        <f t="shared" si="41"/>
        <v>2.23</v>
      </c>
      <c r="O174" s="205">
        <f t="shared" si="42"/>
        <v>0</v>
      </c>
      <c r="P174" s="206">
        <f t="shared" si="43"/>
        <v>2.23</v>
      </c>
      <c r="Q174" s="206">
        <f t="shared" si="44"/>
        <v>0</v>
      </c>
      <c r="R17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268820</v>
      </c>
      <c r="T17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74" s="208">
        <f ca="1">IF(Tabla33610673[[#This Row],[Equity]]&lt;Tabla33610673[[#This Row],[Equity Peak]],(Tabla33610673[[#This Row],[Equity Peak]]-Tabla33610673[[#This Row],[Equity]])/Tabla33610673[[#This Row],[Equity Peak]],"")</f>
        <v>2.671976828385228E-2</v>
      </c>
      <c r="V174" s="209">
        <f t="shared" si="45"/>
        <v>2.23</v>
      </c>
      <c r="W174" s="209">
        <f t="shared" si="46"/>
        <v>0</v>
      </c>
      <c r="X174" s="209">
        <f t="shared" si="47"/>
        <v>0</v>
      </c>
      <c r="Y174" s="209">
        <f t="shared" si="48"/>
        <v>0</v>
      </c>
      <c r="Z174" s="209">
        <f t="shared" si="49"/>
        <v>0</v>
      </c>
      <c r="AA174" s="205">
        <f t="shared" si="50"/>
        <v>0</v>
      </c>
      <c r="AB174" s="209">
        <f t="shared" si="51"/>
        <v>0</v>
      </c>
      <c r="AC174" s="205">
        <f t="shared" si="52"/>
        <v>0</v>
      </c>
      <c r="AD174" s="210">
        <f t="shared" si="53"/>
        <v>8.9020833333343035</v>
      </c>
      <c r="AE174" s="210">
        <f t="shared" si="54"/>
        <v>8.9020833333343035</v>
      </c>
      <c r="AF174" s="210">
        <f t="shared" si="55"/>
        <v>0</v>
      </c>
      <c r="AG174" s="210">
        <f t="shared" si="56"/>
        <v>0</v>
      </c>
    </row>
    <row r="175" spans="2:33" ht="15" customHeight="1" x14ac:dyDescent="0.3">
      <c r="B175" s="196" t="s">
        <v>19</v>
      </c>
      <c r="C175" s="197" t="s">
        <v>15</v>
      </c>
      <c r="D175" s="198" t="str">
        <f t="shared" si="38"/>
        <v>C</v>
      </c>
      <c r="E175" s="199">
        <v>44120.208333333336</v>
      </c>
      <c r="F175" s="200" t="s">
        <v>88</v>
      </c>
      <c r="G175" s="201">
        <v>1907.93</v>
      </c>
      <c r="H175" s="201">
        <v>1882.56</v>
      </c>
      <c r="I175" s="202">
        <f t="shared" si="39"/>
        <v>25.370000000000118</v>
      </c>
      <c r="J175" s="201">
        <v>2070.3200000000002</v>
      </c>
      <c r="K175" s="199">
        <v>44126.645833333336</v>
      </c>
      <c r="L175" s="201">
        <v>1903.91</v>
      </c>
      <c r="M175" s="203">
        <f t="shared" si="40"/>
        <v>-4.0199999999999996</v>
      </c>
      <c r="N175" s="204">
        <f t="shared" si="41"/>
        <v>-0.16</v>
      </c>
      <c r="O175" s="205">
        <f t="shared" si="42"/>
        <v>0</v>
      </c>
      <c r="P175" s="206">
        <f t="shared" si="43"/>
        <v>0</v>
      </c>
      <c r="Q175" s="206">
        <f t="shared" si="44"/>
        <v>-0.16</v>
      </c>
      <c r="R17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266590</v>
      </c>
      <c r="T17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75" s="208">
        <f ca="1">IF(Tabla33610673[[#This Row],[Equity]]&lt;Tabla33610673[[#This Row],[Equity Peak]],(Tabla33610673[[#This Row],[Equity Peak]]-Tabla33610673[[#This Row],[Equity]])/Tabla33610673[[#This Row],[Equity Peak]],"")</f>
        <v>3.4793627805937727E-2</v>
      </c>
      <c r="V175" s="209">
        <f t="shared" si="45"/>
        <v>0</v>
      </c>
      <c r="W175" s="209">
        <f t="shared" si="46"/>
        <v>0</v>
      </c>
      <c r="X175" s="209">
        <f t="shared" si="47"/>
        <v>-0.16</v>
      </c>
      <c r="Y175" s="209">
        <f t="shared" si="48"/>
        <v>0</v>
      </c>
      <c r="Z175" s="209">
        <f t="shared" si="49"/>
        <v>0</v>
      </c>
      <c r="AA175" s="205">
        <f t="shared" si="50"/>
        <v>0</v>
      </c>
      <c r="AB175" s="209">
        <f t="shared" si="51"/>
        <v>0</v>
      </c>
      <c r="AC175" s="205">
        <f t="shared" si="52"/>
        <v>0</v>
      </c>
      <c r="AD175" s="210">
        <f t="shared" si="53"/>
        <v>6.4375</v>
      </c>
      <c r="AE175" s="210">
        <f t="shared" si="54"/>
        <v>0</v>
      </c>
      <c r="AF175" s="210">
        <f t="shared" si="55"/>
        <v>6.4375</v>
      </c>
      <c r="AG175" s="210">
        <f t="shared" si="56"/>
        <v>0</v>
      </c>
    </row>
    <row r="176" spans="2:33" ht="15" customHeight="1" x14ac:dyDescent="0.3">
      <c r="B176" s="196" t="s">
        <v>5</v>
      </c>
      <c r="C176" s="197" t="s">
        <v>15</v>
      </c>
      <c r="D176" s="198" t="str">
        <f t="shared" si="38"/>
        <v>C</v>
      </c>
      <c r="E176" s="199">
        <v>44111.243055555555</v>
      </c>
      <c r="F176" s="200" t="s">
        <v>90</v>
      </c>
      <c r="G176" s="201">
        <v>6016.7</v>
      </c>
      <c r="H176" s="201">
        <v>5959.47</v>
      </c>
      <c r="I176" s="202">
        <f t="shared" si="39"/>
        <v>57.229999999999563</v>
      </c>
      <c r="J176" s="201">
        <v>6779.7</v>
      </c>
      <c r="K176" s="199">
        <v>44125.757638888892</v>
      </c>
      <c r="L176" s="201">
        <v>6128.43</v>
      </c>
      <c r="M176" s="203">
        <f t="shared" si="40"/>
        <v>111.73</v>
      </c>
      <c r="N176" s="204">
        <f t="shared" si="41"/>
        <v>1.95</v>
      </c>
      <c r="O176" s="205">
        <f t="shared" si="42"/>
        <v>0</v>
      </c>
      <c r="P176" s="206">
        <f t="shared" si="43"/>
        <v>1.95</v>
      </c>
      <c r="Q176" s="206">
        <f t="shared" si="44"/>
        <v>0</v>
      </c>
      <c r="R17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266750</v>
      </c>
      <c r="T17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76" s="208">
        <f ca="1">IF(Tabla33610673[[#This Row],[Equity]]&lt;Tabla33610673[[#This Row],[Equity Peak]],(Tabla33610673[[#This Row],[Equity Peak]]-Tabla33610673[[#This Row],[Equity]])/Tabla33610673[[#This Row],[Equity Peak]],"")</f>
        <v>3.4214337436640117E-2</v>
      </c>
      <c r="V176" s="209">
        <f t="shared" si="45"/>
        <v>0</v>
      </c>
      <c r="W176" s="209">
        <f t="shared" si="46"/>
        <v>0</v>
      </c>
      <c r="X176" s="209">
        <f t="shared" si="47"/>
        <v>0</v>
      </c>
      <c r="Y176" s="209">
        <f t="shared" si="48"/>
        <v>0</v>
      </c>
      <c r="Z176" s="209">
        <f t="shared" si="49"/>
        <v>1.95</v>
      </c>
      <c r="AA176" s="205">
        <f t="shared" si="50"/>
        <v>0</v>
      </c>
      <c r="AB176" s="209">
        <f t="shared" si="51"/>
        <v>0</v>
      </c>
      <c r="AC176" s="205">
        <f t="shared" si="52"/>
        <v>0</v>
      </c>
      <c r="AD176" s="210">
        <f t="shared" si="53"/>
        <v>14.514583333337214</v>
      </c>
      <c r="AE176" s="210">
        <f t="shared" si="54"/>
        <v>14.514583333337214</v>
      </c>
      <c r="AF176" s="210">
        <f t="shared" si="55"/>
        <v>0</v>
      </c>
      <c r="AG176" s="210">
        <f t="shared" si="56"/>
        <v>0</v>
      </c>
    </row>
    <row r="177" spans="2:33" ht="15" customHeight="1" x14ac:dyDescent="0.3">
      <c r="B177" s="196" t="s">
        <v>7</v>
      </c>
      <c r="C177" s="197" t="s">
        <v>15</v>
      </c>
      <c r="D177" s="198" t="str">
        <f t="shared" si="38"/>
        <v>C</v>
      </c>
      <c r="E177" s="199">
        <v>44124.166666666664</v>
      </c>
      <c r="F177" s="200" t="s">
        <v>118</v>
      </c>
      <c r="G177" s="201">
        <v>124.3</v>
      </c>
      <c r="H177" s="201">
        <v>123.506</v>
      </c>
      <c r="I177" s="202">
        <f t="shared" si="39"/>
        <v>0.79399999999999693</v>
      </c>
      <c r="J177" s="201">
        <v>127.47499999999999</v>
      </c>
      <c r="K177" s="199">
        <v>44125.67291666667</v>
      </c>
      <c r="L177" s="201">
        <v>123.999</v>
      </c>
      <c r="M177" s="203">
        <f t="shared" si="40"/>
        <v>-0.30099999999999999</v>
      </c>
      <c r="N177" s="204">
        <f t="shared" si="41"/>
        <v>-0.38</v>
      </c>
      <c r="O177" s="205">
        <f t="shared" si="42"/>
        <v>0</v>
      </c>
      <c r="P177" s="206">
        <f t="shared" si="43"/>
        <v>0</v>
      </c>
      <c r="Q177" s="206">
        <f t="shared" si="44"/>
        <v>-0.38</v>
      </c>
      <c r="R17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264800</v>
      </c>
      <c r="T17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77" s="208">
        <f ca="1">IF(Tabla33610673[[#This Row],[Equity]]&lt;Tabla33610673[[#This Row],[Equity Peak]],(Tabla33610673[[#This Row],[Equity Peak]]-Tabla33610673[[#This Row],[Equity]])/Tabla33610673[[#This Row],[Equity Peak]],"")</f>
        <v>4.1274438812454746E-2</v>
      </c>
      <c r="V177" s="209">
        <f t="shared" si="45"/>
        <v>-0.38</v>
      </c>
      <c r="W177" s="209">
        <f t="shared" si="46"/>
        <v>0</v>
      </c>
      <c r="X177" s="209">
        <f t="shared" si="47"/>
        <v>0</v>
      </c>
      <c r="Y177" s="209">
        <f t="shared" si="48"/>
        <v>0</v>
      </c>
      <c r="Z177" s="209">
        <f t="shared" si="49"/>
        <v>0</v>
      </c>
      <c r="AA177" s="205">
        <f t="shared" si="50"/>
        <v>0</v>
      </c>
      <c r="AB177" s="209">
        <f t="shared" si="51"/>
        <v>0</v>
      </c>
      <c r="AC177" s="205">
        <f t="shared" si="52"/>
        <v>0</v>
      </c>
      <c r="AD177" s="210">
        <f t="shared" si="53"/>
        <v>1.5062500000058208</v>
      </c>
      <c r="AE177" s="210">
        <f t="shared" si="54"/>
        <v>0</v>
      </c>
      <c r="AF177" s="210">
        <f t="shared" si="55"/>
        <v>1.5062500000058208</v>
      </c>
      <c r="AG177" s="210">
        <f t="shared" si="56"/>
        <v>0</v>
      </c>
    </row>
    <row r="178" spans="2:33" ht="15" customHeight="1" x14ac:dyDescent="0.3">
      <c r="B178" s="196" t="s">
        <v>7</v>
      </c>
      <c r="C178" s="197" t="s">
        <v>15</v>
      </c>
      <c r="D178" s="198" t="str">
        <f t="shared" si="38"/>
        <v>C</v>
      </c>
      <c r="E178" s="199">
        <v>44119.166666666664</v>
      </c>
      <c r="F178" s="200" t="s">
        <v>120</v>
      </c>
      <c r="G178" s="201">
        <v>1.64584</v>
      </c>
      <c r="H178" s="201">
        <v>1.63886</v>
      </c>
      <c r="I178" s="202">
        <f t="shared" si="39"/>
        <v>6.9799999999999862E-3</v>
      </c>
      <c r="J178" s="201">
        <v>1.7202500000000001</v>
      </c>
      <c r="K178" s="199">
        <v>44125.652083333334</v>
      </c>
      <c r="L178" s="201">
        <v>1.6694599999999999</v>
      </c>
      <c r="M178" s="203">
        <f t="shared" si="40"/>
        <v>2.3599999999999999E-2</v>
      </c>
      <c r="N178" s="204">
        <f t="shared" si="41"/>
        <v>3.38</v>
      </c>
      <c r="O178" s="205">
        <f t="shared" si="42"/>
        <v>0</v>
      </c>
      <c r="P178" s="206">
        <f t="shared" si="43"/>
        <v>3.38</v>
      </c>
      <c r="Q178" s="206">
        <f t="shared" si="44"/>
        <v>0</v>
      </c>
      <c r="R17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265180</v>
      </c>
      <c r="T17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78" s="208">
        <f ca="1">IF(Tabla33610673[[#This Row],[Equity]]&lt;Tabla33610673[[#This Row],[Equity Peak]],(Tabla33610673[[#This Row],[Equity Peak]]-Tabla33610673[[#This Row],[Equity]])/Tabla33610673[[#This Row],[Equity Peak]],"")</f>
        <v>3.9898624185372919E-2</v>
      </c>
      <c r="V178" s="209">
        <f t="shared" si="45"/>
        <v>3.38</v>
      </c>
      <c r="W178" s="209">
        <f t="shared" si="46"/>
        <v>0</v>
      </c>
      <c r="X178" s="209">
        <f t="shared" si="47"/>
        <v>0</v>
      </c>
      <c r="Y178" s="209">
        <f t="shared" si="48"/>
        <v>0</v>
      </c>
      <c r="Z178" s="209">
        <f t="shared" si="49"/>
        <v>0</v>
      </c>
      <c r="AA178" s="205">
        <f t="shared" si="50"/>
        <v>0</v>
      </c>
      <c r="AB178" s="209">
        <f t="shared" si="51"/>
        <v>0</v>
      </c>
      <c r="AC178" s="205">
        <f t="shared" si="52"/>
        <v>0</v>
      </c>
      <c r="AD178" s="210">
        <f t="shared" si="53"/>
        <v>6.4854166666700621</v>
      </c>
      <c r="AE178" s="210">
        <f t="shared" si="54"/>
        <v>6.4854166666700621</v>
      </c>
      <c r="AF178" s="210">
        <f t="shared" si="55"/>
        <v>0</v>
      </c>
      <c r="AG178" s="210">
        <f t="shared" si="56"/>
        <v>0</v>
      </c>
    </row>
    <row r="179" spans="2:33" ht="15" customHeight="1" x14ac:dyDescent="0.3">
      <c r="B179" s="196" t="s">
        <v>7</v>
      </c>
      <c r="C179" s="197" t="s">
        <v>15</v>
      </c>
      <c r="D179" s="198" t="str">
        <f t="shared" si="38"/>
        <v>C</v>
      </c>
      <c r="E179" s="199">
        <v>44125.166666666664</v>
      </c>
      <c r="F179" s="200" t="s">
        <v>119</v>
      </c>
      <c r="G179" s="201">
        <v>0.91308</v>
      </c>
      <c r="H179" s="201">
        <v>0.90905000000000002</v>
      </c>
      <c r="I179" s="202">
        <f t="shared" si="39"/>
        <v>4.029999999999978E-3</v>
      </c>
      <c r="J179" s="201">
        <v>0.92383000000000004</v>
      </c>
      <c r="K179" s="199">
        <v>44125.45416666667</v>
      </c>
      <c r="L179" s="201">
        <v>0.90905000000000002</v>
      </c>
      <c r="M179" s="203">
        <f t="shared" si="40"/>
        <v>-4.0000000000000001E-3</v>
      </c>
      <c r="N179" s="204">
        <f t="shared" si="41"/>
        <v>-0.99</v>
      </c>
      <c r="O179" s="205">
        <f t="shared" si="42"/>
        <v>0</v>
      </c>
      <c r="P179" s="206">
        <f t="shared" si="43"/>
        <v>0</v>
      </c>
      <c r="Q179" s="206">
        <f t="shared" si="44"/>
        <v>-0.99</v>
      </c>
      <c r="R17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261800</v>
      </c>
      <c r="T17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79" s="208">
        <f ca="1">IF(Tabla33610673[[#This Row],[Equity]]&lt;Tabla33610673[[#This Row],[Equity Peak]],(Tabla33610673[[#This Row],[Equity Peak]]-Tabla33610673[[#This Row],[Equity]])/Tabla33610673[[#This Row],[Equity Peak]],"")</f>
        <v>5.213613323678494E-2</v>
      </c>
      <c r="V179" s="209">
        <f t="shared" si="45"/>
        <v>-0.99</v>
      </c>
      <c r="W179" s="209">
        <f t="shared" si="46"/>
        <v>0</v>
      </c>
      <c r="X179" s="209">
        <f t="shared" si="47"/>
        <v>0</v>
      </c>
      <c r="Y179" s="209">
        <f t="shared" si="48"/>
        <v>0</v>
      </c>
      <c r="Z179" s="209">
        <f t="shared" si="49"/>
        <v>0</v>
      </c>
      <c r="AA179" s="205">
        <f t="shared" si="50"/>
        <v>0</v>
      </c>
      <c r="AB179" s="209">
        <f t="shared" si="51"/>
        <v>0</v>
      </c>
      <c r="AC179" s="205">
        <f t="shared" si="52"/>
        <v>0</v>
      </c>
      <c r="AD179" s="210">
        <f t="shared" si="53"/>
        <v>0.28750000000582077</v>
      </c>
      <c r="AE179" s="210">
        <f t="shared" si="54"/>
        <v>0</v>
      </c>
      <c r="AF179" s="210">
        <f t="shared" si="55"/>
        <v>0.28750000000582077</v>
      </c>
      <c r="AG179" s="210">
        <f t="shared" si="56"/>
        <v>0</v>
      </c>
    </row>
    <row r="180" spans="2:33" ht="15" customHeight="1" x14ac:dyDescent="0.3">
      <c r="B180" s="196" t="s">
        <v>19</v>
      </c>
      <c r="C180" s="197" t="s">
        <v>13</v>
      </c>
      <c r="D180" s="198" t="str">
        <f t="shared" si="38"/>
        <v>C</v>
      </c>
      <c r="E180" s="199">
        <v>44119.375</v>
      </c>
      <c r="F180" s="200" t="s">
        <v>89</v>
      </c>
      <c r="G180" s="201">
        <v>24.14</v>
      </c>
      <c r="H180" s="201">
        <v>25.169</v>
      </c>
      <c r="I180" s="202">
        <f t="shared" si="39"/>
        <v>1.0289999999999999</v>
      </c>
      <c r="J180" s="201">
        <v>19.202000000000002</v>
      </c>
      <c r="K180" s="199">
        <v>44124.375</v>
      </c>
      <c r="L180" s="201">
        <v>24.49</v>
      </c>
      <c r="M180" s="203">
        <f t="shared" si="40"/>
        <v>-0.35</v>
      </c>
      <c r="N180" s="204">
        <f t="shared" si="41"/>
        <v>-0.34</v>
      </c>
      <c r="O180" s="205">
        <f t="shared" si="42"/>
        <v>0</v>
      </c>
      <c r="P180" s="206">
        <f t="shared" si="43"/>
        <v>0</v>
      </c>
      <c r="Q180" s="206">
        <f t="shared" si="44"/>
        <v>-0.34</v>
      </c>
      <c r="R18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262790</v>
      </c>
      <c r="T18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80" s="208">
        <f ca="1">IF(Tabla33610673[[#This Row],[Equity]]&lt;Tabla33610673[[#This Row],[Equity Peak]],(Tabla33610673[[#This Row],[Equity Peak]]-Tabla33610673[[#This Row],[Equity]])/Tabla33610673[[#This Row],[Equity Peak]],"")</f>
        <v>4.8551774076755976E-2</v>
      </c>
      <c r="V180" s="209">
        <f t="shared" si="45"/>
        <v>0</v>
      </c>
      <c r="W180" s="209">
        <f t="shared" si="46"/>
        <v>0</v>
      </c>
      <c r="X180" s="209">
        <f t="shared" si="47"/>
        <v>-0.34</v>
      </c>
      <c r="Y180" s="209">
        <f t="shared" si="48"/>
        <v>0</v>
      </c>
      <c r="Z180" s="209">
        <f t="shared" si="49"/>
        <v>0</v>
      </c>
      <c r="AA180" s="205">
        <f t="shared" si="50"/>
        <v>0</v>
      </c>
      <c r="AB180" s="209">
        <f t="shared" si="51"/>
        <v>0</v>
      </c>
      <c r="AC180" s="205">
        <f t="shared" si="52"/>
        <v>0</v>
      </c>
      <c r="AD180" s="210">
        <f t="shared" si="53"/>
        <v>5</v>
      </c>
      <c r="AE180" s="210">
        <f t="shared" si="54"/>
        <v>0</v>
      </c>
      <c r="AF180" s="210">
        <f t="shared" si="55"/>
        <v>5</v>
      </c>
      <c r="AG180" s="210">
        <f t="shared" si="56"/>
        <v>0</v>
      </c>
    </row>
    <row r="181" spans="2:33" ht="15" customHeight="1" x14ac:dyDescent="0.3">
      <c r="B181" s="196" t="s">
        <v>7</v>
      </c>
      <c r="C181" s="197" t="s">
        <v>13</v>
      </c>
      <c r="D181" s="198" t="str">
        <f t="shared" si="38"/>
        <v>C</v>
      </c>
      <c r="E181" s="199">
        <v>44119.5</v>
      </c>
      <c r="F181" s="200" t="s">
        <v>121</v>
      </c>
      <c r="G181" s="201">
        <v>0.70699999999999996</v>
      </c>
      <c r="H181" s="201">
        <v>0.71104999999999996</v>
      </c>
      <c r="I181" s="202">
        <f t="shared" si="39"/>
        <v>4.049999999999998E-3</v>
      </c>
      <c r="J181" s="201">
        <v>0.68542000000000003</v>
      </c>
      <c r="K181" s="199">
        <v>44123.525694444441</v>
      </c>
      <c r="L181" s="201">
        <v>0.71104999999999996</v>
      </c>
      <c r="M181" s="203">
        <f t="shared" si="40"/>
        <v>-4.1000000000000003E-3</v>
      </c>
      <c r="N181" s="204">
        <f t="shared" si="41"/>
        <v>-1.01</v>
      </c>
      <c r="O181" s="205">
        <f t="shared" si="42"/>
        <v>0</v>
      </c>
      <c r="P181" s="206">
        <f t="shared" si="43"/>
        <v>0</v>
      </c>
      <c r="Q181" s="206">
        <f t="shared" si="44"/>
        <v>-1.01</v>
      </c>
      <c r="R18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263130</v>
      </c>
      <c r="T18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81" s="208">
        <f ca="1">IF(Tabla33610673[[#This Row],[Equity]]&lt;Tabla33610673[[#This Row],[Equity Peak]],(Tabla33610673[[#This Row],[Equity Peak]]-Tabla33610673[[#This Row],[Equity]])/Tabla33610673[[#This Row],[Equity Peak]],"")</f>
        <v>4.7320782041998549E-2</v>
      </c>
      <c r="V181" s="209">
        <f t="shared" si="45"/>
        <v>-1.01</v>
      </c>
      <c r="W181" s="209">
        <f t="shared" si="46"/>
        <v>0</v>
      </c>
      <c r="X181" s="209">
        <f t="shared" si="47"/>
        <v>0</v>
      </c>
      <c r="Y181" s="209">
        <f t="shared" si="48"/>
        <v>0</v>
      </c>
      <c r="Z181" s="209">
        <f t="shared" si="49"/>
        <v>0</v>
      </c>
      <c r="AA181" s="205">
        <f t="shared" si="50"/>
        <v>0</v>
      </c>
      <c r="AB181" s="209">
        <f t="shared" si="51"/>
        <v>0</v>
      </c>
      <c r="AC181" s="205">
        <f t="shared" si="52"/>
        <v>0</v>
      </c>
      <c r="AD181" s="210">
        <f t="shared" si="53"/>
        <v>4.0256944444408873</v>
      </c>
      <c r="AE181" s="210">
        <f t="shared" si="54"/>
        <v>0</v>
      </c>
      <c r="AF181" s="210">
        <f t="shared" si="55"/>
        <v>4.0256944444408873</v>
      </c>
      <c r="AG181" s="210">
        <f t="shared" si="56"/>
        <v>0</v>
      </c>
    </row>
    <row r="182" spans="2:33" ht="15" customHeight="1" x14ac:dyDescent="0.3">
      <c r="B182" s="196" t="s">
        <v>7</v>
      </c>
      <c r="C182" s="197" t="s">
        <v>13</v>
      </c>
      <c r="D182" s="198" t="str">
        <f t="shared" si="38"/>
        <v>C</v>
      </c>
      <c r="E182" s="199">
        <v>44120.333333333336</v>
      </c>
      <c r="F182" s="200" t="s">
        <v>115</v>
      </c>
      <c r="G182" s="201">
        <v>135.65</v>
      </c>
      <c r="H182" s="201">
        <v>136.845</v>
      </c>
      <c r="I182" s="202">
        <f t="shared" si="39"/>
        <v>1.1949999999999932</v>
      </c>
      <c r="J182" s="201">
        <v>128.959</v>
      </c>
      <c r="K182" s="199">
        <v>44123.431944444441</v>
      </c>
      <c r="L182" s="201">
        <v>136.845</v>
      </c>
      <c r="M182" s="203">
        <f t="shared" si="40"/>
        <v>-1.1950000000000001</v>
      </c>
      <c r="N182" s="204">
        <f t="shared" si="41"/>
        <v>-1</v>
      </c>
      <c r="O182" s="205">
        <f t="shared" si="42"/>
        <v>0</v>
      </c>
      <c r="P182" s="206">
        <f t="shared" si="43"/>
        <v>0</v>
      </c>
      <c r="Q182" s="206">
        <f t="shared" si="44"/>
        <v>-1</v>
      </c>
      <c r="R18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264140</v>
      </c>
      <c r="T18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82" s="208">
        <f ca="1">IF(Tabla33610673[[#This Row],[Equity]]&lt;Tabla33610673[[#This Row],[Equity Peak]],(Tabla33610673[[#This Row],[Equity Peak]]-Tabla33610673[[#This Row],[Equity]])/Tabla33610673[[#This Row],[Equity Peak]],"")</f>
        <v>4.3664011585807384E-2</v>
      </c>
      <c r="V182" s="209">
        <f t="shared" si="45"/>
        <v>-1</v>
      </c>
      <c r="W182" s="209">
        <f t="shared" si="46"/>
        <v>0</v>
      </c>
      <c r="X182" s="209">
        <f t="shared" si="47"/>
        <v>0</v>
      </c>
      <c r="Y182" s="209">
        <f t="shared" si="48"/>
        <v>0</v>
      </c>
      <c r="Z182" s="209">
        <f t="shared" si="49"/>
        <v>0</v>
      </c>
      <c r="AA182" s="205">
        <f t="shared" si="50"/>
        <v>0</v>
      </c>
      <c r="AB182" s="209">
        <f t="shared" si="51"/>
        <v>0</v>
      </c>
      <c r="AC182" s="205">
        <f t="shared" si="52"/>
        <v>0</v>
      </c>
      <c r="AD182" s="210">
        <f t="shared" si="53"/>
        <v>3.0986111111051287</v>
      </c>
      <c r="AE182" s="210">
        <f t="shared" si="54"/>
        <v>0</v>
      </c>
      <c r="AF182" s="210">
        <f t="shared" si="55"/>
        <v>3.0986111111051287</v>
      </c>
      <c r="AG182" s="210">
        <f t="shared" si="56"/>
        <v>0</v>
      </c>
    </row>
    <row r="183" spans="2:33" ht="15" customHeight="1" x14ac:dyDescent="0.3">
      <c r="B183" s="196" t="s">
        <v>7</v>
      </c>
      <c r="C183" s="197" t="s">
        <v>13</v>
      </c>
      <c r="D183" s="198" t="str">
        <f t="shared" si="38"/>
        <v>C</v>
      </c>
      <c r="E183" s="199">
        <v>44117.833333333336</v>
      </c>
      <c r="F183" s="200" t="s">
        <v>118</v>
      </c>
      <c r="G183" s="201">
        <v>123.848</v>
      </c>
      <c r="H183" s="201">
        <v>124.49299999999999</v>
      </c>
      <c r="I183" s="202">
        <f t="shared" si="39"/>
        <v>0.64499999999999602</v>
      </c>
      <c r="J183" s="201">
        <v>121.26900000000001</v>
      </c>
      <c r="K183" s="199">
        <v>44120.637499999997</v>
      </c>
      <c r="L183" s="201">
        <v>123.642</v>
      </c>
      <c r="M183" s="203">
        <f t="shared" si="40"/>
        <v>0.20599999999999999</v>
      </c>
      <c r="N183" s="204">
        <f t="shared" si="41"/>
        <v>0.32</v>
      </c>
      <c r="O183" s="205">
        <f t="shared" si="42"/>
        <v>0</v>
      </c>
      <c r="P183" s="206">
        <f t="shared" si="43"/>
        <v>0.32</v>
      </c>
      <c r="Q183" s="206">
        <f t="shared" si="44"/>
        <v>0</v>
      </c>
      <c r="R18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265140</v>
      </c>
      <c r="T18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83" s="208">
        <f ca="1">IF(Tabla33610673[[#This Row],[Equity]]&lt;Tabla33610673[[#This Row],[Equity Peak]],(Tabla33610673[[#This Row],[Equity Peak]]-Tabla33610673[[#This Row],[Equity]])/Tabla33610673[[#This Row],[Equity Peak]],"")</f>
        <v>4.004344677769732E-2</v>
      </c>
      <c r="V183" s="209">
        <f t="shared" si="45"/>
        <v>0.32</v>
      </c>
      <c r="W183" s="209">
        <f t="shared" si="46"/>
        <v>0</v>
      </c>
      <c r="X183" s="209">
        <f t="shared" si="47"/>
        <v>0</v>
      </c>
      <c r="Y183" s="209">
        <f t="shared" si="48"/>
        <v>0</v>
      </c>
      <c r="Z183" s="209">
        <f t="shared" si="49"/>
        <v>0</v>
      </c>
      <c r="AA183" s="205">
        <f t="shared" si="50"/>
        <v>0</v>
      </c>
      <c r="AB183" s="209">
        <f t="shared" si="51"/>
        <v>0</v>
      </c>
      <c r="AC183" s="205">
        <f t="shared" si="52"/>
        <v>0</v>
      </c>
      <c r="AD183" s="210">
        <f t="shared" si="53"/>
        <v>2.804166666661331</v>
      </c>
      <c r="AE183" s="210">
        <f t="shared" si="54"/>
        <v>2.804166666661331</v>
      </c>
      <c r="AF183" s="210">
        <f t="shared" si="55"/>
        <v>0</v>
      </c>
      <c r="AG183" s="210">
        <f t="shared" si="56"/>
        <v>0</v>
      </c>
    </row>
    <row r="184" spans="2:33" ht="15" customHeight="1" x14ac:dyDescent="0.3">
      <c r="B184" s="196" t="s">
        <v>84</v>
      </c>
      <c r="C184" s="197" t="s">
        <v>15</v>
      </c>
      <c r="D184" s="198" t="str">
        <f t="shared" si="38"/>
        <v>C</v>
      </c>
      <c r="E184" s="199">
        <v>44113.833333333336</v>
      </c>
      <c r="F184" s="200" t="s">
        <v>82</v>
      </c>
      <c r="G184" s="201">
        <v>365.32</v>
      </c>
      <c r="H184" s="201">
        <v>356.84</v>
      </c>
      <c r="I184" s="202">
        <f t="shared" si="39"/>
        <v>8.4800000000000182</v>
      </c>
      <c r="J184" s="201">
        <v>523.55999999999995</v>
      </c>
      <c r="K184" s="199">
        <v>44120.275694444441</v>
      </c>
      <c r="L184" s="201">
        <v>364.82</v>
      </c>
      <c r="M184" s="203">
        <f t="shared" si="40"/>
        <v>-0.5</v>
      </c>
      <c r="N184" s="204">
        <f t="shared" si="41"/>
        <v>-0.06</v>
      </c>
      <c r="O184" s="205">
        <f t="shared" si="42"/>
        <v>0</v>
      </c>
      <c r="P184" s="206">
        <f t="shared" si="43"/>
        <v>0</v>
      </c>
      <c r="Q184" s="206">
        <f t="shared" si="44"/>
        <v>-0.06</v>
      </c>
      <c r="R18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264820</v>
      </c>
      <c r="T18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84" s="208">
        <f ca="1">IF(Tabla33610673[[#This Row],[Equity]]&lt;Tabla33610673[[#This Row],[Equity Peak]],(Tabla33610673[[#This Row],[Equity Peak]]-Tabla33610673[[#This Row],[Equity]])/Tabla33610673[[#This Row],[Equity Peak]],"")</f>
        <v>4.1202027516292539E-2</v>
      </c>
      <c r="V184" s="209">
        <f t="shared" si="45"/>
        <v>0</v>
      </c>
      <c r="W184" s="209">
        <f t="shared" si="46"/>
        <v>0</v>
      </c>
      <c r="X184" s="209">
        <f t="shared" si="47"/>
        <v>0</v>
      </c>
      <c r="Y184" s="209">
        <f t="shared" si="48"/>
        <v>0</v>
      </c>
      <c r="Z184" s="209">
        <f t="shared" si="49"/>
        <v>0</v>
      </c>
      <c r="AA184" s="205">
        <f t="shared" si="50"/>
        <v>0</v>
      </c>
      <c r="AB184" s="209">
        <f t="shared" si="51"/>
        <v>-0.06</v>
      </c>
      <c r="AC184" s="205">
        <f t="shared" si="52"/>
        <v>0</v>
      </c>
      <c r="AD184" s="210">
        <f t="shared" si="53"/>
        <v>6.4423611111051287</v>
      </c>
      <c r="AE184" s="210">
        <f t="shared" si="54"/>
        <v>0</v>
      </c>
      <c r="AF184" s="210">
        <f t="shared" si="55"/>
        <v>6.4423611111051287</v>
      </c>
      <c r="AG184" s="210">
        <f t="shared" si="56"/>
        <v>0</v>
      </c>
    </row>
    <row r="185" spans="2:33" ht="15" customHeight="1" x14ac:dyDescent="0.3">
      <c r="B185" s="196" t="s">
        <v>5</v>
      </c>
      <c r="C185" s="197" t="s">
        <v>13</v>
      </c>
      <c r="D185" s="198" t="str">
        <f t="shared" si="38"/>
        <v>C</v>
      </c>
      <c r="E185" s="199">
        <v>44118.833333333336</v>
      </c>
      <c r="F185" s="200" t="s">
        <v>94</v>
      </c>
      <c r="G185" s="201">
        <v>5914.1</v>
      </c>
      <c r="H185" s="201">
        <v>5979.08</v>
      </c>
      <c r="I185" s="202">
        <f t="shared" si="39"/>
        <v>64.979999999999563</v>
      </c>
      <c r="J185" s="201">
        <v>5589.2</v>
      </c>
      <c r="K185" s="199">
        <v>44120.09652777778</v>
      </c>
      <c r="L185" s="201">
        <v>5875.94</v>
      </c>
      <c r="M185" s="203">
        <f t="shared" si="40"/>
        <v>38.159999999999997</v>
      </c>
      <c r="N185" s="204">
        <f t="shared" si="41"/>
        <v>0.59</v>
      </c>
      <c r="O185" s="205">
        <f t="shared" si="42"/>
        <v>0</v>
      </c>
      <c r="P185" s="206">
        <f t="shared" si="43"/>
        <v>0.59</v>
      </c>
      <c r="Q185" s="206">
        <f t="shared" si="44"/>
        <v>0</v>
      </c>
      <c r="R18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264880</v>
      </c>
      <c r="T18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85" s="208">
        <f ca="1">IF(Tabla33610673[[#This Row],[Equity]]&lt;Tabla33610673[[#This Row],[Equity Peak]],(Tabla33610673[[#This Row],[Equity Peak]]-Tabla33610673[[#This Row],[Equity]])/Tabla33610673[[#This Row],[Equity Peak]],"")</f>
        <v>4.0984793627805938E-2</v>
      </c>
      <c r="V185" s="209">
        <f t="shared" si="45"/>
        <v>0</v>
      </c>
      <c r="W185" s="209">
        <f t="shared" si="46"/>
        <v>0</v>
      </c>
      <c r="X185" s="209">
        <f t="shared" si="47"/>
        <v>0</v>
      </c>
      <c r="Y185" s="209">
        <f t="shared" si="48"/>
        <v>0</v>
      </c>
      <c r="Z185" s="209">
        <f t="shared" si="49"/>
        <v>0.59</v>
      </c>
      <c r="AA185" s="205">
        <f t="shared" si="50"/>
        <v>0</v>
      </c>
      <c r="AB185" s="209">
        <f t="shared" si="51"/>
        <v>0</v>
      </c>
      <c r="AC185" s="205">
        <f t="shared" si="52"/>
        <v>0</v>
      </c>
      <c r="AD185" s="210">
        <f t="shared" si="53"/>
        <v>1.2631944444437977</v>
      </c>
      <c r="AE185" s="210">
        <f t="shared" si="54"/>
        <v>1.2631944444437977</v>
      </c>
      <c r="AF185" s="210">
        <f t="shared" si="55"/>
        <v>0</v>
      </c>
      <c r="AG185" s="210">
        <f t="shared" si="56"/>
        <v>0</v>
      </c>
    </row>
    <row r="186" spans="2:33" ht="15" customHeight="1" x14ac:dyDescent="0.3">
      <c r="B186" s="196" t="s">
        <v>5</v>
      </c>
      <c r="C186" s="197" t="s">
        <v>15</v>
      </c>
      <c r="D186" s="198" t="str">
        <f t="shared" si="38"/>
        <v>C</v>
      </c>
      <c r="E186" s="199">
        <v>44112.666666666664</v>
      </c>
      <c r="F186" s="200" t="s">
        <v>91</v>
      </c>
      <c r="G186" s="201">
        <v>13038.15</v>
      </c>
      <c r="H186" s="201">
        <v>12722.2</v>
      </c>
      <c r="I186" s="202">
        <f t="shared" si="39"/>
        <v>315.94999999999891</v>
      </c>
      <c r="J186" s="201">
        <v>14301.94</v>
      </c>
      <c r="K186" s="199">
        <v>44119.40902777778</v>
      </c>
      <c r="L186" s="201">
        <v>12884.04</v>
      </c>
      <c r="M186" s="203">
        <f t="shared" si="40"/>
        <v>-154.11000000000001</v>
      </c>
      <c r="N186" s="204">
        <f t="shared" si="41"/>
        <v>-0.49</v>
      </c>
      <c r="O186" s="205">
        <f t="shared" si="42"/>
        <v>0</v>
      </c>
      <c r="P186" s="206">
        <f t="shared" si="43"/>
        <v>0</v>
      </c>
      <c r="Q186" s="206">
        <f t="shared" si="44"/>
        <v>-0.49</v>
      </c>
      <c r="R18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264290</v>
      </c>
      <c r="T18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86" s="208">
        <f ca="1">IF(Tabla33610673[[#This Row],[Equity]]&lt;Tabla33610673[[#This Row],[Equity Peak]],(Tabla33610673[[#This Row],[Equity Peak]]-Tabla33610673[[#This Row],[Equity]])/Tabla33610673[[#This Row],[Equity Peak]],"")</f>
        <v>4.3120926864590875E-2</v>
      </c>
      <c r="V186" s="209">
        <f t="shared" si="45"/>
        <v>0</v>
      </c>
      <c r="W186" s="209">
        <f t="shared" si="46"/>
        <v>0</v>
      </c>
      <c r="X186" s="209">
        <f t="shared" si="47"/>
        <v>0</v>
      </c>
      <c r="Y186" s="209">
        <f t="shared" si="48"/>
        <v>0</v>
      </c>
      <c r="Z186" s="209">
        <f t="shared" si="49"/>
        <v>-0.49</v>
      </c>
      <c r="AA186" s="205">
        <f t="shared" si="50"/>
        <v>0</v>
      </c>
      <c r="AB186" s="209">
        <f t="shared" si="51"/>
        <v>0</v>
      </c>
      <c r="AC186" s="205">
        <f t="shared" si="52"/>
        <v>0</v>
      </c>
      <c r="AD186" s="210">
        <f t="shared" si="53"/>
        <v>6.742361111115315</v>
      </c>
      <c r="AE186" s="210">
        <f t="shared" si="54"/>
        <v>0</v>
      </c>
      <c r="AF186" s="210">
        <f t="shared" si="55"/>
        <v>6.742361111115315</v>
      </c>
      <c r="AG186" s="210">
        <f t="shared" si="56"/>
        <v>0</v>
      </c>
    </row>
    <row r="187" spans="2:33" ht="15" customHeight="1" x14ac:dyDescent="0.3">
      <c r="B187" s="196" t="s">
        <v>5</v>
      </c>
      <c r="C187" s="197" t="s">
        <v>15</v>
      </c>
      <c r="D187" s="198" t="str">
        <f t="shared" si="38"/>
        <v>C</v>
      </c>
      <c r="E187" s="199">
        <v>44103.017361111109</v>
      </c>
      <c r="F187" s="200" t="s">
        <v>92</v>
      </c>
      <c r="G187" s="201">
        <v>11397.67</v>
      </c>
      <c r="H187" s="201">
        <v>11093.84</v>
      </c>
      <c r="I187" s="202">
        <f t="shared" si="39"/>
        <v>303.82999999999993</v>
      </c>
      <c r="J187" s="201">
        <v>13423.23</v>
      </c>
      <c r="K187" s="199">
        <v>44118.804861111108</v>
      </c>
      <c r="L187" s="201">
        <v>11956.11</v>
      </c>
      <c r="M187" s="203">
        <f t="shared" si="40"/>
        <v>558.44000000000005</v>
      </c>
      <c r="N187" s="204">
        <f t="shared" si="41"/>
        <v>1.84</v>
      </c>
      <c r="O187" s="205">
        <f t="shared" si="42"/>
        <v>0</v>
      </c>
      <c r="P187" s="206">
        <f t="shared" si="43"/>
        <v>1.84</v>
      </c>
      <c r="Q187" s="206">
        <f t="shared" si="44"/>
        <v>0</v>
      </c>
      <c r="R18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264780</v>
      </c>
      <c r="T18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87" s="208">
        <f ca="1">IF(Tabla33610673[[#This Row],[Equity]]&lt;Tabla33610673[[#This Row],[Equity Peak]],(Tabla33610673[[#This Row],[Equity Peak]]-Tabla33610673[[#This Row],[Equity]])/Tabla33610673[[#This Row],[Equity Peak]],"")</f>
        <v>4.1346850108616946E-2</v>
      </c>
      <c r="V187" s="209">
        <f t="shared" si="45"/>
        <v>0</v>
      </c>
      <c r="W187" s="209">
        <f t="shared" si="46"/>
        <v>0</v>
      </c>
      <c r="X187" s="209">
        <f t="shared" si="47"/>
        <v>0</v>
      </c>
      <c r="Y187" s="209">
        <f t="shared" si="48"/>
        <v>0</v>
      </c>
      <c r="Z187" s="209">
        <f t="shared" si="49"/>
        <v>1.84</v>
      </c>
      <c r="AA187" s="205">
        <f t="shared" si="50"/>
        <v>0</v>
      </c>
      <c r="AB187" s="209">
        <f t="shared" si="51"/>
        <v>0</v>
      </c>
      <c r="AC187" s="205">
        <f t="shared" si="52"/>
        <v>0</v>
      </c>
      <c r="AD187" s="210">
        <f t="shared" si="53"/>
        <v>15.787499999998545</v>
      </c>
      <c r="AE187" s="210">
        <f t="shared" si="54"/>
        <v>15.787499999998545</v>
      </c>
      <c r="AF187" s="210">
        <f t="shared" si="55"/>
        <v>0</v>
      </c>
      <c r="AG187" s="210">
        <f t="shared" si="56"/>
        <v>0</v>
      </c>
    </row>
    <row r="188" spans="2:33" ht="15" customHeight="1" x14ac:dyDescent="0.3">
      <c r="B188" s="196" t="s">
        <v>7</v>
      </c>
      <c r="C188" s="197" t="s">
        <v>15</v>
      </c>
      <c r="D188" s="198" t="str">
        <f t="shared" si="38"/>
        <v>C</v>
      </c>
      <c r="E188" s="199">
        <v>44117.666666666664</v>
      </c>
      <c r="F188" s="200" t="s">
        <v>120</v>
      </c>
      <c r="G188" s="201">
        <v>1.64215</v>
      </c>
      <c r="H188" s="201">
        <v>1.6358200000000001</v>
      </c>
      <c r="I188" s="202">
        <f t="shared" si="39"/>
        <v>6.3299999999999468E-3</v>
      </c>
      <c r="J188" s="201">
        <v>1.7096899999999999</v>
      </c>
      <c r="K188" s="199">
        <v>44118.495833333334</v>
      </c>
      <c r="L188" s="201">
        <v>1.6358200000000001</v>
      </c>
      <c r="M188" s="203">
        <f t="shared" si="40"/>
        <v>-6.3E-3</v>
      </c>
      <c r="N188" s="204">
        <f t="shared" si="41"/>
        <v>-1</v>
      </c>
      <c r="O188" s="205">
        <f t="shared" si="42"/>
        <v>0</v>
      </c>
      <c r="P188" s="206">
        <f t="shared" si="43"/>
        <v>0</v>
      </c>
      <c r="Q188" s="206">
        <f t="shared" si="44"/>
        <v>-1</v>
      </c>
      <c r="R18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262940</v>
      </c>
      <c r="T18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88" s="208">
        <f ca="1">IF(Tabla33610673[[#This Row],[Equity]]&lt;Tabla33610673[[#This Row],[Equity Peak]],(Tabla33610673[[#This Row],[Equity Peak]]-Tabla33610673[[#This Row],[Equity]])/Tabla33610673[[#This Row],[Equity Peak]],"")</f>
        <v>4.8008689355539466E-2</v>
      </c>
      <c r="V188" s="209">
        <f t="shared" si="45"/>
        <v>-1</v>
      </c>
      <c r="W188" s="209">
        <f t="shared" si="46"/>
        <v>0</v>
      </c>
      <c r="X188" s="209">
        <f t="shared" si="47"/>
        <v>0</v>
      </c>
      <c r="Y188" s="209">
        <f t="shared" si="48"/>
        <v>0</v>
      </c>
      <c r="Z188" s="209">
        <f t="shared" si="49"/>
        <v>0</v>
      </c>
      <c r="AA188" s="205">
        <f t="shared" si="50"/>
        <v>0</v>
      </c>
      <c r="AB188" s="209">
        <f t="shared" si="51"/>
        <v>0</v>
      </c>
      <c r="AC188" s="205">
        <f t="shared" si="52"/>
        <v>0</v>
      </c>
      <c r="AD188" s="210">
        <f t="shared" si="53"/>
        <v>0.82916666667006211</v>
      </c>
      <c r="AE188" s="210">
        <f t="shared" si="54"/>
        <v>0</v>
      </c>
      <c r="AF188" s="210">
        <f t="shared" si="55"/>
        <v>0.82916666667006211</v>
      </c>
      <c r="AG188" s="210">
        <f t="shared" si="56"/>
        <v>0</v>
      </c>
    </row>
    <row r="189" spans="2:33" ht="15" customHeight="1" x14ac:dyDescent="0.3">
      <c r="B189" s="196" t="s">
        <v>19</v>
      </c>
      <c r="C189" s="197" t="s">
        <v>15</v>
      </c>
      <c r="D189" s="198" t="str">
        <f t="shared" si="38"/>
        <v>C</v>
      </c>
      <c r="E189" s="199">
        <v>44116.541666666664</v>
      </c>
      <c r="F189" s="200" t="s">
        <v>89</v>
      </c>
      <c r="G189" s="201">
        <v>25.076000000000001</v>
      </c>
      <c r="H189" s="201">
        <v>23.97</v>
      </c>
      <c r="I189" s="202">
        <f t="shared" si="39"/>
        <v>1.1060000000000016</v>
      </c>
      <c r="J189" s="201">
        <v>30.387</v>
      </c>
      <c r="K189" s="199">
        <v>44117.818749999999</v>
      </c>
      <c r="L189" s="201">
        <v>23.97</v>
      </c>
      <c r="M189" s="203">
        <f t="shared" si="40"/>
        <v>-1.1060000000000001</v>
      </c>
      <c r="N189" s="204">
        <f t="shared" si="41"/>
        <v>-1</v>
      </c>
      <c r="O189" s="205">
        <f t="shared" si="42"/>
        <v>0</v>
      </c>
      <c r="P189" s="206">
        <f t="shared" si="43"/>
        <v>0</v>
      </c>
      <c r="Q189" s="206">
        <f t="shared" si="44"/>
        <v>-1</v>
      </c>
      <c r="R18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263940</v>
      </c>
      <c r="T18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89" s="208">
        <f ca="1">IF(Tabla33610673[[#This Row],[Equity]]&lt;Tabla33610673[[#This Row],[Equity Peak]],(Tabla33610673[[#This Row],[Equity Peak]]-Tabla33610673[[#This Row],[Equity]])/Tabla33610673[[#This Row],[Equity Peak]],"")</f>
        <v>4.4388124547429401E-2</v>
      </c>
      <c r="V189" s="209">
        <f t="shared" si="45"/>
        <v>0</v>
      </c>
      <c r="W189" s="209">
        <f t="shared" si="46"/>
        <v>0</v>
      </c>
      <c r="X189" s="209">
        <f t="shared" si="47"/>
        <v>-1</v>
      </c>
      <c r="Y189" s="209">
        <f t="shared" si="48"/>
        <v>0</v>
      </c>
      <c r="Z189" s="209">
        <f t="shared" si="49"/>
        <v>0</v>
      </c>
      <c r="AA189" s="205">
        <f t="shared" si="50"/>
        <v>0</v>
      </c>
      <c r="AB189" s="209">
        <f t="shared" si="51"/>
        <v>0</v>
      </c>
      <c r="AC189" s="205">
        <f t="shared" si="52"/>
        <v>0</v>
      </c>
      <c r="AD189" s="210">
        <f t="shared" si="53"/>
        <v>1.2770833333343035</v>
      </c>
      <c r="AE189" s="210">
        <f t="shared" si="54"/>
        <v>0</v>
      </c>
      <c r="AF189" s="210">
        <f t="shared" si="55"/>
        <v>1.2770833333343035</v>
      </c>
      <c r="AG189" s="210">
        <f t="shared" si="56"/>
        <v>0</v>
      </c>
    </row>
    <row r="190" spans="2:33" ht="15" customHeight="1" x14ac:dyDescent="0.3">
      <c r="B190" s="196" t="s">
        <v>7</v>
      </c>
      <c r="C190" s="197" t="s">
        <v>13</v>
      </c>
      <c r="D190" s="198" t="str">
        <f t="shared" si="38"/>
        <v>C</v>
      </c>
      <c r="E190" s="199">
        <v>44116.666666666664</v>
      </c>
      <c r="F190" s="200" t="s">
        <v>113</v>
      </c>
      <c r="G190" s="201">
        <v>105.374</v>
      </c>
      <c r="H190" s="201">
        <v>105.905</v>
      </c>
      <c r="I190" s="202">
        <f t="shared" si="39"/>
        <v>0.53100000000000591</v>
      </c>
      <c r="J190" s="201">
        <v>102.895</v>
      </c>
      <c r="K190" s="199">
        <v>44117.679861111108</v>
      </c>
      <c r="L190" s="201">
        <v>105.56399999999999</v>
      </c>
      <c r="M190" s="203">
        <f t="shared" si="40"/>
        <v>-0.19</v>
      </c>
      <c r="N190" s="204">
        <f t="shared" si="41"/>
        <v>-0.36</v>
      </c>
      <c r="O190" s="205">
        <f t="shared" si="42"/>
        <v>0</v>
      </c>
      <c r="P190" s="206">
        <f t="shared" si="43"/>
        <v>0</v>
      </c>
      <c r="Q190" s="206">
        <f t="shared" si="44"/>
        <v>-0.36</v>
      </c>
      <c r="R19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264940</v>
      </c>
      <c r="T19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90" s="208">
        <f ca="1">IF(Tabla33610673[[#This Row],[Equity]]&lt;Tabla33610673[[#This Row],[Equity Peak]],(Tabla33610673[[#This Row],[Equity Peak]]-Tabla33610673[[#This Row],[Equity]])/Tabla33610673[[#This Row],[Equity Peak]],"")</f>
        <v>4.0767559739319337E-2</v>
      </c>
      <c r="V190" s="209">
        <f t="shared" si="45"/>
        <v>-0.36</v>
      </c>
      <c r="W190" s="209">
        <f t="shared" si="46"/>
        <v>0</v>
      </c>
      <c r="X190" s="209">
        <f t="shared" si="47"/>
        <v>0</v>
      </c>
      <c r="Y190" s="209">
        <f t="shared" si="48"/>
        <v>0</v>
      </c>
      <c r="Z190" s="209">
        <f t="shared" si="49"/>
        <v>0</v>
      </c>
      <c r="AA190" s="205">
        <f t="shared" si="50"/>
        <v>0</v>
      </c>
      <c r="AB190" s="209">
        <f t="shared" si="51"/>
        <v>0</v>
      </c>
      <c r="AC190" s="205">
        <f t="shared" si="52"/>
        <v>0</v>
      </c>
      <c r="AD190" s="210">
        <f t="shared" si="53"/>
        <v>1.0131944444437977</v>
      </c>
      <c r="AE190" s="210">
        <f t="shared" si="54"/>
        <v>0</v>
      </c>
      <c r="AF190" s="210">
        <f t="shared" si="55"/>
        <v>1.0131944444437977</v>
      </c>
      <c r="AG190" s="210">
        <f t="shared" si="56"/>
        <v>0</v>
      </c>
    </row>
    <row r="191" spans="2:33" ht="15" customHeight="1" x14ac:dyDescent="0.3">
      <c r="B191" s="196" t="s">
        <v>7</v>
      </c>
      <c r="C191" s="197" t="s">
        <v>13</v>
      </c>
      <c r="D191" s="198" t="str">
        <f t="shared" si="38"/>
        <v>C</v>
      </c>
      <c r="E191" s="199">
        <v>44117.5</v>
      </c>
      <c r="F191" s="200" t="s">
        <v>120</v>
      </c>
      <c r="G191" s="201">
        <v>1.63825</v>
      </c>
      <c r="H191" s="201">
        <v>1.6443399999999999</v>
      </c>
      <c r="I191" s="202">
        <f t="shared" si="39"/>
        <v>6.0899999999999288E-3</v>
      </c>
      <c r="J191" s="201">
        <v>1.57331</v>
      </c>
      <c r="K191" s="199">
        <v>44117.666666666664</v>
      </c>
      <c r="L191" s="201">
        <v>1.64215</v>
      </c>
      <c r="M191" s="203">
        <f t="shared" si="40"/>
        <v>-3.8999999999999998E-3</v>
      </c>
      <c r="N191" s="204">
        <f t="shared" si="41"/>
        <v>-0.64</v>
      </c>
      <c r="O191" s="205">
        <f t="shared" si="42"/>
        <v>0</v>
      </c>
      <c r="P191" s="206">
        <f t="shared" si="43"/>
        <v>0</v>
      </c>
      <c r="Q191" s="206">
        <f t="shared" si="44"/>
        <v>-0.64</v>
      </c>
      <c r="R19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265300</v>
      </c>
      <c r="T19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91" s="208">
        <f ca="1">IF(Tabla33610673[[#This Row],[Equity]]&lt;Tabla33610673[[#This Row],[Equity Peak]],(Tabla33610673[[#This Row],[Equity Peak]]-Tabla33610673[[#This Row],[Equity]])/Tabla33610673[[#This Row],[Equity Peak]],"")</f>
        <v>3.946415640839971E-2</v>
      </c>
      <c r="V191" s="209">
        <f t="shared" si="45"/>
        <v>-0.64</v>
      </c>
      <c r="W191" s="209">
        <f t="shared" si="46"/>
        <v>0</v>
      </c>
      <c r="X191" s="209">
        <f t="shared" si="47"/>
        <v>0</v>
      </c>
      <c r="Y191" s="209">
        <f t="shared" si="48"/>
        <v>0</v>
      </c>
      <c r="Z191" s="209">
        <f t="shared" si="49"/>
        <v>0</v>
      </c>
      <c r="AA191" s="205">
        <f t="shared" si="50"/>
        <v>0</v>
      </c>
      <c r="AB191" s="209">
        <f t="shared" si="51"/>
        <v>0</v>
      </c>
      <c r="AC191" s="205">
        <f t="shared" si="52"/>
        <v>0</v>
      </c>
      <c r="AD191" s="210">
        <f t="shared" si="53"/>
        <v>0.16666666666424135</v>
      </c>
      <c r="AE191" s="210">
        <f t="shared" si="54"/>
        <v>0</v>
      </c>
      <c r="AF191" s="210">
        <f t="shared" si="55"/>
        <v>0.16666666666424135</v>
      </c>
      <c r="AG191" s="210">
        <f t="shared" si="56"/>
        <v>0</v>
      </c>
    </row>
    <row r="192" spans="2:33" ht="15" customHeight="1" x14ac:dyDescent="0.3">
      <c r="B192" s="196" t="s">
        <v>7</v>
      </c>
      <c r="C192" s="197" t="s">
        <v>15</v>
      </c>
      <c r="D192" s="198" t="str">
        <f t="shared" si="38"/>
        <v>C</v>
      </c>
      <c r="E192" s="199">
        <v>44117.333333333336</v>
      </c>
      <c r="F192" s="200" t="s">
        <v>120</v>
      </c>
      <c r="G192" s="201">
        <v>1.64242</v>
      </c>
      <c r="H192" s="201">
        <v>1.63662</v>
      </c>
      <c r="I192" s="202">
        <f t="shared" si="39"/>
        <v>5.8000000000000274E-3</v>
      </c>
      <c r="J192" s="201">
        <v>1.70431</v>
      </c>
      <c r="K192" s="199">
        <v>44117.5</v>
      </c>
      <c r="L192" s="201">
        <v>1.63825</v>
      </c>
      <c r="M192" s="203">
        <f t="shared" si="40"/>
        <v>-4.1999999999999997E-3</v>
      </c>
      <c r="N192" s="204">
        <f t="shared" si="41"/>
        <v>-0.72</v>
      </c>
      <c r="O192" s="205">
        <f t="shared" si="42"/>
        <v>0</v>
      </c>
      <c r="P192" s="206">
        <f t="shared" si="43"/>
        <v>0</v>
      </c>
      <c r="Q192" s="206">
        <f t="shared" si="44"/>
        <v>-0.72</v>
      </c>
      <c r="R19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265940</v>
      </c>
      <c r="T19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92" s="208">
        <f ca="1">IF(Tabla33610673[[#This Row],[Equity]]&lt;Tabla33610673[[#This Row],[Equity Peak]],(Tabla33610673[[#This Row],[Equity Peak]]-Tabla33610673[[#This Row],[Equity]])/Tabla33610673[[#This Row],[Equity Peak]],"")</f>
        <v>3.7146994931209272E-2</v>
      </c>
      <c r="V192" s="209">
        <f t="shared" si="45"/>
        <v>-0.72</v>
      </c>
      <c r="W192" s="209">
        <f t="shared" si="46"/>
        <v>0</v>
      </c>
      <c r="X192" s="209">
        <f t="shared" si="47"/>
        <v>0</v>
      </c>
      <c r="Y192" s="209">
        <f t="shared" si="48"/>
        <v>0</v>
      </c>
      <c r="Z192" s="209">
        <f t="shared" si="49"/>
        <v>0</v>
      </c>
      <c r="AA192" s="205">
        <f t="shared" si="50"/>
        <v>0</v>
      </c>
      <c r="AB192" s="209">
        <f t="shared" si="51"/>
        <v>0</v>
      </c>
      <c r="AC192" s="205">
        <f t="shared" si="52"/>
        <v>0</v>
      </c>
      <c r="AD192" s="210">
        <f t="shared" si="53"/>
        <v>0.16666666666424135</v>
      </c>
      <c r="AE192" s="210">
        <f t="shared" si="54"/>
        <v>0</v>
      </c>
      <c r="AF192" s="210">
        <f t="shared" si="55"/>
        <v>0.16666666666424135</v>
      </c>
      <c r="AG192" s="210">
        <f t="shared" si="56"/>
        <v>0</v>
      </c>
    </row>
    <row r="193" spans="2:33" ht="15" customHeight="1" x14ac:dyDescent="0.3">
      <c r="B193" s="196" t="s">
        <v>7</v>
      </c>
      <c r="C193" s="197" t="s">
        <v>15</v>
      </c>
      <c r="D193" s="198" t="str">
        <f t="shared" si="38"/>
        <v>C</v>
      </c>
      <c r="E193" s="199">
        <v>44113.166666666664</v>
      </c>
      <c r="F193" s="200" t="s">
        <v>117</v>
      </c>
      <c r="G193" s="201">
        <v>1.1760999999999999</v>
      </c>
      <c r="H193" s="201">
        <v>1.1705399999999999</v>
      </c>
      <c r="I193" s="202">
        <f t="shared" si="39"/>
        <v>5.5600000000000094E-3</v>
      </c>
      <c r="J193" s="201">
        <v>1.2117</v>
      </c>
      <c r="K193" s="199">
        <v>44117.42291666667</v>
      </c>
      <c r="L193" s="201">
        <v>1.1783699999999999</v>
      </c>
      <c r="M193" s="203">
        <f t="shared" si="40"/>
        <v>2.3E-3</v>
      </c>
      <c r="N193" s="204">
        <f t="shared" si="41"/>
        <v>0.41</v>
      </c>
      <c r="O193" s="205">
        <f t="shared" si="42"/>
        <v>0</v>
      </c>
      <c r="P193" s="206">
        <f t="shared" si="43"/>
        <v>0.41</v>
      </c>
      <c r="Q193" s="206">
        <f t="shared" si="44"/>
        <v>0</v>
      </c>
      <c r="R19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266660</v>
      </c>
      <c r="T19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93" s="208">
        <f ca="1">IF(Tabla33610673[[#This Row],[Equity]]&lt;Tabla33610673[[#This Row],[Equity Peak]],(Tabla33610673[[#This Row],[Equity Peak]]-Tabla33610673[[#This Row],[Equity]])/Tabla33610673[[#This Row],[Equity Peak]],"")</f>
        <v>3.4540188269370019E-2</v>
      </c>
      <c r="V193" s="209">
        <f t="shared" si="45"/>
        <v>0.41</v>
      </c>
      <c r="W193" s="209">
        <f t="shared" si="46"/>
        <v>0</v>
      </c>
      <c r="X193" s="209">
        <f t="shared" si="47"/>
        <v>0</v>
      </c>
      <c r="Y193" s="209">
        <f t="shared" si="48"/>
        <v>0</v>
      </c>
      <c r="Z193" s="209">
        <f t="shared" si="49"/>
        <v>0</v>
      </c>
      <c r="AA193" s="205">
        <f t="shared" si="50"/>
        <v>0</v>
      </c>
      <c r="AB193" s="209">
        <f t="shared" si="51"/>
        <v>0</v>
      </c>
      <c r="AC193" s="205">
        <f t="shared" si="52"/>
        <v>0</v>
      </c>
      <c r="AD193" s="210">
        <f t="shared" si="53"/>
        <v>4.2562500000058208</v>
      </c>
      <c r="AE193" s="210">
        <f t="shared" si="54"/>
        <v>4.2562500000058208</v>
      </c>
      <c r="AF193" s="210">
        <f t="shared" si="55"/>
        <v>0</v>
      </c>
      <c r="AG193" s="210">
        <f t="shared" si="56"/>
        <v>0</v>
      </c>
    </row>
    <row r="194" spans="2:33" ht="15" customHeight="1" x14ac:dyDescent="0.3">
      <c r="B194" s="196" t="s">
        <v>19</v>
      </c>
      <c r="C194" s="197" t="s">
        <v>15</v>
      </c>
      <c r="D194" s="198" t="str">
        <f t="shared" si="38"/>
        <v>C</v>
      </c>
      <c r="E194" s="199">
        <v>44113.208333333336</v>
      </c>
      <c r="F194" s="200" t="s">
        <v>88</v>
      </c>
      <c r="G194" s="201">
        <v>1906.69</v>
      </c>
      <c r="H194" s="201">
        <v>1880.59</v>
      </c>
      <c r="I194" s="202">
        <f t="shared" si="39"/>
        <v>26.100000000000136</v>
      </c>
      <c r="J194" s="201">
        <v>2073.71</v>
      </c>
      <c r="K194" s="199">
        <v>44117.224999999999</v>
      </c>
      <c r="L194" s="201">
        <v>1912.75</v>
      </c>
      <c r="M194" s="203">
        <f t="shared" si="40"/>
        <v>6.06</v>
      </c>
      <c r="N194" s="204">
        <f t="shared" si="41"/>
        <v>0.23</v>
      </c>
      <c r="O194" s="205">
        <f t="shared" si="42"/>
        <v>0</v>
      </c>
      <c r="P194" s="206">
        <f t="shared" si="43"/>
        <v>0.23</v>
      </c>
      <c r="Q194" s="206">
        <f t="shared" si="44"/>
        <v>0</v>
      </c>
      <c r="R19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266250</v>
      </c>
      <c r="T19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94" s="208">
        <f ca="1">IF(Tabla33610673[[#This Row],[Equity]]&lt;Tabla33610673[[#This Row],[Equity Peak]],(Tabla33610673[[#This Row],[Equity Peak]]-Tabla33610673[[#This Row],[Equity]])/Tabla33610673[[#This Row],[Equity Peak]],"")</f>
        <v>3.6024619840695146E-2</v>
      </c>
      <c r="V194" s="209">
        <f t="shared" si="45"/>
        <v>0</v>
      </c>
      <c r="W194" s="209">
        <f t="shared" si="46"/>
        <v>0</v>
      </c>
      <c r="X194" s="209">
        <f t="shared" si="47"/>
        <v>0.23</v>
      </c>
      <c r="Y194" s="209">
        <f t="shared" si="48"/>
        <v>0</v>
      </c>
      <c r="Z194" s="209">
        <f t="shared" si="49"/>
        <v>0</v>
      </c>
      <c r="AA194" s="205">
        <f t="shared" si="50"/>
        <v>0</v>
      </c>
      <c r="AB194" s="209">
        <f t="shared" si="51"/>
        <v>0</v>
      </c>
      <c r="AC194" s="205">
        <f t="shared" si="52"/>
        <v>0</v>
      </c>
      <c r="AD194" s="210">
        <f t="shared" si="53"/>
        <v>4.0166666666627862</v>
      </c>
      <c r="AE194" s="210">
        <f t="shared" si="54"/>
        <v>4.0166666666627862</v>
      </c>
      <c r="AF194" s="210">
        <f t="shared" si="55"/>
        <v>0</v>
      </c>
      <c r="AG194" s="210">
        <f t="shared" si="56"/>
        <v>0</v>
      </c>
    </row>
    <row r="195" spans="2:33" ht="15" customHeight="1" x14ac:dyDescent="0.3">
      <c r="B195" s="196" t="s">
        <v>7</v>
      </c>
      <c r="C195" s="197" t="s">
        <v>15</v>
      </c>
      <c r="D195" s="198" t="str">
        <f t="shared" si="38"/>
        <v>C</v>
      </c>
      <c r="E195" s="199">
        <v>44113.333333333336</v>
      </c>
      <c r="F195" s="200" t="s">
        <v>121</v>
      </c>
      <c r="G195" s="201">
        <v>0.71782999999999997</v>
      </c>
      <c r="H195" s="201">
        <v>0.71487999999999996</v>
      </c>
      <c r="I195" s="202">
        <f t="shared" si="39"/>
        <v>2.9500000000000082E-3</v>
      </c>
      <c r="J195" s="201">
        <v>0.73357000000000006</v>
      </c>
      <c r="K195" s="199">
        <v>44117.144444444442</v>
      </c>
      <c r="L195" s="201">
        <v>0.71777999999999997</v>
      </c>
      <c r="M195" s="203">
        <f t="shared" si="40"/>
        <v>0</v>
      </c>
      <c r="N195" s="204">
        <f t="shared" si="41"/>
        <v>0</v>
      </c>
      <c r="O195" s="205">
        <f t="shared" si="42"/>
        <v>0</v>
      </c>
      <c r="P195" s="206">
        <f t="shared" si="43"/>
        <v>0</v>
      </c>
      <c r="Q195" s="206">
        <f t="shared" si="44"/>
        <v>0</v>
      </c>
      <c r="R19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266020</v>
      </c>
      <c r="T19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95" s="208">
        <f ca="1">IF(Tabla33610673[[#This Row],[Equity]]&lt;Tabla33610673[[#This Row],[Equity Peak]],(Tabla33610673[[#This Row],[Equity Peak]]-Tabla33610673[[#This Row],[Equity]])/Tabla33610673[[#This Row],[Equity Peak]],"")</f>
        <v>3.6857349746560464E-2</v>
      </c>
      <c r="V195" s="209">
        <f t="shared" si="45"/>
        <v>0</v>
      </c>
      <c r="W195" s="209">
        <f t="shared" si="46"/>
        <v>0</v>
      </c>
      <c r="X195" s="209">
        <f t="shared" si="47"/>
        <v>0</v>
      </c>
      <c r="Y195" s="209">
        <f t="shared" si="48"/>
        <v>0</v>
      </c>
      <c r="Z195" s="209">
        <f t="shared" si="49"/>
        <v>0</v>
      </c>
      <c r="AA195" s="205">
        <f t="shared" si="50"/>
        <v>0</v>
      </c>
      <c r="AB195" s="209">
        <f t="shared" si="51"/>
        <v>0</v>
      </c>
      <c r="AC195" s="205">
        <f t="shared" si="52"/>
        <v>0</v>
      </c>
      <c r="AD195" s="210">
        <f t="shared" si="53"/>
        <v>3.8111111111065838</v>
      </c>
      <c r="AE195" s="210">
        <f t="shared" si="54"/>
        <v>0</v>
      </c>
      <c r="AF195" s="210">
        <f t="shared" si="55"/>
        <v>0</v>
      </c>
      <c r="AG195" s="210">
        <f t="shared" si="56"/>
        <v>3.8111111111065838</v>
      </c>
    </row>
    <row r="196" spans="2:33" ht="15" customHeight="1" x14ac:dyDescent="0.3">
      <c r="B196" s="196" t="s">
        <v>5</v>
      </c>
      <c r="C196" s="197" t="s">
        <v>15</v>
      </c>
      <c r="D196" s="198" t="str">
        <f t="shared" si="38"/>
        <v>C</v>
      </c>
      <c r="E196" s="199">
        <v>44106.833333333336</v>
      </c>
      <c r="F196" s="200" t="s">
        <v>95</v>
      </c>
      <c r="G196" s="201">
        <v>27812.9</v>
      </c>
      <c r="H196" s="201">
        <v>27530.46</v>
      </c>
      <c r="I196" s="202">
        <f t="shared" si="39"/>
        <v>282.44000000000233</v>
      </c>
      <c r="J196" s="201">
        <v>28942.65</v>
      </c>
      <c r="K196" s="199">
        <v>44116.848611111112</v>
      </c>
      <c r="L196" s="201">
        <v>28942.65</v>
      </c>
      <c r="M196" s="203">
        <f t="shared" si="40"/>
        <v>1129.75</v>
      </c>
      <c r="N196" s="204">
        <f t="shared" si="41"/>
        <v>4</v>
      </c>
      <c r="O196" s="205">
        <f t="shared" si="42"/>
        <v>0</v>
      </c>
      <c r="P196" s="206">
        <f t="shared" si="43"/>
        <v>4</v>
      </c>
      <c r="Q196" s="206">
        <f t="shared" si="44"/>
        <v>0</v>
      </c>
      <c r="R19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266020</v>
      </c>
      <c r="T19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96" s="208">
        <f ca="1">IF(Tabla33610673[[#This Row],[Equity]]&lt;Tabla33610673[[#This Row],[Equity Peak]],(Tabla33610673[[#This Row],[Equity Peak]]-Tabla33610673[[#This Row],[Equity]])/Tabla33610673[[#This Row],[Equity Peak]],"")</f>
        <v>3.6857349746560464E-2</v>
      </c>
      <c r="V196" s="209">
        <f t="shared" si="45"/>
        <v>0</v>
      </c>
      <c r="W196" s="209">
        <f t="shared" si="46"/>
        <v>0</v>
      </c>
      <c r="X196" s="209">
        <f t="shared" si="47"/>
        <v>0</v>
      </c>
      <c r="Y196" s="209">
        <f t="shared" si="48"/>
        <v>0</v>
      </c>
      <c r="Z196" s="209">
        <f t="shared" si="49"/>
        <v>4</v>
      </c>
      <c r="AA196" s="205">
        <f t="shared" si="50"/>
        <v>0</v>
      </c>
      <c r="AB196" s="209">
        <f t="shared" si="51"/>
        <v>0</v>
      </c>
      <c r="AC196" s="205">
        <f t="shared" si="52"/>
        <v>0</v>
      </c>
      <c r="AD196" s="210">
        <f t="shared" si="53"/>
        <v>10.015277777776646</v>
      </c>
      <c r="AE196" s="210">
        <f t="shared" si="54"/>
        <v>10.015277777776646</v>
      </c>
      <c r="AF196" s="210">
        <f t="shared" si="55"/>
        <v>0</v>
      </c>
      <c r="AG196" s="210">
        <f t="shared" si="56"/>
        <v>0</v>
      </c>
    </row>
    <row r="197" spans="2:33" ht="15" customHeight="1" x14ac:dyDescent="0.3">
      <c r="B197" s="196" t="s">
        <v>5</v>
      </c>
      <c r="C197" s="197" t="s">
        <v>15</v>
      </c>
      <c r="D197" s="198" t="str">
        <f t="shared" si="38"/>
        <v>C</v>
      </c>
      <c r="E197" s="199">
        <v>44112.833333333336</v>
      </c>
      <c r="F197" s="200" t="s">
        <v>93</v>
      </c>
      <c r="G197" s="201">
        <v>3442.48</v>
      </c>
      <c r="H197" s="201">
        <v>3408.11</v>
      </c>
      <c r="I197" s="202">
        <f t="shared" si="39"/>
        <v>34.369999999999891</v>
      </c>
      <c r="J197" s="201">
        <v>3534.12</v>
      </c>
      <c r="K197" s="199">
        <v>44116.806250000001</v>
      </c>
      <c r="L197" s="201">
        <v>3534.12</v>
      </c>
      <c r="M197" s="203">
        <f t="shared" si="40"/>
        <v>91.64</v>
      </c>
      <c r="N197" s="204">
        <f t="shared" si="41"/>
        <v>2.67</v>
      </c>
      <c r="O197" s="205">
        <f t="shared" si="42"/>
        <v>0</v>
      </c>
      <c r="P197" s="206">
        <f t="shared" si="43"/>
        <v>2.67</v>
      </c>
      <c r="Q197" s="206">
        <f t="shared" si="44"/>
        <v>0</v>
      </c>
      <c r="R19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262020</v>
      </c>
      <c r="T19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97" s="208">
        <f ca="1">IF(Tabla33610673[[#This Row],[Equity]]&lt;Tabla33610673[[#This Row],[Equity Peak]],(Tabla33610673[[#This Row],[Equity Peak]]-Tabla33610673[[#This Row],[Equity]])/Tabla33610673[[#This Row],[Equity Peak]],"")</f>
        <v>5.1339608979000723E-2</v>
      </c>
      <c r="V197" s="209">
        <f t="shared" si="45"/>
        <v>0</v>
      </c>
      <c r="W197" s="209">
        <f t="shared" si="46"/>
        <v>0</v>
      </c>
      <c r="X197" s="209">
        <f t="shared" si="47"/>
        <v>0</v>
      </c>
      <c r="Y197" s="209">
        <f t="shared" si="48"/>
        <v>0</v>
      </c>
      <c r="Z197" s="209">
        <f t="shared" si="49"/>
        <v>2.67</v>
      </c>
      <c r="AA197" s="205">
        <f t="shared" si="50"/>
        <v>0</v>
      </c>
      <c r="AB197" s="209">
        <f t="shared" si="51"/>
        <v>0</v>
      </c>
      <c r="AC197" s="205">
        <f t="shared" si="52"/>
        <v>0</v>
      </c>
      <c r="AD197" s="210">
        <f t="shared" si="53"/>
        <v>3.9729166666656965</v>
      </c>
      <c r="AE197" s="210">
        <f t="shared" si="54"/>
        <v>3.9729166666656965</v>
      </c>
      <c r="AF197" s="210">
        <f t="shared" si="55"/>
        <v>0</v>
      </c>
      <c r="AG197" s="210">
        <f t="shared" si="56"/>
        <v>0</v>
      </c>
    </row>
    <row r="198" spans="2:33" ht="15" customHeight="1" x14ac:dyDescent="0.3">
      <c r="B198" s="196" t="s">
        <v>7</v>
      </c>
      <c r="C198" s="197" t="s">
        <v>13</v>
      </c>
      <c r="D198" s="198" t="str">
        <f t="shared" si="38"/>
        <v>C</v>
      </c>
      <c r="E198" s="199">
        <v>44116.017361111109</v>
      </c>
      <c r="F198" s="200" t="s">
        <v>116</v>
      </c>
      <c r="G198" s="201">
        <v>1.8000499999999999</v>
      </c>
      <c r="H198" s="201">
        <v>1.8206100000000001</v>
      </c>
      <c r="I198" s="202">
        <f t="shared" si="39"/>
        <v>2.0560000000000134E-2</v>
      </c>
      <c r="J198" s="201">
        <v>1.7315199999999999</v>
      </c>
      <c r="K198" s="199">
        <v>44116.744444444441</v>
      </c>
      <c r="L198" s="201">
        <v>1.81111</v>
      </c>
      <c r="M198" s="203">
        <f t="shared" si="40"/>
        <v>-1.11E-2</v>
      </c>
      <c r="N198" s="204">
        <f t="shared" si="41"/>
        <v>-0.54</v>
      </c>
      <c r="O198" s="205">
        <f t="shared" si="42"/>
        <v>0</v>
      </c>
      <c r="P198" s="206">
        <f t="shared" si="43"/>
        <v>0</v>
      </c>
      <c r="Q198" s="206">
        <f t="shared" si="44"/>
        <v>-0.54</v>
      </c>
      <c r="R19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259350</v>
      </c>
      <c r="T19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98" s="208">
        <f ca="1">IF(Tabla33610673[[#This Row],[Equity]]&lt;Tabla33610673[[#This Row],[Equity Peak]],(Tabla33610673[[#This Row],[Equity Peak]]-Tabla33610673[[#This Row],[Equity]])/Tabla33610673[[#This Row],[Equity Peak]],"")</f>
        <v>6.1006517016654598E-2</v>
      </c>
      <c r="V198" s="209">
        <f t="shared" si="45"/>
        <v>-0.54</v>
      </c>
      <c r="W198" s="209">
        <f t="shared" si="46"/>
        <v>0</v>
      </c>
      <c r="X198" s="209">
        <f t="shared" si="47"/>
        <v>0</v>
      </c>
      <c r="Y198" s="209">
        <f t="shared" si="48"/>
        <v>0</v>
      </c>
      <c r="Z198" s="209">
        <f t="shared" si="49"/>
        <v>0</v>
      </c>
      <c r="AA198" s="205">
        <f t="shared" si="50"/>
        <v>0</v>
      </c>
      <c r="AB198" s="209">
        <f t="shared" si="51"/>
        <v>0</v>
      </c>
      <c r="AC198" s="205">
        <f t="shared" si="52"/>
        <v>0</v>
      </c>
      <c r="AD198" s="210">
        <f t="shared" si="53"/>
        <v>0.72708333333139308</v>
      </c>
      <c r="AE198" s="210">
        <f t="shared" si="54"/>
        <v>0</v>
      </c>
      <c r="AF198" s="210">
        <f t="shared" si="55"/>
        <v>0.72708333333139308</v>
      </c>
      <c r="AG198" s="210">
        <f t="shared" si="56"/>
        <v>0</v>
      </c>
    </row>
    <row r="199" spans="2:33" ht="15" customHeight="1" x14ac:dyDescent="0.3">
      <c r="B199" s="196" t="s">
        <v>7</v>
      </c>
      <c r="C199" s="197" t="s">
        <v>13</v>
      </c>
      <c r="D199" s="198" t="str">
        <f t="shared" si="38"/>
        <v>C</v>
      </c>
      <c r="E199" s="199">
        <v>44113.666666666664</v>
      </c>
      <c r="F199" s="200" t="s">
        <v>120</v>
      </c>
      <c r="G199" s="201">
        <v>1.6375299999999999</v>
      </c>
      <c r="H199" s="201">
        <v>1.64316</v>
      </c>
      <c r="I199" s="202">
        <f t="shared" si="39"/>
        <v>5.6300000000000239E-3</v>
      </c>
      <c r="J199" s="201">
        <v>1.57751</v>
      </c>
      <c r="K199" s="199">
        <v>44116.692361111112</v>
      </c>
      <c r="L199" s="201">
        <v>1.6382300000000001</v>
      </c>
      <c r="M199" s="203">
        <f t="shared" si="40"/>
        <v>-6.9999999999999999E-4</v>
      </c>
      <c r="N199" s="204">
        <f t="shared" si="41"/>
        <v>-0.12</v>
      </c>
      <c r="O199" s="205">
        <f t="shared" si="42"/>
        <v>0</v>
      </c>
      <c r="P199" s="206">
        <f t="shared" si="43"/>
        <v>0</v>
      </c>
      <c r="Q199" s="206">
        <f t="shared" si="44"/>
        <v>-0.12</v>
      </c>
      <c r="R19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259890</v>
      </c>
      <c r="T19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199" s="208">
        <f ca="1">IF(Tabla33610673[[#This Row],[Equity]]&lt;Tabla33610673[[#This Row],[Equity Peak]],(Tabla33610673[[#This Row],[Equity Peak]]-Tabla33610673[[#This Row],[Equity]])/Tabla33610673[[#This Row],[Equity Peak]],"")</f>
        <v>5.9051412020275161E-2</v>
      </c>
      <c r="V199" s="209">
        <f t="shared" si="45"/>
        <v>-0.12</v>
      </c>
      <c r="W199" s="209">
        <f t="shared" si="46"/>
        <v>0</v>
      </c>
      <c r="X199" s="209">
        <f t="shared" si="47"/>
        <v>0</v>
      </c>
      <c r="Y199" s="209">
        <f t="shared" si="48"/>
        <v>0</v>
      </c>
      <c r="Z199" s="209">
        <f t="shared" si="49"/>
        <v>0</v>
      </c>
      <c r="AA199" s="205">
        <f t="shared" si="50"/>
        <v>0</v>
      </c>
      <c r="AB199" s="209">
        <f t="shared" si="51"/>
        <v>0</v>
      </c>
      <c r="AC199" s="205">
        <f t="shared" si="52"/>
        <v>0</v>
      </c>
      <c r="AD199" s="210">
        <f t="shared" si="53"/>
        <v>3.0256944444481633</v>
      </c>
      <c r="AE199" s="210">
        <f t="shared" si="54"/>
        <v>0</v>
      </c>
      <c r="AF199" s="210">
        <f t="shared" si="55"/>
        <v>3.0256944444481633</v>
      </c>
      <c r="AG199" s="210">
        <f t="shared" si="56"/>
        <v>0</v>
      </c>
    </row>
    <row r="200" spans="2:33" ht="15" customHeight="1" x14ac:dyDescent="0.3">
      <c r="B200" s="196" t="s">
        <v>7</v>
      </c>
      <c r="C200" s="197" t="s">
        <v>15</v>
      </c>
      <c r="D200" s="198" t="str">
        <f t="shared" si="38"/>
        <v>C</v>
      </c>
      <c r="E200" s="199">
        <v>44112.5</v>
      </c>
      <c r="F200" s="200" t="s">
        <v>122</v>
      </c>
      <c r="G200" s="201">
        <v>75.932000000000002</v>
      </c>
      <c r="H200" s="201">
        <v>75.501999999999995</v>
      </c>
      <c r="I200" s="202">
        <f t="shared" si="39"/>
        <v>0.43000000000000682</v>
      </c>
      <c r="J200" s="201">
        <v>83.381</v>
      </c>
      <c r="K200" s="199">
        <v>44116.677083333336</v>
      </c>
      <c r="L200" s="201">
        <v>75.956999999999994</v>
      </c>
      <c r="M200" s="203">
        <f t="shared" si="40"/>
        <v>2.5000000000000001E-2</v>
      </c>
      <c r="N200" s="204">
        <f t="shared" si="41"/>
        <v>0.06</v>
      </c>
      <c r="O200" s="205">
        <f t="shared" si="42"/>
        <v>0</v>
      </c>
      <c r="P200" s="206">
        <f t="shared" si="43"/>
        <v>0.06</v>
      </c>
      <c r="Q200" s="206">
        <f t="shared" si="44"/>
        <v>0</v>
      </c>
      <c r="R20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260010</v>
      </c>
      <c r="T20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00" s="208">
        <f ca="1">IF(Tabla33610673[[#This Row],[Equity]]&lt;Tabla33610673[[#This Row],[Equity Peak]],(Tabla33610673[[#This Row],[Equity Peak]]-Tabla33610673[[#This Row],[Equity]])/Tabla33610673[[#This Row],[Equity Peak]],"")</f>
        <v>5.8616944243301952E-2</v>
      </c>
      <c r="V200" s="209">
        <f t="shared" si="45"/>
        <v>0.06</v>
      </c>
      <c r="W200" s="209">
        <f t="shared" si="46"/>
        <v>0</v>
      </c>
      <c r="X200" s="209">
        <f t="shared" si="47"/>
        <v>0</v>
      </c>
      <c r="Y200" s="209">
        <f t="shared" si="48"/>
        <v>0</v>
      </c>
      <c r="Z200" s="209">
        <f t="shared" si="49"/>
        <v>0</v>
      </c>
      <c r="AA200" s="205">
        <f t="shared" si="50"/>
        <v>0</v>
      </c>
      <c r="AB200" s="209">
        <f t="shared" si="51"/>
        <v>0</v>
      </c>
      <c r="AC200" s="205">
        <f t="shared" si="52"/>
        <v>0</v>
      </c>
      <c r="AD200" s="210">
        <f t="shared" si="53"/>
        <v>4.1770833333357587</v>
      </c>
      <c r="AE200" s="210">
        <f t="shared" si="54"/>
        <v>4.1770833333357587</v>
      </c>
      <c r="AF200" s="210">
        <f t="shared" si="55"/>
        <v>0</v>
      </c>
      <c r="AG200" s="210">
        <f t="shared" si="56"/>
        <v>0</v>
      </c>
    </row>
    <row r="201" spans="2:33" ht="15" customHeight="1" x14ac:dyDescent="0.3">
      <c r="B201" s="196" t="s">
        <v>7</v>
      </c>
      <c r="C201" s="197" t="s">
        <v>15</v>
      </c>
      <c r="D201" s="198" t="str">
        <f t="shared" si="38"/>
        <v>C</v>
      </c>
      <c r="E201" s="199">
        <v>44109.833333333336</v>
      </c>
      <c r="F201" s="200" t="s">
        <v>118</v>
      </c>
      <c r="G201" s="201">
        <v>124.65900000000001</v>
      </c>
      <c r="H201" s="201">
        <v>123.82899999999999</v>
      </c>
      <c r="I201" s="202">
        <f t="shared" si="39"/>
        <v>0.83000000000001251</v>
      </c>
      <c r="J201" s="201">
        <v>127.979</v>
      </c>
      <c r="K201" s="199">
        <v>44116.589583333334</v>
      </c>
      <c r="L201" s="201">
        <v>124.39100000000001</v>
      </c>
      <c r="M201" s="203">
        <f t="shared" si="40"/>
        <v>-0.26800000000000002</v>
      </c>
      <c r="N201" s="204">
        <f t="shared" si="41"/>
        <v>-0.32</v>
      </c>
      <c r="O201" s="205">
        <f t="shared" si="42"/>
        <v>0</v>
      </c>
      <c r="P201" s="206">
        <f t="shared" si="43"/>
        <v>0</v>
      </c>
      <c r="Q201" s="206">
        <f t="shared" si="44"/>
        <v>-0.32</v>
      </c>
      <c r="R20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259950</v>
      </c>
      <c r="T20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01" s="208">
        <f ca="1">IF(Tabla33610673[[#This Row],[Equity]]&lt;Tabla33610673[[#This Row],[Equity Peak]],(Tabla33610673[[#This Row],[Equity Peak]]-Tabla33610673[[#This Row],[Equity]])/Tabla33610673[[#This Row],[Equity Peak]],"")</f>
        <v>5.883417813178856E-2</v>
      </c>
      <c r="V201" s="209">
        <f t="shared" si="45"/>
        <v>-0.32</v>
      </c>
      <c r="W201" s="209">
        <f t="shared" si="46"/>
        <v>0</v>
      </c>
      <c r="X201" s="209">
        <f t="shared" si="47"/>
        <v>0</v>
      </c>
      <c r="Y201" s="209">
        <f t="shared" si="48"/>
        <v>0</v>
      </c>
      <c r="Z201" s="209">
        <f t="shared" si="49"/>
        <v>0</v>
      </c>
      <c r="AA201" s="205">
        <f t="shared" si="50"/>
        <v>0</v>
      </c>
      <c r="AB201" s="209">
        <f t="shared" si="51"/>
        <v>0</v>
      </c>
      <c r="AC201" s="205">
        <f t="shared" si="52"/>
        <v>0</v>
      </c>
      <c r="AD201" s="210">
        <f t="shared" si="53"/>
        <v>6.7562499999985448</v>
      </c>
      <c r="AE201" s="210">
        <f t="shared" si="54"/>
        <v>0</v>
      </c>
      <c r="AF201" s="210">
        <f t="shared" si="55"/>
        <v>6.7562499999985448</v>
      </c>
      <c r="AG201" s="210">
        <f t="shared" si="56"/>
        <v>0</v>
      </c>
    </row>
    <row r="202" spans="2:33" ht="15" customHeight="1" x14ac:dyDescent="0.3">
      <c r="B202" s="196" t="s">
        <v>84</v>
      </c>
      <c r="C202" s="197" t="s">
        <v>15</v>
      </c>
      <c r="D202" s="198" t="str">
        <f t="shared" si="38"/>
        <v>C</v>
      </c>
      <c r="E202" s="199">
        <v>44071.166666666664</v>
      </c>
      <c r="F202" s="200" t="s">
        <v>82</v>
      </c>
      <c r="G202" s="201">
        <v>384.93</v>
      </c>
      <c r="H202" s="201">
        <v>371.9</v>
      </c>
      <c r="I202" s="202">
        <f t="shared" si="39"/>
        <v>13.03000000000003</v>
      </c>
      <c r="J202" s="201">
        <v>628.09</v>
      </c>
      <c r="K202" s="199">
        <v>44113.833333333336</v>
      </c>
      <c r="L202" s="201">
        <v>365.32</v>
      </c>
      <c r="M202" s="203">
        <f t="shared" si="40"/>
        <v>-19.61</v>
      </c>
      <c r="N202" s="204">
        <f t="shared" si="41"/>
        <v>-1.5</v>
      </c>
      <c r="O202" s="205">
        <f t="shared" si="42"/>
        <v>0</v>
      </c>
      <c r="P202" s="206">
        <f t="shared" si="43"/>
        <v>0</v>
      </c>
      <c r="Q202" s="206">
        <f t="shared" si="44"/>
        <v>-1.5</v>
      </c>
      <c r="R20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260270</v>
      </c>
      <c r="T20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02" s="208">
        <f ca="1">IF(Tabla33610673[[#This Row],[Equity]]&lt;Tabla33610673[[#This Row],[Equity Peak]],(Tabla33610673[[#This Row],[Equity Peak]]-Tabla33610673[[#This Row],[Equity]])/Tabla33610673[[#This Row],[Equity Peak]],"")</f>
        <v>5.7675597393193341E-2</v>
      </c>
      <c r="V202" s="209">
        <f t="shared" si="45"/>
        <v>0</v>
      </c>
      <c r="W202" s="209">
        <f t="shared" si="46"/>
        <v>0</v>
      </c>
      <c r="X202" s="209">
        <f t="shared" si="47"/>
        <v>0</v>
      </c>
      <c r="Y202" s="209">
        <f t="shared" si="48"/>
        <v>0</v>
      </c>
      <c r="Z202" s="209">
        <f t="shared" si="49"/>
        <v>0</v>
      </c>
      <c r="AA202" s="205">
        <f t="shared" si="50"/>
        <v>0</v>
      </c>
      <c r="AB202" s="209">
        <f t="shared" si="51"/>
        <v>-1.5</v>
      </c>
      <c r="AC202" s="205">
        <f t="shared" si="52"/>
        <v>0</v>
      </c>
      <c r="AD202" s="210">
        <f t="shared" si="53"/>
        <v>42.666666666671517</v>
      </c>
      <c r="AE202" s="210">
        <f t="shared" si="54"/>
        <v>0</v>
      </c>
      <c r="AF202" s="210">
        <f t="shared" si="55"/>
        <v>42.666666666671517</v>
      </c>
      <c r="AG202" s="210">
        <f t="shared" si="56"/>
        <v>0</v>
      </c>
    </row>
    <row r="203" spans="2:33" ht="15" customHeight="1" x14ac:dyDescent="0.3">
      <c r="B203" s="196" t="s">
        <v>7</v>
      </c>
      <c r="C203" s="197" t="s">
        <v>15</v>
      </c>
      <c r="D203" s="198" t="str">
        <f t="shared" si="38"/>
        <v>C</v>
      </c>
      <c r="E203" s="199">
        <v>44110.017361111109</v>
      </c>
      <c r="F203" s="200" t="s">
        <v>120</v>
      </c>
      <c r="G203" s="201">
        <v>1.6406400000000001</v>
      </c>
      <c r="H203" s="201">
        <v>1.6338299999999999</v>
      </c>
      <c r="I203" s="202">
        <f t="shared" si="39"/>
        <v>6.8100000000002048E-3</v>
      </c>
      <c r="J203" s="201">
        <v>1.7133</v>
      </c>
      <c r="K203" s="199">
        <v>44112.42291666667</v>
      </c>
      <c r="L203" s="201">
        <v>1.64307</v>
      </c>
      <c r="M203" s="203">
        <f t="shared" si="40"/>
        <v>2.3999999999999998E-3</v>
      </c>
      <c r="N203" s="204">
        <f t="shared" si="41"/>
        <v>0.35</v>
      </c>
      <c r="O203" s="205">
        <f t="shared" si="42"/>
        <v>0</v>
      </c>
      <c r="P203" s="206">
        <f t="shared" si="43"/>
        <v>0.35</v>
      </c>
      <c r="Q203" s="206">
        <f t="shared" si="44"/>
        <v>0</v>
      </c>
      <c r="R20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261770</v>
      </c>
      <c r="T20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03" s="208">
        <f ca="1">IF(Tabla33610673[[#This Row],[Equity]]&lt;Tabla33610673[[#This Row],[Equity Peak]],(Tabla33610673[[#This Row],[Equity Peak]]-Tabla33610673[[#This Row],[Equity]])/Tabla33610673[[#This Row],[Equity Peak]],"")</f>
        <v>5.2244750181028241E-2</v>
      </c>
      <c r="V203" s="209">
        <f t="shared" si="45"/>
        <v>0.35</v>
      </c>
      <c r="W203" s="209">
        <f t="shared" si="46"/>
        <v>0</v>
      </c>
      <c r="X203" s="209">
        <f t="shared" si="47"/>
        <v>0</v>
      </c>
      <c r="Y203" s="209">
        <f t="shared" si="48"/>
        <v>0</v>
      </c>
      <c r="Z203" s="209">
        <f t="shared" si="49"/>
        <v>0</v>
      </c>
      <c r="AA203" s="205">
        <f t="shared" si="50"/>
        <v>0</v>
      </c>
      <c r="AB203" s="209">
        <f t="shared" si="51"/>
        <v>0</v>
      </c>
      <c r="AC203" s="205">
        <f t="shared" si="52"/>
        <v>0</v>
      </c>
      <c r="AD203" s="210">
        <f t="shared" si="53"/>
        <v>2.4055555555605679</v>
      </c>
      <c r="AE203" s="210">
        <f t="shared" si="54"/>
        <v>2.4055555555605679</v>
      </c>
      <c r="AF203" s="210">
        <f t="shared" si="55"/>
        <v>0</v>
      </c>
      <c r="AG203" s="210">
        <f t="shared" si="56"/>
        <v>0</v>
      </c>
    </row>
    <row r="204" spans="2:33" ht="15" customHeight="1" x14ac:dyDescent="0.3">
      <c r="B204" s="196" t="s">
        <v>84</v>
      </c>
      <c r="C204" s="197" t="s">
        <v>13</v>
      </c>
      <c r="D204" s="198" t="str">
        <f t="shared" si="38"/>
        <v>C</v>
      </c>
      <c r="E204" s="199">
        <v>44111.017361111109</v>
      </c>
      <c r="F204" s="200" t="s">
        <v>80</v>
      </c>
      <c r="G204" s="201">
        <v>10552.32</v>
      </c>
      <c r="H204" s="201">
        <v>10741.92</v>
      </c>
      <c r="I204" s="202">
        <f t="shared" si="39"/>
        <v>189.60000000000036</v>
      </c>
      <c r="J204" s="201">
        <v>7708.32</v>
      </c>
      <c r="K204" s="199">
        <v>44111.92291666667</v>
      </c>
      <c r="L204" s="201">
        <v>10671.01</v>
      </c>
      <c r="M204" s="203">
        <f t="shared" si="40"/>
        <v>-118.69</v>
      </c>
      <c r="N204" s="204">
        <f t="shared" si="41"/>
        <v>-0.63</v>
      </c>
      <c r="O204" s="205">
        <f t="shared" si="42"/>
        <v>0</v>
      </c>
      <c r="P204" s="206">
        <f t="shared" si="43"/>
        <v>0</v>
      </c>
      <c r="Q204" s="206">
        <f t="shared" si="44"/>
        <v>-0.63</v>
      </c>
      <c r="R20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261420</v>
      </c>
      <c r="T20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04" s="208">
        <f ca="1">IF(Tabla33610673[[#This Row],[Equity]]&lt;Tabla33610673[[#This Row],[Equity Peak]],(Tabla33610673[[#This Row],[Equity Peak]]-Tabla33610673[[#This Row],[Equity]])/Tabla33610673[[#This Row],[Equity Peak]],"")</f>
        <v>5.351194786386676E-2</v>
      </c>
      <c r="V204" s="209">
        <f t="shared" si="45"/>
        <v>0</v>
      </c>
      <c r="W204" s="209">
        <f t="shared" si="46"/>
        <v>0</v>
      </c>
      <c r="X204" s="209">
        <f t="shared" si="47"/>
        <v>0</v>
      </c>
      <c r="Y204" s="209">
        <f t="shared" si="48"/>
        <v>0</v>
      </c>
      <c r="Z204" s="209">
        <f t="shared" si="49"/>
        <v>0</v>
      </c>
      <c r="AA204" s="205">
        <f t="shared" si="50"/>
        <v>0</v>
      </c>
      <c r="AB204" s="209">
        <f t="shared" si="51"/>
        <v>-0.63</v>
      </c>
      <c r="AC204" s="205">
        <f t="shared" si="52"/>
        <v>0</v>
      </c>
      <c r="AD204" s="210">
        <f t="shared" si="53"/>
        <v>0.90555555556056788</v>
      </c>
      <c r="AE204" s="210">
        <f t="shared" si="54"/>
        <v>0</v>
      </c>
      <c r="AF204" s="210">
        <f t="shared" si="55"/>
        <v>0.90555555556056788</v>
      </c>
      <c r="AG204" s="210">
        <f t="shared" si="56"/>
        <v>0</v>
      </c>
    </row>
    <row r="205" spans="2:33" ht="15" customHeight="1" x14ac:dyDescent="0.3">
      <c r="B205" s="196" t="s">
        <v>19</v>
      </c>
      <c r="C205" s="197" t="s">
        <v>15</v>
      </c>
      <c r="D205" s="198" t="str">
        <f t="shared" si="38"/>
        <v>C</v>
      </c>
      <c r="E205" s="199">
        <v>44111.291666666664</v>
      </c>
      <c r="F205" s="200" t="s">
        <v>108</v>
      </c>
      <c r="G205" s="201">
        <v>40.006</v>
      </c>
      <c r="H205" s="201">
        <v>38.738</v>
      </c>
      <c r="I205" s="202">
        <f t="shared" si="39"/>
        <v>1.2680000000000007</v>
      </c>
      <c r="J205" s="201">
        <v>55.223999999999997</v>
      </c>
      <c r="K205" s="199">
        <v>44111.720833333333</v>
      </c>
      <c r="L205" s="201">
        <v>39.508000000000003</v>
      </c>
      <c r="M205" s="203">
        <f t="shared" si="40"/>
        <v>-0.498</v>
      </c>
      <c r="N205" s="204">
        <f t="shared" si="41"/>
        <v>-0.39</v>
      </c>
      <c r="O205" s="205">
        <f t="shared" si="42"/>
        <v>0</v>
      </c>
      <c r="P205" s="206">
        <f t="shared" si="43"/>
        <v>0</v>
      </c>
      <c r="Q205" s="206">
        <f t="shared" si="44"/>
        <v>-0.39</v>
      </c>
      <c r="R20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262050</v>
      </c>
      <c r="T20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05" s="208">
        <f ca="1">IF(Tabla33610673[[#This Row],[Equity]]&lt;Tabla33610673[[#This Row],[Equity Peak]],(Tabla33610673[[#This Row],[Equity Peak]]-Tabla33610673[[#This Row],[Equity]])/Tabla33610673[[#This Row],[Equity Peak]],"")</f>
        <v>5.1230992034757422E-2</v>
      </c>
      <c r="V205" s="209">
        <f t="shared" si="45"/>
        <v>0</v>
      </c>
      <c r="W205" s="209">
        <f t="shared" si="46"/>
        <v>0</v>
      </c>
      <c r="X205" s="209">
        <f t="shared" si="47"/>
        <v>-0.39</v>
      </c>
      <c r="Y205" s="209">
        <f t="shared" si="48"/>
        <v>0</v>
      </c>
      <c r="Z205" s="209">
        <f t="shared" si="49"/>
        <v>0</v>
      </c>
      <c r="AA205" s="205">
        <f t="shared" si="50"/>
        <v>0</v>
      </c>
      <c r="AB205" s="209">
        <f t="shared" si="51"/>
        <v>0</v>
      </c>
      <c r="AC205" s="205">
        <f t="shared" si="52"/>
        <v>0</v>
      </c>
      <c r="AD205" s="210">
        <f t="shared" si="53"/>
        <v>0.42916666666860692</v>
      </c>
      <c r="AE205" s="210">
        <f t="shared" si="54"/>
        <v>0</v>
      </c>
      <c r="AF205" s="210">
        <f t="shared" si="55"/>
        <v>0.42916666666860692</v>
      </c>
      <c r="AG205" s="210">
        <f t="shared" si="56"/>
        <v>0</v>
      </c>
    </row>
    <row r="206" spans="2:33" ht="15" customHeight="1" x14ac:dyDescent="0.3">
      <c r="B206" s="196" t="s">
        <v>7</v>
      </c>
      <c r="C206" s="197" t="s">
        <v>15</v>
      </c>
      <c r="D206" s="198" t="str">
        <f t="shared" si="38"/>
        <v>C</v>
      </c>
      <c r="E206" s="199">
        <v>44104.833333333336</v>
      </c>
      <c r="F206" s="200" t="s">
        <v>114</v>
      </c>
      <c r="G206" s="201">
        <v>1.29111</v>
      </c>
      <c r="H206" s="201">
        <v>1.278</v>
      </c>
      <c r="I206" s="202">
        <f t="shared" si="39"/>
        <v>1.3109999999999955E-2</v>
      </c>
      <c r="J206" s="201">
        <v>1.34355</v>
      </c>
      <c r="K206" s="199">
        <v>44111.589583333334</v>
      </c>
      <c r="L206" s="201">
        <v>1.2850900000000001</v>
      </c>
      <c r="M206" s="203">
        <f t="shared" si="40"/>
        <v>-6.0000000000000001E-3</v>
      </c>
      <c r="N206" s="204">
        <f t="shared" si="41"/>
        <v>-0.46</v>
      </c>
      <c r="O206" s="205">
        <f t="shared" si="42"/>
        <v>0</v>
      </c>
      <c r="P206" s="206">
        <f t="shared" si="43"/>
        <v>0</v>
      </c>
      <c r="Q206" s="206">
        <f t="shared" si="44"/>
        <v>-0.46</v>
      </c>
      <c r="R20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262440</v>
      </c>
      <c r="T20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06" s="208">
        <f ca="1">IF(Tabla33610673[[#This Row],[Equity]]&lt;Tabla33610673[[#This Row],[Equity Peak]],(Tabla33610673[[#This Row],[Equity Peak]]-Tabla33610673[[#This Row],[Equity]])/Tabla33610673[[#This Row],[Equity Peak]],"")</f>
        <v>4.9818971759594495E-2</v>
      </c>
      <c r="V206" s="209">
        <f t="shared" si="45"/>
        <v>-0.46</v>
      </c>
      <c r="W206" s="209">
        <f t="shared" si="46"/>
        <v>0</v>
      </c>
      <c r="X206" s="209">
        <f t="shared" si="47"/>
        <v>0</v>
      </c>
      <c r="Y206" s="209">
        <f t="shared" si="48"/>
        <v>0</v>
      </c>
      <c r="Z206" s="209">
        <f t="shared" si="49"/>
        <v>0</v>
      </c>
      <c r="AA206" s="205">
        <f t="shared" si="50"/>
        <v>0</v>
      </c>
      <c r="AB206" s="209">
        <f t="shared" si="51"/>
        <v>0</v>
      </c>
      <c r="AC206" s="205">
        <f t="shared" si="52"/>
        <v>0</v>
      </c>
      <c r="AD206" s="210">
        <f t="shared" si="53"/>
        <v>6.7562499999985448</v>
      </c>
      <c r="AE206" s="210">
        <f t="shared" si="54"/>
        <v>0</v>
      </c>
      <c r="AF206" s="210">
        <f t="shared" si="55"/>
        <v>6.7562499999985448</v>
      </c>
      <c r="AG206" s="210">
        <f t="shared" si="56"/>
        <v>0</v>
      </c>
    </row>
    <row r="207" spans="2:33" ht="15" customHeight="1" x14ac:dyDescent="0.3">
      <c r="B207" s="196" t="s">
        <v>7</v>
      </c>
      <c r="C207" s="197" t="s">
        <v>13</v>
      </c>
      <c r="D207" s="198" t="str">
        <f t="shared" si="38"/>
        <v>C</v>
      </c>
      <c r="E207" s="199">
        <v>44111.017361111109</v>
      </c>
      <c r="F207" s="200" t="s">
        <v>122</v>
      </c>
      <c r="G207" s="201">
        <v>75.022999999999996</v>
      </c>
      <c r="H207" s="201">
        <v>75.483999999999995</v>
      </c>
      <c r="I207" s="202">
        <f t="shared" si="39"/>
        <v>0.46099999999999852</v>
      </c>
      <c r="J207" s="201">
        <v>67.03</v>
      </c>
      <c r="K207" s="199">
        <v>44111.42083333333</v>
      </c>
      <c r="L207" s="201">
        <v>75.483999999999995</v>
      </c>
      <c r="M207" s="203">
        <f t="shared" si="40"/>
        <v>-0.46100000000000002</v>
      </c>
      <c r="N207" s="204">
        <f t="shared" si="41"/>
        <v>-1</v>
      </c>
      <c r="O207" s="205">
        <f t="shared" si="42"/>
        <v>0</v>
      </c>
      <c r="P207" s="206">
        <f t="shared" si="43"/>
        <v>0</v>
      </c>
      <c r="Q207" s="206">
        <f t="shared" si="44"/>
        <v>-1</v>
      </c>
      <c r="R20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262900</v>
      </c>
      <c r="T20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07" s="208">
        <f ca="1">IF(Tabla33610673[[#This Row],[Equity]]&lt;Tabla33610673[[#This Row],[Equity Peak]],(Tabla33610673[[#This Row],[Equity Peak]]-Tabla33610673[[#This Row],[Equity]])/Tabla33610673[[#This Row],[Equity Peak]],"")</f>
        <v>4.8153511947863867E-2</v>
      </c>
      <c r="V207" s="209">
        <f t="shared" si="45"/>
        <v>-1</v>
      </c>
      <c r="W207" s="209">
        <f t="shared" si="46"/>
        <v>0</v>
      </c>
      <c r="X207" s="209">
        <f t="shared" si="47"/>
        <v>0</v>
      </c>
      <c r="Y207" s="209">
        <f t="shared" si="48"/>
        <v>0</v>
      </c>
      <c r="Z207" s="209">
        <f t="shared" si="49"/>
        <v>0</v>
      </c>
      <c r="AA207" s="205">
        <f t="shared" si="50"/>
        <v>0</v>
      </c>
      <c r="AB207" s="209">
        <f t="shared" si="51"/>
        <v>0</v>
      </c>
      <c r="AC207" s="205">
        <f t="shared" si="52"/>
        <v>0</v>
      </c>
      <c r="AD207" s="210">
        <f t="shared" si="53"/>
        <v>0.40347222222044365</v>
      </c>
      <c r="AE207" s="210">
        <f t="shared" si="54"/>
        <v>0</v>
      </c>
      <c r="AF207" s="210">
        <f t="shared" si="55"/>
        <v>0.40347222222044365</v>
      </c>
      <c r="AG207" s="210">
        <f t="shared" si="56"/>
        <v>0</v>
      </c>
    </row>
    <row r="208" spans="2:33" ht="15" customHeight="1" x14ac:dyDescent="0.3">
      <c r="B208" s="196" t="s">
        <v>7</v>
      </c>
      <c r="C208" s="197" t="s">
        <v>15</v>
      </c>
      <c r="D208" s="198" t="str">
        <f t="shared" si="38"/>
        <v>C</v>
      </c>
      <c r="E208" s="199">
        <v>44109.833333333336</v>
      </c>
      <c r="F208" s="200" t="s">
        <v>115</v>
      </c>
      <c r="G208" s="201">
        <v>137.27099999999999</v>
      </c>
      <c r="H208" s="201">
        <v>135.78899999999999</v>
      </c>
      <c r="I208" s="202">
        <f t="shared" si="39"/>
        <v>1.4819999999999993</v>
      </c>
      <c r="J208" s="201">
        <v>145.57</v>
      </c>
      <c r="K208" s="199">
        <v>44111.004861111112</v>
      </c>
      <c r="L208" s="201">
        <v>135.875</v>
      </c>
      <c r="M208" s="203">
        <f t="shared" si="40"/>
        <v>-1.3959999999999999</v>
      </c>
      <c r="N208" s="204">
        <f t="shared" si="41"/>
        <v>-0.94</v>
      </c>
      <c r="O208" s="205">
        <f t="shared" si="42"/>
        <v>0</v>
      </c>
      <c r="P208" s="206">
        <f t="shared" si="43"/>
        <v>0</v>
      </c>
      <c r="Q208" s="206">
        <f t="shared" si="44"/>
        <v>-0.94</v>
      </c>
      <c r="R20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263900</v>
      </c>
      <c r="T20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08" s="208">
        <f ca="1">IF(Tabla33610673[[#This Row],[Equity]]&lt;Tabla33610673[[#This Row],[Equity Peak]],(Tabla33610673[[#This Row],[Equity Peak]]-Tabla33610673[[#This Row],[Equity]])/Tabla33610673[[#This Row],[Equity Peak]],"")</f>
        <v>4.4532947139753802E-2</v>
      </c>
      <c r="V208" s="209">
        <f t="shared" si="45"/>
        <v>-0.94</v>
      </c>
      <c r="W208" s="209">
        <f t="shared" si="46"/>
        <v>0</v>
      </c>
      <c r="X208" s="209">
        <f t="shared" si="47"/>
        <v>0</v>
      </c>
      <c r="Y208" s="209">
        <f t="shared" si="48"/>
        <v>0</v>
      </c>
      <c r="Z208" s="209">
        <f t="shared" si="49"/>
        <v>0</v>
      </c>
      <c r="AA208" s="205">
        <f t="shared" si="50"/>
        <v>0</v>
      </c>
      <c r="AB208" s="209">
        <f t="shared" si="51"/>
        <v>0</v>
      </c>
      <c r="AC208" s="205">
        <f t="shared" si="52"/>
        <v>0</v>
      </c>
      <c r="AD208" s="210">
        <f t="shared" si="53"/>
        <v>1.171527777776646</v>
      </c>
      <c r="AE208" s="210">
        <f t="shared" si="54"/>
        <v>0</v>
      </c>
      <c r="AF208" s="210">
        <f t="shared" si="55"/>
        <v>1.171527777776646</v>
      </c>
      <c r="AG208" s="210">
        <f t="shared" si="56"/>
        <v>0</v>
      </c>
    </row>
    <row r="209" spans="2:33" ht="15" customHeight="1" x14ac:dyDescent="0.3">
      <c r="B209" s="196" t="s">
        <v>5</v>
      </c>
      <c r="C209" s="197" t="s">
        <v>15</v>
      </c>
      <c r="D209" s="198" t="str">
        <f t="shared" ref="D209:D272" si="57">IF(E209&lt;&gt;"",IF(K209&lt;&gt;"","C","O"),"")</f>
        <v>C</v>
      </c>
      <c r="E209" s="199">
        <v>44110.017361111109</v>
      </c>
      <c r="F209" s="200" t="s">
        <v>93</v>
      </c>
      <c r="G209" s="201">
        <v>3402.37</v>
      </c>
      <c r="H209" s="201">
        <v>3362.88</v>
      </c>
      <c r="I209" s="202">
        <f t="shared" ref="I209:I272" si="58">ABS(G209-H209)</f>
        <v>39.489999999999782</v>
      </c>
      <c r="J209" s="201">
        <v>3507.68</v>
      </c>
      <c r="K209" s="199">
        <v>44110.921527777777</v>
      </c>
      <c r="L209" s="201">
        <v>3362.88</v>
      </c>
      <c r="M209" s="203">
        <f t="shared" ref="M209:M272" si="59">ROUND(IF(C209="L",(L209-G209),(G209-L209)),4)</f>
        <v>-39.49</v>
      </c>
      <c r="N209" s="204">
        <f t="shared" ref="N209:N272" si="60">IFERROR(ROUND((M209/I209),2),"")</f>
        <v>-1</v>
      </c>
      <c r="O209" s="205">
        <f t="shared" ref="O209:O272" si="61">IF(D209="O",IF(N209&lt;0,N209,0),0)</f>
        <v>0</v>
      </c>
      <c r="P209" s="206">
        <f t="shared" ref="P209:P272" si="62">IF(N209&gt;= 0,N209,0)</f>
        <v>0</v>
      </c>
      <c r="Q209" s="206">
        <f t="shared" ref="Q209:Q272" si="63">IF(N209&lt;0,N209,0)</f>
        <v>-1</v>
      </c>
      <c r="R20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264840</v>
      </c>
      <c r="T20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09" s="208">
        <f ca="1">IF(Tabla33610673[[#This Row],[Equity]]&lt;Tabla33610673[[#This Row],[Equity Peak]],(Tabla33610673[[#This Row],[Equity Peak]]-Tabla33610673[[#This Row],[Equity]])/Tabla33610673[[#This Row],[Equity Peak]],"")</f>
        <v>4.1129616220130338E-2</v>
      </c>
      <c r="V209" s="209">
        <f t="shared" ref="V209:V272" si="64">IF(B209="FX",N209,0)</f>
        <v>0</v>
      </c>
      <c r="W209" s="209">
        <f t="shared" ref="W209:W272" si="65">IF(D209="O",IF(V209&lt;0,V209,0),0)</f>
        <v>0</v>
      </c>
      <c r="X209" s="209">
        <f t="shared" ref="X209:X272" si="66">IF(B209="COM",N209,0)</f>
        <v>0</v>
      </c>
      <c r="Y209" s="209">
        <f t="shared" ref="Y209:Y272" si="67">IF(D209="O",IF(X209&lt;0,X209,0),0)</f>
        <v>0</v>
      </c>
      <c r="Z209" s="209">
        <f t="shared" ref="Z209:Z272" si="68">IF(B209="IND",N209,0)</f>
        <v>-1</v>
      </c>
      <c r="AA209" s="205">
        <f t="shared" ref="AA209:AA272" si="69">IF(D209="O",IF(Z209&lt;0,Z209,0),0)</f>
        <v>0</v>
      </c>
      <c r="AB209" s="209">
        <f t="shared" ref="AB209:AB272" si="70">IF(B209="CRYPTO",N209,0)</f>
        <v>0</v>
      </c>
      <c r="AC209" s="205">
        <f t="shared" ref="AC209:AC272" si="71">IF(D209="O",IF(AB209&lt;0,AB209,0),0)</f>
        <v>0</v>
      </c>
      <c r="AD209" s="210">
        <f t="shared" ref="AD209:AD272" si="72">IF(K209&lt;&gt;"",K209-E209,0)</f>
        <v>0.90416666666715173</v>
      </c>
      <c r="AE209" s="210">
        <f t="shared" ref="AE209:AE272" si="73">IF(N209&gt;0,AD209,0)</f>
        <v>0</v>
      </c>
      <c r="AF209" s="210">
        <f t="shared" ref="AF209:AF272" si="74">IF(N209&lt;0,AD209,0)</f>
        <v>0.90416666666715173</v>
      </c>
      <c r="AG209" s="210">
        <f t="shared" ref="AG209:AG272" si="75">IF(N209=0,AD209,0)</f>
        <v>0</v>
      </c>
    </row>
    <row r="210" spans="2:33" ht="15" customHeight="1" x14ac:dyDescent="0.3">
      <c r="B210" s="196" t="s">
        <v>5</v>
      </c>
      <c r="C210" s="197" t="s">
        <v>15</v>
      </c>
      <c r="D210" s="198" t="str">
        <f t="shared" si="57"/>
        <v>C</v>
      </c>
      <c r="E210" s="199">
        <v>44109.375</v>
      </c>
      <c r="F210" s="200" t="s">
        <v>94</v>
      </c>
      <c r="G210" s="201">
        <v>5949.98</v>
      </c>
      <c r="H210" s="201">
        <v>5866.51</v>
      </c>
      <c r="I210" s="202">
        <f t="shared" si="58"/>
        <v>83.469999999999345</v>
      </c>
      <c r="J210" s="201">
        <v>6367.32</v>
      </c>
      <c r="K210" s="199">
        <v>44110.921527777777</v>
      </c>
      <c r="L210" s="201">
        <v>5904.03</v>
      </c>
      <c r="M210" s="203">
        <f t="shared" si="59"/>
        <v>-45.95</v>
      </c>
      <c r="N210" s="204">
        <f t="shared" si="60"/>
        <v>-0.55000000000000004</v>
      </c>
      <c r="O210" s="205">
        <f t="shared" si="61"/>
        <v>0</v>
      </c>
      <c r="P210" s="206">
        <f t="shared" si="62"/>
        <v>0</v>
      </c>
      <c r="Q210" s="206">
        <f t="shared" si="63"/>
        <v>-0.55000000000000004</v>
      </c>
      <c r="R21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265840</v>
      </c>
      <c r="T21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10" s="208">
        <f ca="1">IF(Tabla33610673[[#This Row],[Equity]]&lt;Tabla33610673[[#This Row],[Equity Peak]],(Tabla33610673[[#This Row],[Equity Peak]]-Tabla33610673[[#This Row],[Equity]])/Tabla33610673[[#This Row],[Equity Peak]],"")</f>
        <v>3.7509051412020274E-2</v>
      </c>
      <c r="V210" s="209">
        <f t="shared" si="64"/>
        <v>0</v>
      </c>
      <c r="W210" s="209">
        <f t="shared" si="65"/>
        <v>0</v>
      </c>
      <c r="X210" s="209">
        <f t="shared" si="66"/>
        <v>0</v>
      </c>
      <c r="Y210" s="209">
        <f t="shared" si="67"/>
        <v>0</v>
      </c>
      <c r="Z210" s="209">
        <f t="shared" si="68"/>
        <v>-0.55000000000000004</v>
      </c>
      <c r="AA210" s="205">
        <f t="shared" si="69"/>
        <v>0</v>
      </c>
      <c r="AB210" s="209">
        <f t="shared" si="70"/>
        <v>0</v>
      </c>
      <c r="AC210" s="205">
        <f t="shared" si="71"/>
        <v>0</v>
      </c>
      <c r="AD210" s="210">
        <f t="shared" si="72"/>
        <v>1.546527777776646</v>
      </c>
      <c r="AE210" s="210">
        <f t="shared" si="73"/>
        <v>0</v>
      </c>
      <c r="AF210" s="210">
        <f t="shared" si="74"/>
        <v>1.546527777776646</v>
      </c>
      <c r="AG210" s="210">
        <f t="shared" si="75"/>
        <v>0</v>
      </c>
    </row>
    <row r="211" spans="2:33" ht="15" customHeight="1" x14ac:dyDescent="0.3">
      <c r="B211" s="196" t="s">
        <v>19</v>
      </c>
      <c r="C211" s="197" t="s">
        <v>15</v>
      </c>
      <c r="D211" s="198" t="str">
        <f t="shared" si="57"/>
        <v>C</v>
      </c>
      <c r="E211" s="199">
        <v>44105.708333333336</v>
      </c>
      <c r="F211" s="200" t="s">
        <v>88</v>
      </c>
      <c r="G211" s="201">
        <v>1902.54</v>
      </c>
      <c r="H211" s="201">
        <v>1875.81</v>
      </c>
      <c r="I211" s="202">
        <f t="shared" si="58"/>
        <v>26.730000000000018</v>
      </c>
      <c r="J211" s="201">
        <v>2073.59</v>
      </c>
      <c r="K211" s="199">
        <v>44110.912499999999</v>
      </c>
      <c r="L211" s="201">
        <v>1892.17</v>
      </c>
      <c r="M211" s="203">
        <f t="shared" si="59"/>
        <v>-10.37</v>
      </c>
      <c r="N211" s="204">
        <f t="shared" si="60"/>
        <v>-0.39</v>
      </c>
      <c r="O211" s="205">
        <f t="shared" si="61"/>
        <v>0</v>
      </c>
      <c r="P211" s="206">
        <f t="shared" si="62"/>
        <v>0</v>
      </c>
      <c r="Q211" s="206">
        <f t="shared" si="63"/>
        <v>-0.39</v>
      </c>
      <c r="R21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266390</v>
      </c>
      <c r="T21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11" s="208">
        <f ca="1">IF(Tabla33610673[[#This Row],[Equity]]&lt;Tabla33610673[[#This Row],[Equity Peak]],(Tabla33610673[[#This Row],[Equity Peak]]-Tabla33610673[[#This Row],[Equity]])/Tabla33610673[[#This Row],[Equity Peak]],"")</f>
        <v>3.5517740767559737E-2</v>
      </c>
      <c r="V211" s="209">
        <f t="shared" si="64"/>
        <v>0</v>
      </c>
      <c r="W211" s="209">
        <f t="shared" si="65"/>
        <v>0</v>
      </c>
      <c r="X211" s="209">
        <f t="shared" si="66"/>
        <v>-0.39</v>
      </c>
      <c r="Y211" s="209">
        <f t="shared" si="67"/>
        <v>0</v>
      </c>
      <c r="Z211" s="209">
        <f t="shared" si="68"/>
        <v>0</v>
      </c>
      <c r="AA211" s="205">
        <f t="shared" si="69"/>
        <v>0</v>
      </c>
      <c r="AB211" s="209">
        <f t="shared" si="70"/>
        <v>0</v>
      </c>
      <c r="AC211" s="205">
        <f t="shared" si="71"/>
        <v>0</v>
      </c>
      <c r="AD211" s="210">
        <f t="shared" si="72"/>
        <v>5.2041666666627862</v>
      </c>
      <c r="AE211" s="210">
        <f t="shared" si="73"/>
        <v>0</v>
      </c>
      <c r="AF211" s="210">
        <f t="shared" si="74"/>
        <v>5.2041666666627862</v>
      </c>
      <c r="AG211" s="210">
        <f t="shared" si="75"/>
        <v>0</v>
      </c>
    </row>
    <row r="212" spans="2:33" ht="15" customHeight="1" x14ac:dyDescent="0.3">
      <c r="B212" s="196" t="s">
        <v>7</v>
      </c>
      <c r="C212" s="197" t="s">
        <v>15</v>
      </c>
      <c r="D212" s="198" t="str">
        <f t="shared" si="57"/>
        <v>C</v>
      </c>
      <c r="E212" s="199">
        <v>44109.333333333336</v>
      </c>
      <c r="F212" s="200" t="s">
        <v>121</v>
      </c>
      <c r="G212" s="201">
        <v>0.71823000000000004</v>
      </c>
      <c r="H212" s="201">
        <v>0.71396999999999999</v>
      </c>
      <c r="I212" s="202">
        <f t="shared" si="58"/>
        <v>4.2600000000000415E-3</v>
      </c>
      <c r="J212" s="201">
        <v>0.74097000000000002</v>
      </c>
      <c r="K212" s="199">
        <v>44110.90902777778</v>
      </c>
      <c r="L212" s="201">
        <v>0.71396999999999999</v>
      </c>
      <c r="M212" s="203">
        <f t="shared" si="59"/>
        <v>-4.3E-3</v>
      </c>
      <c r="N212" s="204">
        <f t="shared" si="60"/>
        <v>-1.01</v>
      </c>
      <c r="O212" s="205">
        <f t="shared" si="61"/>
        <v>0</v>
      </c>
      <c r="P212" s="206">
        <f t="shared" si="62"/>
        <v>0</v>
      </c>
      <c r="Q212" s="206">
        <f t="shared" si="63"/>
        <v>-1.01</v>
      </c>
      <c r="R21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266780</v>
      </c>
      <c r="T21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12" s="208">
        <f ca="1">IF(Tabla33610673[[#This Row],[Equity]]&lt;Tabla33610673[[#This Row],[Equity Peak]],(Tabla33610673[[#This Row],[Equity Peak]]-Tabla33610673[[#This Row],[Equity]])/Tabla33610673[[#This Row],[Equity Peak]],"")</f>
        <v>3.4105720492396817E-2</v>
      </c>
      <c r="V212" s="209">
        <f t="shared" si="64"/>
        <v>-1.01</v>
      </c>
      <c r="W212" s="209">
        <f t="shared" si="65"/>
        <v>0</v>
      </c>
      <c r="X212" s="209">
        <f t="shared" si="66"/>
        <v>0</v>
      </c>
      <c r="Y212" s="209">
        <f t="shared" si="67"/>
        <v>0</v>
      </c>
      <c r="Z212" s="209">
        <f t="shared" si="68"/>
        <v>0</v>
      </c>
      <c r="AA212" s="205">
        <f t="shared" si="69"/>
        <v>0</v>
      </c>
      <c r="AB212" s="209">
        <f t="shared" si="70"/>
        <v>0</v>
      </c>
      <c r="AC212" s="205">
        <f t="shared" si="71"/>
        <v>0</v>
      </c>
      <c r="AD212" s="210">
        <f t="shared" si="72"/>
        <v>1.5756944444437977</v>
      </c>
      <c r="AE212" s="210">
        <f t="shared" si="73"/>
        <v>0</v>
      </c>
      <c r="AF212" s="210">
        <f t="shared" si="74"/>
        <v>1.5756944444437977</v>
      </c>
      <c r="AG212" s="210">
        <f t="shared" si="75"/>
        <v>0</v>
      </c>
    </row>
    <row r="213" spans="2:33" ht="15" customHeight="1" x14ac:dyDescent="0.3">
      <c r="B213" s="196" t="s">
        <v>84</v>
      </c>
      <c r="C213" s="197" t="s">
        <v>15</v>
      </c>
      <c r="D213" s="198" t="str">
        <f t="shared" si="57"/>
        <v>C</v>
      </c>
      <c r="E213" s="199">
        <v>44109.833333333336</v>
      </c>
      <c r="F213" s="200" t="s">
        <v>80</v>
      </c>
      <c r="G213" s="201">
        <v>10742.54</v>
      </c>
      <c r="H213" s="201">
        <v>10487.34</v>
      </c>
      <c r="I213" s="202">
        <f t="shared" si="58"/>
        <v>255.20000000000073</v>
      </c>
      <c r="J213" s="201">
        <v>14570.5</v>
      </c>
      <c r="K213" s="199">
        <v>44110.756249999999</v>
      </c>
      <c r="L213" s="201">
        <v>10619.5</v>
      </c>
      <c r="M213" s="203">
        <f t="shared" si="59"/>
        <v>-123.04</v>
      </c>
      <c r="N213" s="204">
        <f t="shared" si="60"/>
        <v>-0.48</v>
      </c>
      <c r="O213" s="205">
        <f t="shared" si="61"/>
        <v>0</v>
      </c>
      <c r="P213" s="206">
        <f t="shared" si="62"/>
        <v>0</v>
      </c>
      <c r="Q213" s="206">
        <f t="shared" si="63"/>
        <v>-0.48</v>
      </c>
      <c r="R21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267790</v>
      </c>
      <c r="T21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13" s="208">
        <f ca="1">IF(Tabla33610673[[#This Row],[Equity]]&lt;Tabla33610673[[#This Row],[Equity Peak]],(Tabla33610673[[#This Row],[Equity Peak]]-Tabla33610673[[#This Row],[Equity]])/Tabla33610673[[#This Row],[Equity Peak]],"")</f>
        <v>3.0448950036205649E-2</v>
      </c>
      <c r="V213" s="209">
        <f t="shared" si="64"/>
        <v>0</v>
      </c>
      <c r="W213" s="209">
        <f t="shared" si="65"/>
        <v>0</v>
      </c>
      <c r="X213" s="209">
        <f t="shared" si="66"/>
        <v>0</v>
      </c>
      <c r="Y213" s="209">
        <f t="shared" si="67"/>
        <v>0</v>
      </c>
      <c r="Z213" s="209">
        <f t="shared" si="68"/>
        <v>0</v>
      </c>
      <c r="AA213" s="205">
        <f t="shared" si="69"/>
        <v>0</v>
      </c>
      <c r="AB213" s="209">
        <f t="shared" si="70"/>
        <v>-0.48</v>
      </c>
      <c r="AC213" s="205">
        <f t="shared" si="71"/>
        <v>0</v>
      </c>
      <c r="AD213" s="210">
        <f t="shared" si="72"/>
        <v>0.92291666666278616</v>
      </c>
      <c r="AE213" s="210">
        <f t="shared" si="73"/>
        <v>0</v>
      </c>
      <c r="AF213" s="210">
        <f t="shared" si="74"/>
        <v>0.92291666666278616</v>
      </c>
      <c r="AG213" s="210">
        <f t="shared" si="75"/>
        <v>0</v>
      </c>
    </row>
    <row r="214" spans="2:33" ht="15" customHeight="1" x14ac:dyDescent="0.3">
      <c r="B214" s="196" t="s">
        <v>7</v>
      </c>
      <c r="C214" s="197" t="s">
        <v>15</v>
      </c>
      <c r="D214" s="198" t="str">
        <f t="shared" si="57"/>
        <v>C</v>
      </c>
      <c r="E214" s="199">
        <v>44109.833333333336</v>
      </c>
      <c r="F214" s="200" t="s">
        <v>122</v>
      </c>
      <c r="G214" s="201">
        <v>76.001000000000005</v>
      </c>
      <c r="H214" s="201">
        <v>75.531999999999996</v>
      </c>
      <c r="I214" s="202">
        <f t="shared" si="58"/>
        <v>0.4690000000000083</v>
      </c>
      <c r="J214" s="201">
        <v>84.132000000000005</v>
      </c>
      <c r="K214" s="199">
        <v>44110.433333333334</v>
      </c>
      <c r="L214" s="201">
        <v>75.531999999999996</v>
      </c>
      <c r="M214" s="203">
        <f t="shared" si="59"/>
        <v>-0.46899999999999997</v>
      </c>
      <c r="N214" s="204">
        <f t="shared" si="60"/>
        <v>-1</v>
      </c>
      <c r="O214" s="205">
        <f t="shared" si="61"/>
        <v>0</v>
      </c>
      <c r="P214" s="206">
        <f t="shared" si="62"/>
        <v>0</v>
      </c>
      <c r="Q214" s="206">
        <f t="shared" si="63"/>
        <v>-1</v>
      </c>
      <c r="R21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268270</v>
      </c>
      <c r="T21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14" s="208">
        <f ca="1">IF(Tabla33610673[[#This Row],[Equity]]&lt;Tabla33610673[[#This Row],[Equity Peak]],(Tabla33610673[[#This Row],[Equity Peak]]-Tabla33610673[[#This Row],[Equity]])/Tabla33610673[[#This Row],[Equity Peak]],"")</f>
        <v>2.8711078928312816E-2</v>
      </c>
      <c r="V214" s="209">
        <f t="shared" si="64"/>
        <v>-1</v>
      </c>
      <c r="W214" s="209">
        <f t="shared" si="65"/>
        <v>0</v>
      </c>
      <c r="X214" s="209">
        <f t="shared" si="66"/>
        <v>0</v>
      </c>
      <c r="Y214" s="209">
        <f t="shared" si="67"/>
        <v>0</v>
      </c>
      <c r="Z214" s="209">
        <f t="shared" si="68"/>
        <v>0</v>
      </c>
      <c r="AA214" s="205">
        <f t="shared" si="69"/>
        <v>0</v>
      </c>
      <c r="AB214" s="209">
        <f t="shared" si="70"/>
        <v>0</v>
      </c>
      <c r="AC214" s="205">
        <f t="shared" si="71"/>
        <v>0</v>
      </c>
      <c r="AD214" s="210">
        <f t="shared" si="72"/>
        <v>0.59999999999854481</v>
      </c>
      <c r="AE214" s="210">
        <f t="shared" si="73"/>
        <v>0</v>
      </c>
      <c r="AF214" s="210">
        <f t="shared" si="74"/>
        <v>0.59999999999854481</v>
      </c>
      <c r="AG214" s="210">
        <f t="shared" si="75"/>
        <v>0</v>
      </c>
    </row>
    <row r="215" spans="2:33" ht="15" customHeight="1" x14ac:dyDescent="0.3">
      <c r="B215" s="196" t="s">
        <v>7</v>
      </c>
      <c r="C215" s="197" t="s">
        <v>13</v>
      </c>
      <c r="D215" s="198" t="str">
        <f t="shared" si="57"/>
        <v>C</v>
      </c>
      <c r="E215" s="199">
        <v>44109.017361111109</v>
      </c>
      <c r="F215" s="200" t="s">
        <v>113</v>
      </c>
      <c r="G215" s="201">
        <v>105.27800000000001</v>
      </c>
      <c r="H215" s="201">
        <v>105.925</v>
      </c>
      <c r="I215" s="202">
        <f t="shared" si="58"/>
        <v>0.64699999999999136</v>
      </c>
      <c r="J215" s="201">
        <v>102.26</v>
      </c>
      <c r="K215" s="199">
        <v>44109.167361111111</v>
      </c>
      <c r="L215" s="201">
        <v>105.596</v>
      </c>
      <c r="M215" s="203">
        <f t="shared" si="59"/>
        <v>-0.318</v>
      </c>
      <c r="N215" s="204">
        <f t="shared" si="60"/>
        <v>-0.49</v>
      </c>
      <c r="O215" s="205">
        <f t="shared" si="61"/>
        <v>0</v>
      </c>
      <c r="P215" s="206">
        <f t="shared" si="62"/>
        <v>0</v>
      </c>
      <c r="Q215" s="206">
        <f t="shared" si="63"/>
        <v>-0.49</v>
      </c>
      <c r="R21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269270</v>
      </c>
      <c r="T21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15" s="208">
        <f ca="1">IF(Tabla33610673[[#This Row],[Equity]]&lt;Tabla33610673[[#This Row],[Equity Peak]],(Tabla33610673[[#This Row],[Equity Peak]]-Tabla33610673[[#This Row],[Equity]])/Tabla33610673[[#This Row],[Equity Peak]],"")</f>
        <v>2.5090514120202752E-2</v>
      </c>
      <c r="V215" s="209">
        <f t="shared" si="64"/>
        <v>-0.49</v>
      </c>
      <c r="W215" s="209">
        <f t="shared" si="65"/>
        <v>0</v>
      </c>
      <c r="X215" s="209">
        <f t="shared" si="66"/>
        <v>0</v>
      </c>
      <c r="Y215" s="209">
        <f t="shared" si="67"/>
        <v>0</v>
      </c>
      <c r="Z215" s="209">
        <f t="shared" si="68"/>
        <v>0</v>
      </c>
      <c r="AA215" s="205">
        <f t="shared" si="69"/>
        <v>0</v>
      </c>
      <c r="AB215" s="209">
        <f t="shared" si="70"/>
        <v>0</v>
      </c>
      <c r="AC215" s="205">
        <f t="shared" si="71"/>
        <v>0</v>
      </c>
      <c r="AD215" s="210">
        <f t="shared" si="72"/>
        <v>0.15000000000145519</v>
      </c>
      <c r="AE215" s="210">
        <f t="shared" si="73"/>
        <v>0</v>
      </c>
      <c r="AF215" s="210">
        <f t="shared" si="74"/>
        <v>0.15000000000145519</v>
      </c>
      <c r="AG215" s="210">
        <f t="shared" si="75"/>
        <v>0</v>
      </c>
    </row>
    <row r="216" spans="2:33" ht="15" customHeight="1" x14ac:dyDescent="0.3">
      <c r="B216" s="196" t="s">
        <v>84</v>
      </c>
      <c r="C216" s="197" t="s">
        <v>13</v>
      </c>
      <c r="D216" s="198" t="str">
        <f t="shared" si="57"/>
        <v>C</v>
      </c>
      <c r="E216" s="199">
        <v>44106.017361111109</v>
      </c>
      <c r="F216" s="200" t="s">
        <v>80</v>
      </c>
      <c r="G216" s="201">
        <v>10591.15</v>
      </c>
      <c r="H216" s="201">
        <v>10855.16</v>
      </c>
      <c r="I216" s="202">
        <f t="shared" si="58"/>
        <v>264.01000000000022</v>
      </c>
      <c r="J216" s="201">
        <v>6631</v>
      </c>
      <c r="K216" s="199">
        <v>44109</v>
      </c>
      <c r="L216" s="201">
        <v>10631.2</v>
      </c>
      <c r="M216" s="203">
        <f t="shared" si="59"/>
        <v>-40.049999999999997</v>
      </c>
      <c r="N216" s="204">
        <f t="shared" si="60"/>
        <v>-0.15</v>
      </c>
      <c r="O216" s="205">
        <f t="shared" si="61"/>
        <v>0</v>
      </c>
      <c r="P216" s="206">
        <f t="shared" si="62"/>
        <v>0</v>
      </c>
      <c r="Q216" s="206">
        <f t="shared" si="63"/>
        <v>-0.15</v>
      </c>
      <c r="R21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269760</v>
      </c>
      <c r="T21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16" s="208">
        <f ca="1">IF(Tabla33610673[[#This Row],[Equity]]&lt;Tabla33610673[[#This Row],[Equity Peak]],(Tabla33610673[[#This Row],[Equity Peak]]-Tabla33610673[[#This Row],[Equity]])/Tabla33610673[[#This Row],[Equity Peak]],"")</f>
        <v>2.331643736422882E-2</v>
      </c>
      <c r="V216" s="209">
        <f t="shared" si="64"/>
        <v>0</v>
      </c>
      <c r="W216" s="209">
        <f t="shared" si="65"/>
        <v>0</v>
      </c>
      <c r="X216" s="209">
        <f t="shared" si="66"/>
        <v>0</v>
      </c>
      <c r="Y216" s="209">
        <f t="shared" si="67"/>
        <v>0</v>
      </c>
      <c r="Z216" s="209">
        <f t="shared" si="68"/>
        <v>0</v>
      </c>
      <c r="AA216" s="205">
        <f t="shared" si="69"/>
        <v>0</v>
      </c>
      <c r="AB216" s="209">
        <f t="shared" si="70"/>
        <v>-0.15</v>
      </c>
      <c r="AC216" s="205">
        <f t="shared" si="71"/>
        <v>0</v>
      </c>
      <c r="AD216" s="210">
        <f t="shared" si="72"/>
        <v>2.9826388888905058</v>
      </c>
      <c r="AE216" s="210">
        <f t="shared" si="73"/>
        <v>0</v>
      </c>
      <c r="AF216" s="210">
        <f t="shared" si="74"/>
        <v>2.9826388888905058</v>
      </c>
      <c r="AG216" s="210">
        <f t="shared" si="75"/>
        <v>0</v>
      </c>
    </row>
    <row r="217" spans="2:33" ht="15" customHeight="1" x14ac:dyDescent="0.3">
      <c r="B217" s="196" t="s">
        <v>5</v>
      </c>
      <c r="C217" s="197" t="s">
        <v>15</v>
      </c>
      <c r="D217" s="198" t="str">
        <f t="shared" si="57"/>
        <v>C</v>
      </c>
      <c r="E217" s="199">
        <v>44105.5</v>
      </c>
      <c r="F217" s="200" t="s">
        <v>93</v>
      </c>
      <c r="G217" s="201">
        <v>3379.5</v>
      </c>
      <c r="H217" s="201">
        <v>3336.61</v>
      </c>
      <c r="I217" s="202">
        <f t="shared" si="58"/>
        <v>42.889999999999873</v>
      </c>
      <c r="J217" s="201">
        <v>3493.88</v>
      </c>
      <c r="K217" s="199">
        <v>44106.337500000001</v>
      </c>
      <c r="L217" s="201">
        <v>3336.61</v>
      </c>
      <c r="M217" s="203">
        <f t="shared" si="59"/>
        <v>-42.89</v>
      </c>
      <c r="N217" s="204">
        <f t="shared" si="60"/>
        <v>-1</v>
      </c>
      <c r="O217" s="205">
        <f t="shared" si="61"/>
        <v>0</v>
      </c>
      <c r="P217" s="206">
        <f t="shared" si="62"/>
        <v>0</v>
      </c>
      <c r="Q217" s="206">
        <f t="shared" si="63"/>
        <v>-1</v>
      </c>
      <c r="R2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269910</v>
      </c>
      <c r="T2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17" s="208">
        <f ca="1">IF(Tabla33610673[[#This Row],[Equity]]&lt;Tabla33610673[[#This Row],[Equity Peak]],(Tabla33610673[[#This Row],[Equity Peak]]-Tabla33610673[[#This Row],[Equity]])/Tabla33610673[[#This Row],[Equity Peak]],"")</f>
        <v>2.277335264301231E-2</v>
      </c>
      <c r="V217" s="209">
        <f t="shared" si="64"/>
        <v>0</v>
      </c>
      <c r="W217" s="209">
        <f t="shared" si="65"/>
        <v>0</v>
      </c>
      <c r="X217" s="209">
        <f t="shared" si="66"/>
        <v>0</v>
      </c>
      <c r="Y217" s="209">
        <f t="shared" si="67"/>
        <v>0</v>
      </c>
      <c r="Z217" s="209">
        <f t="shared" si="68"/>
        <v>-1</v>
      </c>
      <c r="AA217" s="205">
        <f t="shared" si="69"/>
        <v>0</v>
      </c>
      <c r="AB217" s="209">
        <f t="shared" si="70"/>
        <v>0</v>
      </c>
      <c r="AC217" s="205">
        <f t="shared" si="71"/>
        <v>0</v>
      </c>
      <c r="AD217" s="210">
        <f t="shared" si="72"/>
        <v>0.83750000000145519</v>
      </c>
      <c r="AE217" s="210">
        <f t="shared" si="73"/>
        <v>0</v>
      </c>
      <c r="AF217" s="210">
        <f t="shared" si="74"/>
        <v>0.83750000000145519</v>
      </c>
      <c r="AG217" s="210">
        <f t="shared" si="75"/>
        <v>0</v>
      </c>
    </row>
    <row r="218" spans="2:33" ht="15" customHeight="1" x14ac:dyDescent="0.3">
      <c r="B218" s="196" t="s">
        <v>5</v>
      </c>
      <c r="C218" s="197" t="s">
        <v>15</v>
      </c>
      <c r="D218" s="198" t="str">
        <f t="shared" si="57"/>
        <v>C</v>
      </c>
      <c r="E218" s="199">
        <v>44104.833333333336</v>
      </c>
      <c r="F218" s="200" t="s">
        <v>93</v>
      </c>
      <c r="G218" s="201">
        <v>3382.22</v>
      </c>
      <c r="H218" s="201">
        <v>3343.9</v>
      </c>
      <c r="I218" s="202">
        <f t="shared" si="58"/>
        <v>38.319999999999709</v>
      </c>
      <c r="J218" s="201">
        <v>3484.42</v>
      </c>
      <c r="K218" s="199">
        <v>44104.933333333334</v>
      </c>
      <c r="L218" s="201">
        <v>3343.9</v>
      </c>
      <c r="M218" s="203">
        <f t="shared" si="59"/>
        <v>-38.32</v>
      </c>
      <c r="N218" s="204">
        <f t="shared" si="60"/>
        <v>-1</v>
      </c>
      <c r="O218" s="205">
        <f t="shared" si="61"/>
        <v>0</v>
      </c>
      <c r="P218" s="206">
        <f t="shared" si="62"/>
        <v>0</v>
      </c>
      <c r="Q218" s="206">
        <f t="shared" si="63"/>
        <v>-1</v>
      </c>
      <c r="R2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270910</v>
      </c>
      <c r="T2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18" s="208">
        <f ca="1">IF(Tabla33610673[[#This Row],[Equity]]&lt;Tabla33610673[[#This Row],[Equity Peak]],(Tabla33610673[[#This Row],[Equity Peak]]-Tabla33610673[[#This Row],[Equity]])/Tabla33610673[[#This Row],[Equity Peak]],"")</f>
        <v>1.9152787834902246E-2</v>
      </c>
      <c r="V218" s="209">
        <f t="shared" si="64"/>
        <v>0</v>
      </c>
      <c r="W218" s="209">
        <f t="shared" si="65"/>
        <v>0</v>
      </c>
      <c r="X218" s="209">
        <f t="shared" si="66"/>
        <v>0</v>
      </c>
      <c r="Y218" s="209">
        <f t="shared" si="67"/>
        <v>0</v>
      </c>
      <c r="Z218" s="209">
        <f t="shared" si="68"/>
        <v>-1</v>
      </c>
      <c r="AA218" s="205">
        <f t="shared" si="69"/>
        <v>0</v>
      </c>
      <c r="AB218" s="209">
        <f t="shared" si="70"/>
        <v>0</v>
      </c>
      <c r="AC218" s="205">
        <f t="shared" si="71"/>
        <v>0</v>
      </c>
      <c r="AD218" s="210">
        <f t="shared" si="72"/>
        <v>9.9999999998544808E-2</v>
      </c>
      <c r="AE218" s="210">
        <f t="shared" si="73"/>
        <v>0</v>
      </c>
      <c r="AF218" s="210">
        <f t="shared" si="74"/>
        <v>9.9999999998544808E-2</v>
      </c>
      <c r="AG218" s="210">
        <f t="shared" si="75"/>
        <v>0</v>
      </c>
    </row>
    <row r="219" spans="2:33" ht="15" customHeight="1" x14ac:dyDescent="0.3">
      <c r="B219" s="196" t="s">
        <v>5</v>
      </c>
      <c r="C219" s="197" t="s">
        <v>15</v>
      </c>
      <c r="D219" s="198" t="str">
        <f t="shared" si="57"/>
        <v>C</v>
      </c>
      <c r="E219" s="199">
        <v>44104.833333333336</v>
      </c>
      <c r="F219" s="200" t="s">
        <v>95</v>
      </c>
      <c r="G219" s="201">
        <v>27947.5</v>
      </c>
      <c r="H219" s="201">
        <v>27667.63</v>
      </c>
      <c r="I219" s="202">
        <f t="shared" si="58"/>
        <v>279.86999999999898</v>
      </c>
      <c r="J219" s="201">
        <v>29066.97</v>
      </c>
      <c r="K219" s="199">
        <v>44104.927083333336</v>
      </c>
      <c r="L219" s="201">
        <v>27667.63</v>
      </c>
      <c r="M219" s="203">
        <f t="shared" si="59"/>
        <v>-279.87</v>
      </c>
      <c r="N219" s="204">
        <f t="shared" si="60"/>
        <v>-1</v>
      </c>
      <c r="O219" s="205">
        <f t="shared" si="61"/>
        <v>0</v>
      </c>
      <c r="P219" s="206">
        <f t="shared" si="62"/>
        <v>0</v>
      </c>
      <c r="Q219" s="206">
        <f t="shared" si="63"/>
        <v>-1</v>
      </c>
      <c r="R2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271910</v>
      </c>
      <c r="T2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19" s="208">
        <f ca="1">IF(Tabla33610673[[#This Row],[Equity]]&lt;Tabla33610673[[#This Row],[Equity Peak]],(Tabla33610673[[#This Row],[Equity Peak]]-Tabla33610673[[#This Row],[Equity]])/Tabla33610673[[#This Row],[Equity Peak]],"")</f>
        <v>1.5532223026792179E-2</v>
      </c>
      <c r="V219" s="209">
        <f t="shared" si="64"/>
        <v>0</v>
      </c>
      <c r="W219" s="209">
        <f t="shared" si="65"/>
        <v>0</v>
      </c>
      <c r="X219" s="209">
        <f t="shared" si="66"/>
        <v>0</v>
      </c>
      <c r="Y219" s="209">
        <f t="shared" si="67"/>
        <v>0</v>
      </c>
      <c r="Z219" s="209">
        <f t="shared" si="68"/>
        <v>-1</v>
      </c>
      <c r="AA219" s="205">
        <f t="shared" si="69"/>
        <v>0</v>
      </c>
      <c r="AB219" s="209">
        <f t="shared" si="70"/>
        <v>0</v>
      </c>
      <c r="AC219" s="205">
        <f t="shared" si="71"/>
        <v>0</v>
      </c>
      <c r="AD219" s="210">
        <f t="shared" si="72"/>
        <v>9.375E-2</v>
      </c>
      <c r="AE219" s="210">
        <f t="shared" si="73"/>
        <v>0</v>
      </c>
      <c r="AF219" s="210">
        <f t="shared" si="74"/>
        <v>9.375E-2</v>
      </c>
      <c r="AG219" s="210">
        <f t="shared" si="75"/>
        <v>0</v>
      </c>
    </row>
    <row r="220" spans="2:33" ht="15" customHeight="1" x14ac:dyDescent="0.3">
      <c r="B220" s="196" t="s">
        <v>19</v>
      </c>
      <c r="C220" s="197" t="s">
        <v>13</v>
      </c>
      <c r="D220" s="198" t="str">
        <f t="shared" si="57"/>
        <v>C</v>
      </c>
      <c r="E220" s="199">
        <v>44104.125</v>
      </c>
      <c r="F220" s="200" t="s">
        <v>108</v>
      </c>
      <c r="G220" s="201">
        <v>39.180999999999997</v>
      </c>
      <c r="H220" s="201">
        <v>40.424999999999997</v>
      </c>
      <c r="I220" s="202">
        <f t="shared" si="58"/>
        <v>1.2439999999999998</v>
      </c>
      <c r="J220" s="201">
        <v>24.251999999999999</v>
      </c>
      <c r="K220" s="199">
        <v>44104.73541666667</v>
      </c>
      <c r="L220" s="201">
        <v>39.741</v>
      </c>
      <c r="M220" s="203">
        <f t="shared" si="59"/>
        <v>-0.56000000000000005</v>
      </c>
      <c r="N220" s="204">
        <f t="shared" si="60"/>
        <v>-0.45</v>
      </c>
      <c r="O220" s="205">
        <f t="shared" si="61"/>
        <v>0</v>
      </c>
      <c r="P220" s="206">
        <f t="shared" si="62"/>
        <v>0</v>
      </c>
      <c r="Q220" s="206">
        <f t="shared" si="63"/>
        <v>-0.45</v>
      </c>
      <c r="R2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272910</v>
      </c>
      <c r="T2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20" s="208">
        <f ca="1">IF(Tabla33610673[[#This Row],[Equity]]&lt;Tabla33610673[[#This Row],[Equity Peak]],(Tabla33610673[[#This Row],[Equity Peak]]-Tabla33610673[[#This Row],[Equity]])/Tabla33610673[[#This Row],[Equity Peak]],"")</f>
        <v>1.1911658218682114E-2</v>
      </c>
      <c r="V220" s="209">
        <f t="shared" si="64"/>
        <v>0</v>
      </c>
      <c r="W220" s="209">
        <f t="shared" si="65"/>
        <v>0</v>
      </c>
      <c r="X220" s="209">
        <f t="shared" si="66"/>
        <v>-0.45</v>
      </c>
      <c r="Y220" s="209">
        <f t="shared" si="67"/>
        <v>0</v>
      </c>
      <c r="Z220" s="209">
        <f t="shared" si="68"/>
        <v>0</v>
      </c>
      <c r="AA220" s="205">
        <f t="shared" si="69"/>
        <v>0</v>
      </c>
      <c r="AB220" s="209">
        <f t="shared" si="70"/>
        <v>0</v>
      </c>
      <c r="AC220" s="205">
        <f t="shared" si="71"/>
        <v>0</v>
      </c>
      <c r="AD220" s="210">
        <f t="shared" si="72"/>
        <v>0.61041666667006211</v>
      </c>
      <c r="AE220" s="210">
        <f t="shared" si="73"/>
        <v>0</v>
      </c>
      <c r="AF220" s="210">
        <f t="shared" si="74"/>
        <v>0.61041666667006211</v>
      </c>
      <c r="AG220" s="210">
        <f t="shared" si="75"/>
        <v>0</v>
      </c>
    </row>
    <row r="221" spans="2:33" ht="15" customHeight="1" x14ac:dyDescent="0.3">
      <c r="B221" s="196" t="s">
        <v>7</v>
      </c>
      <c r="C221" s="197" t="s">
        <v>15</v>
      </c>
      <c r="D221" s="198" t="str">
        <f t="shared" si="57"/>
        <v>C</v>
      </c>
      <c r="E221" s="199">
        <v>44104.166666666664</v>
      </c>
      <c r="F221" s="200" t="s">
        <v>119</v>
      </c>
      <c r="G221" s="201">
        <v>0.91342999999999996</v>
      </c>
      <c r="H221" s="201">
        <v>0.90903</v>
      </c>
      <c r="I221" s="202">
        <f t="shared" si="58"/>
        <v>4.3999999999999595E-3</v>
      </c>
      <c r="J221" s="201">
        <v>0.92515000000000003</v>
      </c>
      <c r="K221" s="199">
        <v>44104.714583333334</v>
      </c>
      <c r="L221" s="201">
        <v>0.90903</v>
      </c>
      <c r="M221" s="203">
        <f t="shared" si="59"/>
        <v>-4.4000000000000003E-3</v>
      </c>
      <c r="N221" s="204">
        <f t="shared" si="60"/>
        <v>-1</v>
      </c>
      <c r="O221" s="205">
        <f t="shared" si="61"/>
        <v>0</v>
      </c>
      <c r="P221" s="206">
        <f t="shared" si="62"/>
        <v>0</v>
      </c>
      <c r="Q221" s="206">
        <f t="shared" si="63"/>
        <v>-1</v>
      </c>
      <c r="R2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273360</v>
      </c>
      <c r="T2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21" s="208">
        <f ca="1">IF(Tabla33610673[[#This Row],[Equity]]&lt;Tabla33610673[[#This Row],[Equity Peak]],(Tabla33610673[[#This Row],[Equity Peak]]-Tabla33610673[[#This Row],[Equity]])/Tabla33610673[[#This Row],[Equity Peak]],"")</f>
        <v>1.0282404055032585E-2</v>
      </c>
      <c r="V221" s="209">
        <f t="shared" si="64"/>
        <v>-1</v>
      </c>
      <c r="W221" s="209">
        <f t="shared" si="65"/>
        <v>0</v>
      </c>
      <c r="X221" s="209">
        <f t="shared" si="66"/>
        <v>0</v>
      </c>
      <c r="Y221" s="209">
        <f t="shared" si="67"/>
        <v>0</v>
      </c>
      <c r="Z221" s="209">
        <f t="shared" si="68"/>
        <v>0</v>
      </c>
      <c r="AA221" s="205">
        <f t="shared" si="69"/>
        <v>0</v>
      </c>
      <c r="AB221" s="209">
        <f t="shared" si="70"/>
        <v>0</v>
      </c>
      <c r="AC221" s="205">
        <f t="shared" si="71"/>
        <v>0</v>
      </c>
      <c r="AD221" s="210">
        <f t="shared" si="72"/>
        <v>0.54791666667006211</v>
      </c>
      <c r="AE221" s="210">
        <f t="shared" si="73"/>
        <v>0</v>
      </c>
      <c r="AF221" s="210">
        <f t="shared" si="74"/>
        <v>0.54791666667006211</v>
      </c>
      <c r="AG221" s="210">
        <f t="shared" si="75"/>
        <v>0</v>
      </c>
    </row>
    <row r="222" spans="2:33" ht="15" customHeight="1" x14ac:dyDescent="0.3">
      <c r="B222" s="196" t="s">
        <v>5</v>
      </c>
      <c r="C222" s="197" t="s">
        <v>13</v>
      </c>
      <c r="D222" s="198" t="str">
        <f t="shared" si="57"/>
        <v>C</v>
      </c>
      <c r="E222" s="199">
        <v>44103.666666666664</v>
      </c>
      <c r="F222" s="200" t="s">
        <v>94</v>
      </c>
      <c r="G222" s="201">
        <v>5906.82</v>
      </c>
      <c r="H222" s="201">
        <v>5989.08</v>
      </c>
      <c r="I222" s="202">
        <f t="shared" si="58"/>
        <v>82.260000000000218</v>
      </c>
      <c r="J222" s="201">
        <v>5495.53</v>
      </c>
      <c r="K222" s="199">
        <v>44104.439583333333</v>
      </c>
      <c r="L222" s="201">
        <v>5932.08</v>
      </c>
      <c r="M222" s="203">
        <f t="shared" si="59"/>
        <v>-25.26</v>
      </c>
      <c r="N222" s="204">
        <f t="shared" si="60"/>
        <v>-0.31</v>
      </c>
      <c r="O222" s="205">
        <f t="shared" si="61"/>
        <v>0</v>
      </c>
      <c r="P222" s="206">
        <f t="shared" si="62"/>
        <v>0</v>
      </c>
      <c r="Q222" s="206">
        <f t="shared" si="63"/>
        <v>-0.31</v>
      </c>
      <c r="R2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274360</v>
      </c>
      <c r="T2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22" s="208">
        <f ca="1">IF(Tabla33610673[[#This Row],[Equity]]&lt;Tabla33610673[[#This Row],[Equity Peak]],(Tabla33610673[[#This Row],[Equity Peak]]-Tabla33610673[[#This Row],[Equity]])/Tabla33610673[[#This Row],[Equity Peak]],"")</f>
        <v>6.6618392469225199E-3</v>
      </c>
      <c r="V222" s="209">
        <f t="shared" si="64"/>
        <v>0</v>
      </c>
      <c r="W222" s="209">
        <f t="shared" si="65"/>
        <v>0</v>
      </c>
      <c r="X222" s="209">
        <f t="shared" si="66"/>
        <v>0</v>
      </c>
      <c r="Y222" s="209">
        <f t="shared" si="67"/>
        <v>0</v>
      </c>
      <c r="Z222" s="209">
        <f t="shared" si="68"/>
        <v>-0.31</v>
      </c>
      <c r="AA222" s="205">
        <f t="shared" si="69"/>
        <v>0</v>
      </c>
      <c r="AB222" s="209">
        <f t="shared" si="70"/>
        <v>0</v>
      </c>
      <c r="AC222" s="205">
        <f t="shared" si="71"/>
        <v>0</v>
      </c>
      <c r="AD222" s="210">
        <f t="shared" si="72"/>
        <v>0.77291666666860692</v>
      </c>
      <c r="AE222" s="210">
        <f t="shared" si="73"/>
        <v>0</v>
      </c>
      <c r="AF222" s="210">
        <f t="shared" si="74"/>
        <v>0.77291666666860692</v>
      </c>
      <c r="AG222" s="210">
        <f t="shared" si="75"/>
        <v>0</v>
      </c>
    </row>
    <row r="223" spans="2:33" ht="15" customHeight="1" x14ac:dyDescent="0.3">
      <c r="B223" s="196" t="s">
        <v>5</v>
      </c>
      <c r="C223" s="197" t="s">
        <v>15</v>
      </c>
      <c r="D223" s="198" t="str">
        <f t="shared" si="57"/>
        <v>C</v>
      </c>
      <c r="E223" s="199">
        <v>44103.333333333336</v>
      </c>
      <c r="F223" s="200" t="s">
        <v>95</v>
      </c>
      <c r="G223" s="201">
        <v>27731.200000000001</v>
      </c>
      <c r="H223" s="201">
        <v>27453.13</v>
      </c>
      <c r="I223" s="202">
        <f t="shared" si="58"/>
        <v>278.06999999999971</v>
      </c>
      <c r="J223" s="201">
        <v>28843.48</v>
      </c>
      <c r="K223" s="199">
        <v>44103.744444444441</v>
      </c>
      <c r="L223" s="201">
        <v>27453.13</v>
      </c>
      <c r="M223" s="203">
        <f t="shared" si="59"/>
        <v>-278.07</v>
      </c>
      <c r="N223" s="204">
        <f t="shared" si="60"/>
        <v>-1</v>
      </c>
      <c r="O223" s="205">
        <f t="shared" si="61"/>
        <v>0</v>
      </c>
      <c r="P223" s="206">
        <f t="shared" si="62"/>
        <v>0</v>
      </c>
      <c r="Q223" s="206">
        <f t="shared" si="63"/>
        <v>-1</v>
      </c>
      <c r="R2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274670</v>
      </c>
      <c r="T2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23" s="208">
        <f ca="1">IF(Tabla33610673[[#This Row],[Equity]]&lt;Tabla33610673[[#This Row],[Equity Peak]],(Tabla33610673[[#This Row],[Equity Peak]]-Tabla33610673[[#This Row],[Equity]])/Tabla33610673[[#This Row],[Equity Peak]],"")</f>
        <v>5.5394641564084001E-3</v>
      </c>
      <c r="V223" s="209">
        <f t="shared" si="64"/>
        <v>0</v>
      </c>
      <c r="W223" s="209">
        <f t="shared" si="65"/>
        <v>0</v>
      </c>
      <c r="X223" s="209">
        <f t="shared" si="66"/>
        <v>0</v>
      </c>
      <c r="Y223" s="209">
        <f t="shared" si="67"/>
        <v>0</v>
      </c>
      <c r="Z223" s="209">
        <f t="shared" si="68"/>
        <v>-1</v>
      </c>
      <c r="AA223" s="205">
        <f t="shared" si="69"/>
        <v>0</v>
      </c>
      <c r="AB223" s="209">
        <f t="shared" si="70"/>
        <v>0</v>
      </c>
      <c r="AC223" s="205">
        <f t="shared" si="71"/>
        <v>0</v>
      </c>
      <c r="AD223" s="210">
        <f t="shared" si="72"/>
        <v>0.41111111110512866</v>
      </c>
      <c r="AE223" s="210">
        <f t="shared" si="73"/>
        <v>0</v>
      </c>
      <c r="AF223" s="210">
        <f t="shared" si="74"/>
        <v>0.41111111110512866</v>
      </c>
      <c r="AG223" s="210">
        <f t="shared" si="75"/>
        <v>0</v>
      </c>
    </row>
    <row r="224" spans="2:33" ht="15" customHeight="1" x14ac:dyDescent="0.3">
      <c r="B224" s="196" t="s">
        <v>5</v>
      </c>
      <c r="C224" s="197" t="s">
        <v>15</v>
      </c>
      <c r="D224" s="198" t="str">
        <f t="shared" si="57"/>
        <v>C</v>
      </c>
      <c r="E224" s="199">
        <v>44103.017361111109</v>
      </c>
      <c r="F224" s="200" t="s">
        <v>94</v>
      </c>
      <c r="G224" s="201">
        <v>5946.1</v>
      </c>
      <c r="H224" s="201">
        <v>5867.62</v>
      </c>
      <c r="I224" s="202">
        <f t="shared" si="58"/>
        <v>78.480000000000473</v>
      </c>
      <c r="J224" s="201">
        <v>6338.51</v>
      </c>
      <c r="K224" s="199">
        <v>44103.42291666667</v>
      </c>
      <c r="L224" s="201">
        <v>5904.82</v>
      </c>
      <c r="M224" s="203">
        <f t="shared" si="59"/>
        <v>-41.28</v>
      </c>
      <c r="N224" s="204">
        <f t="shared" si="60"/>
        <v>-0.53</v>
      </c>
      <c r="O224" s="205">
        <f t="shared" si="61"/>
        <v>0</v>
      </c>
      <c r="P224" s="206">
        <f t="shared" si="62"/>
        <v>0</v>
      </c>
      <c r="Q224" s="206">
        <f t="shared" si="63"/>
        <v>-0.53</v>
      </c>
      <c r="R2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275670</v>
      </c>
      <c r="T2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24" s="208">
        <f ca="1">IF(Tabla33610673[[#This Row],[Equity]]&lt;Tabla33610673[[#This Row],[Equity Peak]],(Tabla33610673[[#This Row],[Equity Peak]]-Tabla33610673[[#This Row],[Equity]])/Tabla33610673[[#This Row],[Equity Peak]],"")</f>
        <v>1.9188993482983346E-3</v>
      </c>
      <c r="V224" s="209">
        <f t="shared" si="64"/>
        <v>0</v>
      </c>
      <c r="W224" s="209">
        <f t="shared" si="65"/>
        <v>0</v>
      </c>
      <c r="X224" s="209">
        <f t="shared" si="66"/>
        <v>0</v>
      </c>
      <c r="Y224" s="209">
        <f t="shared" si="67"/>
        <v>0</v>
      </c>
      <c r="Z224" s="209">
        <f t="shared" si="68"/>
        <v>-0.53</v>
      </c>
      <c r="AA224" s="205">
        <f t="shared" si="69"/>
        <v>0</v>
      </c>
      <c r="AB224" s="209">
        <f t="shared" si="70"/>
        <v>0</v>
      </c>
      <c r="AC224" s="205">
        <f t="shared" si="71"/>
        <v>0</v>
      </c>
      <c r="AD224" s="210">
        <f t="shared" si="72"/>
        <v>0.40555555556056788</v>
      </c>
      <c r="AE224" s="210">
        <f t="shared" si="73"/>
        <v>0</v>
      </c>
      <c r="AF224" s="210">
        <f t="shared" si="74"/>
        <v>0.40555555556056788</v>
      </c>
      <c r="AG224" s="210">
        <f t="shared" si="75"/>
        <v>0</v>
      </c>
    </row>
    <row r="225" spans="2:33" ht="15" customHeight="1" x14ac:dyDescent="0.3">
      <c r="B225" s="196" t="s">
        <v>7</v>
      </c>
      <c r="C225" s="197" t="s">
        <v>13</v>
      </c>
      <c r="D225" s="198" t="str">
        <f t="shared" si="57"/>
        <v>C</v>
      </c>
      <c r="E225" s="199">
        <v>44090.666666666664</v>
      </c>
      <c r="F225" s="200" t="s">
        <v>122</v>
      </c>
      <c r="G225" s="201">
        <v>76.849000000000004</v>
      </c>
      <c r="H225" s="201">
        <v>77.260000000000005</v>
      </c>
      <c r="I225" s="202">
        <f t="shared" si="58"/>
        <v>0.41100000000000136</v>
      </c>
      <c r="J225" s="201">
        <v>69.731999999999999</v>
      </c>
      <c r="K225" s="199">
        <v>44103.381249999999</v>
      </c>
      <c r="L225" s="201">
        <v>74.863</v>
      </c>
      <c r="M225" s="203">
        <f t="shared" si="59"/>
        <v>1.986</v>
      </c>
      <c r="N225" s="204">
        <f t="shared" si="60"/>
        <v>4.83</v>
      </c>
      <c r="O225" s="205">
        <f t="shared" si="61"/>
        <v>0</v>
      </c>
      <c r="P225" s="206">
        <f t="shared" si="62"/>
        <v>4.83</v>
      </c>
      <c r="Q225" s="206">
        <f t="shared" si="63"/>
        <v>0</v>
      </c>
      <c r="R2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276200</v>
      </c>
      <c r="T2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276200</v>
      </c>
      <c r="U22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25" s="209">
        <f t="shared" si="64"/>
        <v>4.83</v>
      </c>
      <c r="W225" s="209">
        <f t="shared" si="65"/>
        <v>0</v>
      </c>
      <c r="X225" s="209">
        <f t="shared" si="66"/>
        <v>0</v>
      </c>
      <c r="Y225" s="209">
        <f t="shared" si="67"/>
        <v>0</v>
      </c>
      <c r="Z225" s="209">
        <f t="shared" si="68"/>
        <v>0</v>
      </c>
      <c r="AA225" s="205">
        <f t="shared" si="69"/>
        <v>0</v>
      </c>
      <c r="AB225" s="209">
        <f t="shared" si="70"/>
        <v>0</v>
      </c>
      <c r="AC225" s="205">
        <f t="shared" si="71"/>
        <v>0</v>
      </c>
      <c r="AD225" s="210">
        <f t="shared" si="72"/>
        <v>12.714583333334303</v>
      </c>
      <c r="AE225" s="210">
        <f t="shared" si="73"/>
        <v>12.714583333334303</v>
      </c>
      <c r="AF225" s="210">
        <f t="shared" si="74"/>
        <v>0</v>
      </c>
      <c r="AG225" s="210">
        <f t="shared" si="75"/>
        <v>0</v>
      </c>
    </row>
    <row r="226" spans="2:33" ht="15" customHeight="1" x14ac:dyDescent="0.3">
      <c r="B226" s="196" t="s">
        <v>84</v>
      </c>
      <c r="C226" s="197" t="s">
        <v>15</v>
      </c>
      <c r="D226" s="198" t="str">
        <f t="shared" si="57"/>
        <v>C</v>
      </c>
      <c r="E226" s="199">
        <v>44099.833333333336</v>
      </c>
      <c r="F226" s="200" t="s">
        <v>80</v>
      </c>
      <c r="G226" s="201">
        <v>10651.03</v>
      </c>
      <c r="H226" s="201">
        <v>10369.4</v>
      </c>
      <c r="I226" s="202">
        <f t="shared" si="58"/>
        <v>281.63000000000102</v>
      </c>
      <c r="J226" s="201">
        <v>14875.46</v>
      </c>
      <c r="K226" s="199">
        <v>44103.119444444441</v>
      </c>
      <c r="L226" s="201">
        <v>10647.88</v>
      </c>
      <c r="M226" s="203">
        <f t="shared" si="59"/>
        <v>-3.15</v>
      </c>
      <c r="N226" s="204">
        <f t="shared" si="60"/>
        <v>-0.01</v>
      </c>
      <c r="O226" s="205">
        <f t="shared" si="61"/>
        <v>0</v>
      </c>
      <c r="P226" s="206">
        <f t="shared" si="62"/>
        <v>0</v>
      </c>
      <c r="Q226" s="206">
        <f t="shared" si="63"/>
        <v>-0.01</v>
      </c>
      <c r="R2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271370</v>
      </c>
      <c r="T2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271380</v>
      </c>
      <c r="U226" s="208">
        <f ca="1">IF(Tabla33610673[[#This Row],[Equity]]&lt;Tabla33610673[[#This Row],[Equity Peak]],(Tabla33610673[[#This Row],[Equity Peak]]-Tabla33610673[[#This Row],[Equity]])/Tabla33610673[[#This Row],[Equity Peak]],"")</f>
        <v>3.6848699240916793E-5</v>
      </c>
      <c r="V226" s="209">
        <f t="shared" si="64"/>
        <v>0</v>
      </c>
      <c r="W226" s="209">
        <f t="shared" si="65"/>
        <v>0</v>
      </c>
      <c r="X226" s="209">
        <f t="shared" si="66"/>
        <v>0</v>
      </c>
      <c r="Y226" s="209">
        <f t="shared" si="67"/>
        <v>0</v>
      </c>
      <c r="Z226" s="209">
        <f t="shared" si="68"/>
        <v>0</v>
      </c>
      <c r="AA226" s="205">
        <f t="shared" si="69"/>
        <v>0</v>
      </c>
      <c r="AB226" s="209">
        <f t="shared" si="70"/>
        <v>-0.01</v>
      </c>
      <c r="AC226" s="205">
        <f t="shared" si="71"/>
        <v>0</v>
      </c>
      <c r="AD226" s="210">
        <f t="shared" si="72"/>
        <v>3.2861111111051287</v>
      </c>
      <c r="AE226" s="210">
        <f t="shared" si="73"/>
        <v>0</v>
      </c>
      <c r="AF226" s="210">
        <f t="shared" si="74"/>
        <v>3.2861111111051287</v>
      </c>
      <c r="AG226" s="210">
        <f t="shared" si="75"/>
        <v>0</v>
      </c>
    </row>
    <row r="227" spans="2:33" ht="15" customHeight="1" x14ac:dyDescent="0.3">
      <c r="B227" s="196" t="s">
        <v>7</v>
      </c>
      <c r="C227" s="197" t="s">
        <v>15</v>
      </c>
      <c r="D227" s="198" t="str">
        <f t="shared" si="57"/>
        <v>C</v>
      </c>
      <c r="E227" s="199">
        <v>44096.017361111109</v>
      </c>
      <c r="F227" s="200" t="s">
        <v>120</v>
      </c>
      <c r="G227" s="201">
        <v>1.6280699999999999</v>
      </c>
      <c r="H227" s="201">
        <v>1.6211800000000001</v>
      </c>
      <c r="I227" s="202">
        <f t="shared" si="58"/>
        <v>6.8899999999998407E-3</v>
      </c>
      <c r="J227" s="201">
        <v>1.70156</v>
      </c>
      <c r="K227" s="199">
        <v>44103.118750000001</v>
      </c>
      <c r="L227" s="201">
        <v>1.6462699999999999</v>
      </c>
      <c r="M227" s="203">
        <f t="shared" si="59"/>
        <v>1.8200000000000001E-2</v>
      </c>
      <c r="N227" s="204">
        <f t="shared" si="60"/>
        <v>2.64</v>
      </c>
      <c r="O227" s="205">
        <f t="shared" si="61"/>
        <v>0</v>
      </c>
      <c r="P227" s="206">
        <f t="shared" si="62"/>
        <v>2.64</v>
      </c>
      <c r="Q227" s="206">
        <f t="shared" si="63"/>
        <v>0</v>
      </c>
      <c r="R2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271380</v>
      </c>
      <c r="T2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271380</v>
      </c>
      <c r="U22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27" s="209">
        <f t="shared" si="64"/>
        <v>2.64</v>
      </c>
      <c r="W227" s="209">
        <f t="shared" si="65"/>
        <v>0</v>
      </c>
      <c r="X227" s="209">
        <f t="shared" si="66"/>
        <v>0</v>
      </c>
      <c r="Y227" s="209">
        <f t="shared" si="67"/>
        <v>0</v>
      </c>
      <c r="Z227" s="209">
        <f t="shared" si="68"/>
        <v>0</v>
      </c>
      <c r="AA227" s="205">
        <f t="shared" si="69"/>
        <v>0</v>
      </c>
      <c r="AB227" s="209">
        <f t="shared" si="70"/>
        <v>0</v>
      </c>
      <c r="AC227" s="205">
        <f t="shared" si="71"/>
        <v>0</v>
      </c>
      <c r="AD227" s="210">
        <f t="shared" si="72"/>
        <v>7.101388888891961</v>
      </c>
      <c r="AE227" s="210">
        <f t="shared" si="73"/>
        <v>7.101388888891961</v>
      </c>
      <c r="AF227" s="210">
        <f t="shared" si="74"/>
        <v>0</v>
      </c>
      <c r="AG227" s="210">
        <f t="shared" si="75"/>
        <v>0</v>
      </c>
    </row>
    <row r="228" spans="2:33" ht="15" customHeight="1" x14ac:dyDescent="0.3">
      <c r="B228" s="196" t="s">
        <v>19</v>
      </c>
      <c r="C228" s="197" t="s">
        <v>15</v>
      </c>
      <c r="D228" s="198" t="str">
        <f t="shared" si="57"/>
        <v>C</v>
      </c>
      <c r="E228" s="199">
        <v>44098.958333333336</v>
      </c>
      <c r="F228" s="200" t="s">
        <v>108</v>
      </c>
      <c r="G228" s="201">
        <v>40.253999999999998</v>
      </c>
      <c r="H228" s="201">
        <v>39.017000000000003</v>
      </c>
      <c r="I228" s="202">
        <f t="shared" si="58"/>
        <v>1.2369999999999948</v>
      </c>
      <c r="J228" s="201">
        <v>55.103000000000002</v>
      </c>
      <c r="K228" s="199">
        <v>44099.714583333334</v>
      </c>
      <c r="L228" s="201">
        <v>39.770000000000003</v>
      </c>
      <c r="M228" s="203">
        <f t="shared" si="59"/>
        <v>-0.48399999999999999</v>
      </c>
      <c r="N228" s="204">
        <f t="shared" si="60"/>
        <v>-0.39</v>
      </c>
      <c r="O228" s="205">
        <f t="shared" si="61"/>
        <v>0</v>
      </c>
      <c r="P228" s="206">
        <f t="shared" si="62"/>
        <v>0</v>
      </c>
      <c r="Q228" s="206">
        <f t="shared" si="63"/>
        <v>-0.39</v>
      </c>
      <c r="R2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268740</v>
      </c>
      <c r="T2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270610</v>
      </c>
      <c r="U228" s="208">
        <f ca="1">IF(Tabla33610673[[#This Row],[Equity]]&lt;Tabla33610673[[#This Row],[Equity Peak]],(Tabla33610673[[#This Row],[Equity Peak]]-Tabla33610673[[#This Row],[Equity]])/Tabla33610673[[#This Row],[Equity Peak]],"")</f>
        <v>6.9103137356343073E-3</v>
      </c>
      <c r="V228" s="209">
        <f t="shared" si="64"/>
        <v>0</v>
      </c>
      <c r="W228" s="209">
        <f t="shared" si="65"/>
        <v>0</v>
      </c>
      <c r="X228" s="209">
        <f t="shared" si="66"/>
        <v>-0.39</v>
      </c>
      <c r="Y228" s="209">
        <f t="shared" si="67"/>
        <v>0</v>
      </c>
      <c r="Z228" s="209">
        <f t="shared" si="68"/>
        <v>0</v>
      </c>
      <c r="AA228" s="205">
        <f t="shared" si="69"/>
        <v>0</v>
      </c>
      <c r="AB228" s="209">
        <f t="shared" si="70"/>
        <v>0</v>
      </c>
      <c r="AC228" s="205">
        <f t="shared" si="71"/>
        <v>0</v>
      </c>
      <c r="AD228" s="210">
        <f t="shared" si="72"/>
        <v>0.75624999999854481</v>
      </c>
      <c r="AE228" s="210">
        <f t="shared" si="73"/>
        <v>0</v>
      </c>
      <c r="AF228" s="210">
        <f t="shared" si="74"/>
        <v>0.75624999999854481</v>
      </c>
      <c r="AG228" s="210">
        <f t="shared" si="75"/>
        <v>0</v>
      </c>
    </row>
    <row r="229" spans="2:33" ht="15" customHeight="1" x14ac:dyDescent="0.3">
      <c r="B229" s="196" t="s">
        <v>5</v>
      </c>
      <c r="C229" s="197" t="s">
        <v>13</v>
      </c>
      <c r="D229" s="198" t="str">
        <f t="shared" si="57"/>
        <v>C</v>
      </c>
      <c r="E229" s="199">
        <v>44098.666666666664</v>
      </c>
      <c r="F229" s="200" t="s">
        <v>93</v>
      </c>
      <c r="G229" s="201">
        <v>3217.79</v>
      </c>
      <c r="H229" s="201">
        <v>3258.81</v>
      </c>
      <c r="I229" s="202">
        <f t="shared" si="58"/>
        <v>41.019999999999982</v>
      </c>
      <c r="J229" s="201">
        <v>3108.41</v>
      </c>
      <c r="K229" s="199">
        <v>44098.794444444444</v>
      </c>
      <c r="L229" s="201">
        <v>3258.81</v>
      </c>
      <c r="M229" s="203">
        <f t="shared" si="59"/>
        <v>-41.02</v>
      </c>
      <c r="N229" s="204">
        <f t="shared" si="60"/>
        <v>-1</v>
      </c>
      <c r="O229" s="205">
        <f t="shared" si="61"/>
        <v>0</v>
      </c>
      <c r="P229" s="206">
        <f t="shared" si="62"/>
        <v>0</v>
      </c>
      <c r="Q229" s="206">
        <f t="shared" si="63"/>
        <v>-1</v>
      </c>
      <c r="R2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269130</v>
      </c>
      <c r="T2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270610</v>
      </c>
      <c r="U229" s="208">
        <f ca="1">IF(Tabla33610673[[#This Row],[Equity]]&lt;Tabla33610673[[#This Row],[Equity Peak]],(Tabla33610673[[#This Row],[Equity Peak]]-Tabla33610673[[#This Row],[Equity]])/Tabla33610673[[#This Row],[Equity Peak]],"")</f>
        <v>5.4691253094859759E-3</v>
      </c>
      <c r="V229" s="209">
        <f t="shared" si="64"/>
        <v>0</v>
      </c>
      <c r="W229" s="209">
        <f t="shared" si="65"/>
        <v>0</v>
      </c>
      <c r="X229" s="209">
        <f t="shared" si="66"/>
        <v>0</v>
      </c>
      <c r="Y229" s="209">
        <f t="shared" si="67"/>
        <v>0</v>
      </c>
      <c r="Z229" s="209">
        <f t="shared" si="68"/>
        <v>-1</v>
      </c>
      <c r="AA229" s="205">
        <f t="shared" si="69"/>
        <v>0</v>
      </c>
      <c r="AB229" s="209">
        <f t="shared" si="70"/>
        <v>0</v>
      </c>
      <c r="AC229" s="205">
        <f t="shared" si="71"/>
        <v>0</v>
      </c>
      <c r="AD229" s="210">
        <f t="shared" si="72"/>
        <v>0.12777777777955635</v>
      </c>
      <c r="AE229" s="210">
        <f t="shared" si="73"/>
        <v>0</v>
      </c>
      <c r="AF229" s="210">
        <f t="shared" si="74"/>
        <v>0.12777777777955635</v>
      </c>
      <c r="AG229" s="210">
        <f t="shared" si="75"/>
        <v>0</v>
      </c>
    </row>
    <row r="230" spans="2:33" ht="15" customHeight="1" x14ac:dyDescent="0.3">
      <c r="B230" s="196" t="s">
        <v>19</v>
      </c>
      <c r="C230" s="197" t="s">
        <v>13</v>
      </c>
      <c r="D230" s="198" t="str">
        <f t="shared" si="57"/>
        <v>C</v>
      </c>
      <c r="E230" s="199">
        <v>44097.958333333336</v>
      </c>
      <c r="F230" s="200" t="s">
        <v>108</v>
      </c>
      <c r="G230" s="201">
        <v>39.564999999999998</v>
      </c>
      <c r="H230" s="201">
        <v>40.802999999999997</v>
      </c>
      <c r="I230" s="202">
        <f t="shared" si="58"/>
        <v>1.2379999999999995</v>
      </c>
      <c r="J230" s="201">
        <v>24.713000000000001</v>
      </c>
      <c r="K230" s="199">
        <v>44098.714583333334</v>
      </c>
      <c r="L230" s="201">
        <v>40.164999999999999</v>
      </c>
      <c r="M230" s="203">
        <f t="shared" si="59"/>
        <v>-0.6</v>
      </c>
      <c r="N230" s="204">
        <f t="shared" si="60"/>
        <v>-0.48</v>
      </c>
      <c r="O230" s="205">
        <f t="shared" si="61"/>
        <v>0</v>
      </c>
      <c r="P230" s="206">
        <f t="shared" si="62"/>
        <v>0</v>
      </c>
      <c r="Q230" s="206">
        <f t="shared" si="63"/>
        <v>-0.48</v>
      </c>
      <c r="R2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270130</v>
      </c>
      <c r="T2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270610</v>
      </c>
      <c r="U230" s="208">
        <f ca="1">IF(Tabla33610673[[#This Row],[Equity]]&lt;Tabla33610673[[#This Row],[Equity Peak]],(Tabla33610673[[#This Row],[Equity Peak]]-Tabla33610673[[#This Row],[Equity]])/Tabla33610673[[#This Row],[Equity Peak]],"")</f>
        <v>1.7737703706441003E-3</v>
      </c>
      <c r="V230" s="209">
        <f t="shared" si="64"/>
        <v>0</v>
      </c>
      <c r="W230" s="209">
        <f t="shared" si="65"/>
        <v>0</v>
      </c>
      <c r="X230" s="209">
        <f t="shared" si="66"/>
        <v>-0.48</v>
      </c>
      <c r="Y230" s="209">
        <f t="shared" si="67"/>
        <v>0</v>
      </c>
      <c r="Z230" s="209">
        <f t="shared" si="68"/>
        <v>0</v>
      </c>
      <c r="AA230" s="205">
        <f t="shared" si="69"/>
        <v>0</v>
      </c>
      <c r="AB230" s="209">
        <f t="shared" si="70"/>
        <v>0</v>
      </c>
      <c r="AC230" s="205">
        <f t="shared" si="71"/>
        <v>0</v>
      </c>
      <c r="AD230" s="210">
        <f t="shared" si="72"/>
        <v>0.75624999999854481</v>
      </c>
      <c r="AE230" s="210">
        <f t="shared" si="73"/>
        <v>0</v>
      </c>
      <c r="AF230" s="210">
        <f t="shared" si="74"/>
        <v>0.75624999999854481</v>
      </c>
      <c r="AG230" s="210">
        <f t="shared" si="75"/>
        <v>0</v>
      </c>
    </row>
    <row r="231" spans="2:33" ht="15" customHeight="1" x14ac:dyDescent="0.3">
      <c r="B231" s="196" t="s">
        <v>19</v>
      </c>
      <c r="C231" s="197" t="s">
        <v>13</v>
      </c>
      <c r="D231" s="198" t="str">
        <f t="shared" si="57"/>
        <v>C</v>
      </c>
      <c r="E231" s="199">
        <v>44095.041666666664</v>
      </c>
      <c r="F231" s="200" t="s">
        <v>89</v>
      </c>
      <c r="G231" s="201">
        <v>26.763000000000002</v>
      </c>
      <c r="H231" s="201">
        <v>27.727</v>
      </c>
      <c r="I231" s="202">
        <f t="shared" si="58"/>
        <v>0.96399999999999864</v>
      </c>
      <c r="J231" s="201">
        <v>22.134</v>
      </c>
      <c r="K231" s="199">
        <v>44098.097916666666</v>
      </c>
      <c r="L231" s="201">
        <v>22.134</v>
      </c>
      <c r="M231" s="203">
        <f t="shared" si="59"/>
        <v>4.6289999999999996</v>
      </c>
      <c r="N231" s="204">
        <f t="shared" si="60"/>
        <v>4.8</v>
      </c>
      <c r="O231" s="205">
        <f t="shared" si="61"/>
        <v>0</v>
      </c>
      <c r="P231" s="206">
        <f t="shared" si="62"/>
        <v>4.8</v>
      </c>
      <c r="Q231" s="206">
        <f t="shared" si="63"/>
        <v>0</v>
      </c>
      <c r="R2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270610</v>
      </c>
      <c r="T2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270610</v>
      </c>
      <c r="U23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31" s="209">
        <f t="shared" si="64"/>
        <v>0</v>
      </c>
      <c r="W231" s="209">
        <f t="shared" si="65"/>
        <v>0</v>
      </c>
      <c r="X231" s="209">
        <f t="shared" si="66"/>
        <v>4.8</v>
      </c>
      <c r="Y231" s="209">
        <f t="shared" si="67"/>
        <v>0</v>
      </c>
      <c r="Z231" s="209">
        <f t="shared" si="68"/>
        <v>0</v>
      </c>
      <c r="AA231" s="205">
        <f t="shared" si="69"/>
        <v>0</v>
      </c>
      <c r="AB231" s="209">
        <f t="shared" si="70"/>
        <v>0</v>
      </c>
      <c r="AC231" s="205">
        <f t="shared" si="71"/>
        <v>0</v>
      </c>
      <c r="AD231" s="210">
        <f t="shared" si="72"/>
        <v>3.0562500000014552</v>
      </c>
      <c r="AE231" s="210">
        <f t="shared" si="73"/>
        <v>3.0562500000014552</v>
      </c>
      <c r="AF231" s="210">
        <f t="shared" si="74"/>
        <v>0</v>
      </c>
      <c r="AG231" s="210">
        <f t="shared" si="75"/>
        <v>0</v>
      </c>
    </row>
    <row r="232" spans="2:33" ht="15" customHeight="1" x14ac:dyDescent="0.3">
      <c r="B232" s="196" t="s">
        <v>5</v>
      </c>
      <c r="C232" s="197" t="s">
        <v>13</v>
      </c>
      <c r="D232" s="198" t="str">
        <f t="shared" si="57"/>
        <v>C</v>
      </c>
      <c r="E232" s="199">
        <v>44095.041666666664</v>
      </c>
      <c r="F232" s="200" t="s">
        <v>94</v>
      </c>
      <c r="G232" s="201">
        <v>5996.48</v>
      </c>
      <c r="H232" s="201">
        <v>6073.43</v>
      </c>
      <c r="I232" s="202">
        <f t="shared" si="58"/>
        <v>76.950000000000728</v>
      </c>
      <c r="J232" s="201">
        <v>5611.71</v>
      </c>
      <c r="K232" s="199">
        <v>44097.125</v>
      </c>
      <c r="L232" s="201">
        <v>5898.01</v>
      </c>
      <c r="M232" s="203">
        <f t="shared" si="59"/>
        <v>98.47</v>
      </c>
      <c r="N232" s="204">
        <f t="shared" si="60"/>
        <v>1.28</v>
      </c>
      <c r="O232" s="205">
        <f t="shared" si="61"/>
        <v>0</v>
      </c>
      <c r="P232" s="206">
        <f t="shared" si="62"/>
        <v>1.28</v>
      </c>
      <c r="Q232" s="206">
        <f t="shared" si="63"/>
        <v>0</v>
      </c>
      <c r="R2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265810</v>
      </c>
      <c r="T2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32" s="208">
        <f ca="1">IF(Tabla33610673[[#This Row],[Equity]]&lt;Tabla33610673[[#This Row],[Equity Peak]],(Tabla33610673[[#This Row],[Equity Peak]]-Tabla33610673[[#This Row],[Equity]])/Tabla33610673[[#This Row],[Equity Peak]],"")</f>
        <v>3.4491808195553555E-3</v>
      </c>
      <c r="V232" s="209">
        <f t="shared" si="64"/>
        <v>0</v>
      </c>
      <c r="W232" s="209">
        <f t="shared" si="65"/>
        <v>0</v>
      </c>
      <c r="X232" s="209">
        <f t="shared" si="66"/>
        <v>0</v>
      </c>
      <c r="Y232" s="209">
        <f t="shared" si="67"/>
        <v>0</v>
      </c>
      <c r="Z232" s="209">
        <f t="shared" si="68"/>
        <v>1.28</v>
      </c>
      <c r="AA232" s="205">
        <f t="shared" si="69"/>
        <v>0</v>
      </c>
      <c r="AB232" s="209">
        <f t="shared" si="70"/>
        <v>0</v>
      </c>
      <c r="AC232" s="205">
        <f t="shared" si="71"/>
        <v>0</v>
      </c>
      <c r="AD232" s="210">
        <f t="shared" si="72"/>
        <v>2.0833333333357587</v>
      </c>
      <c r="AE232" s="210">
        <f t="shared" si="73"/>
        <v>2.0833333333357587</v>
      </c>
      <c r="AF232" s="210">
        <f t="shared" si="74"/>
        <v>0</v>
      </c>
      <c r="AG232" s="210">
        <f t="shared" si="75"/>
        <v>0</v>
      </c>
    </row>
    <row r="233" spans="2:33" ht="15" customHeight="1" x14ac:dyDescent="0.3">
      <c r="B233" s="196" t="s">
        <v>84</v>
      </c>
      <c r="C233" s="197" t="s">
        <v>13</v>
      </c>
      <c r="D233" s="198" t="str">
        <f t="shared" si="57"/>
        <v>C</v>
      </c>
      <c r="E233" s="199">
        <v>44095.833333333336</v>
      </c>
      <c r="F233" s="200" t="s">
        <v>80</v>
      </c>
      <c r="G233" s="201">
        <v>10361.959999999999</v>
      </c>
      <c r="H233" s="201">
        <v>10636.59</v>
      </c>
      <c r="I233" s="202">
        <f t="shared" si="58"/>
        <v>274.63000000000102</v>
      </c>
      <c r="J233" s="201">
        <v>6242.53</v>
      </c>
      <c r="K233" s="199">
        <v>44097.027083333334</v>
      </c>
      <c r="L233" s="201">
        <v>10568.14</v>
      </c>
      <c r="M233" s="203">
        <f t="shared" si="59"/>
        <v>-206.18</v>
      </c>
      <c r="N233" s="204">
        <f t="shared" si="60"/>
        <v>-0.75</v>
      </c>
      <c r="O233" s="205">
        <f t="shared" si="61"/>
        <v>0</v>
      </c>
      <c r="P233" s="206">
        <f t="shared" si="62"/>
        <v>0</v>
      </c>
      <c r="Q233" s="206">
        <f t="shared" si="63"/>
        <v>-0.75</v>
      </c>
      <c r="R2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264530</v>
      </c>
      <c r="T2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33" s="208">
        <f ca="1">IF(Tabla33610673[[#This Row],[Equity]]&lt;Tabla33610673[[#This Row],[Equity Peak]],(Tabla33610673[[#This Row],[Equity Peak]]-Tabla33610673[[#This Row],[Equity]])/Tabla33610673[[#This Row],[Equity Peak]],"")</f>
        <v>8.2480410902410674E-3</v>
      </c>
      <c r="V233" s="209">
        <f t="shared" si="64"/>
        <v>0</v>
      </c>
      <c r="W233" s="209">
        <f t="shared" si="65"/>
        <v>0</v>
      </c>
      <c r="X233" s="209">
        <f t="shared" si="66"/>
        <v>0</v>
      </c>
      <c r="Y233" s="209">
        <f t="shared" si="67"/>
        <v>0</v>
      </c>
      <c r="Z233" s="209">
        <f t="shared" si="68"/>
        <v>0</v>
      </c>
      <c r="AA233" s="205">
        <f t="shared" si="69"/>
        <v>0</v>
      </c>
      <c r="AB233" s="209">
        <f t="shared" si="70"/>
        <v>-0.75</v>
      </c>
      <c r="AC233" s="205">
        <f t="shared" si="71"/>
        <v>0</v>
      </c>
      <c r="AD233" s="210">
        <f t="shared" si="72"/>
        <v>1.1937499999985448</v>
      </c>
      <c r="AE233" s="210">
        <f t="shared" si="73"/>
        <v>0</v>
      </c>
      <c r="AF233" s="210">
        <f t="shared" si="74"/>
        <v>1.1937499999985448</v>
      </c>
      <c r="AG233" s="210">
        <f t="shared" si="75"/>
        <v>0</v>
      </c>
    </row>
    <row r="234" spans="2:33" ht="15" customHeight="1" x14ac:dyDescent="0.3">
      <c r="B234" s="196" t="s">
        <v>5</v>
      </c>
      <c r="C234" s="197" t="s">
        <v>13</v>
      </c>
      <c r="D234" s="198" t="str">
        <f t="shared" si="57"/>
        <v>C</v>
      </c>
      <c r="E234" s="199">
        <v>44095.541666666664</v>
      </c>
      <c r="F234" s="200" t="s">
        <v>93</v>
      </c>
      <c r="G234" s="201">
        <v>3267.22</v>
      </c>
      <c r="H234" s="201">
        <v>3316.88</v>
      </c>
      <c r="I234" s="202">
        <f t="shared" si="58"/>
        <v>49.660000000000309</v>
      </c>
      <c r="J234" s="201">
        <v>3134.8</v>
      </c>
      <c r="K234" s="199">
        <v>44096.943749999999</v>
      </c>
      <c r="L234" s="201">
        <v>3316.88</v>
      </c>
      <c r="M234" s="203">
        <f t="shared" si="59"/>
        <v>-49.66</v>
      </c>
      <c r="N234" s="204">
        <f t="shared" si="60"/>
        <v>-1</v>
      </c>
      <c r="O234" s="205">
        <f t="shared" si="61"/>
        <v>0</v>
      </c>
      <c r="P234" s="206">
        <f t="shared" si="62"/>
        <v>0</v>
      </c>
      <c r="Q234" s="206">
        <f t="shared" si="63"/>
        <v>-1</v>
      </c>
      <c r="R2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265280</v>
      </c>
      <c r="T2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34" s="208">
        <f ca="1">IF(Tabla33610673[[#This Row],[Equity]]&lt;Tabla33610673[[#This Row],[Equity Peak]],(Tabla33610673[[#This Row],[Equity Peak]]-Tabla33610673[[#This Row],[Equity]])/Tabla33610673[[#This Row],[Equity Peak]],"")</f>
        <v>5.4362089003861585E-3</v>
      </c>
      <c r="V234" s="209">
        <f t="shared" si="64"/>
        <v>0</v>
      </c>
      <c r="W234" s="209">
        <f t="shared" si="65"/>
        <v>0</v>
      </c>
      <c r="X234" s="209">
        <f t="shared" si="66"/>
        <v>0</v>
      </c>
      <c r="Y234" s="209">
        <f t="shared" si="67"/>
        <v>0</v>
      </c>
      <c r="Z234" s="209">
        <f t="shared" si="68"/>
        <v>-1</v>
      </c>
      <c r="AA234" s="205">
        <f t="shared" si="69"/>
        <v>0</v>
      </c>
      <c r="AB234" s="209">
        <f t="shared" si="70"/>
        <v>0</v>
      </c>
      <c r="AC234" s="205">
        <f t="shared" si="71"/>
        <v>0</v>
      </c>
      <c r="AD234" s="210">
        <f t="shared" si="72"/>
        <v>1.4020833333343035</v>
      </c>
      <c r="AE234" s="210">
        <f t="shared" si="73"/>
        <v>0</v>
      </c>
      <c r="AF234" s="210">
        <f t="shared" si="74"/>
        <v>1.4020833333343035</v>
      </c>
      <c r="AG234" s="210">
        <f t="shared" si="75"/>
        <v>0</v>
      </c>
    </row>
    <row r="235" spans="2:33" ht="15" customHeight="1" x14ac:dyDescent="0.3">
      <c r="B235" s="196" t="s">
        <v>7</v>
      </c>
      <c r="C235" s="197" t="s">
        <v>13</v>
      </c>
      <c r="D235" s="198" t="str">
        <f t="shared" si="57"/>
        <v>C</v>
      </c>
      <c r="E235" s="199">
        <v>44084.666666666664</v>
      </c>
      <c r="F235" s="200" t="s">
        <v>113</v>
      </c>
      <c r="G235" s="201">
        <v>106.032</v>
      </c>
      <c r="H235" s="201">
        <v>106.568</v>
      </c>
      <c r="I235" s="202">
        <f t="shared" si="58"/>
        <v>0.53600000000000136</v>
      </c>
      <c r="J235" s="201">
        <v>103.532</v>
      </c>
      <c r="K235" s="199">
        <v>44095.69027777778</v>
      </c>
      <c r="L235" s="201">
        <v>104.587</v>
      </c>
      <c r="M235" s="203">
        <f t="shared" si="59"/>
        <v>1.4450000000000001</v>
      </c>
      <c r="N235" s="204">
        <f t="shared" si="60"/>
        <v>2.7</v>
      </c>
      <c r="O235" s="205">
        <f t="shared" si="61"/>
        <v>0</v>
      </c>
      <c r="P235" s="206">
        <f t="shared" si="62"/>
        <v>2.7</v>
      </c>
      <c r="Q235" s="206">
        <f t="shared" si="63"/>
        <v>0</v>
      </c>
      <c r="R2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266280</v>
      </c>
      <c r="T2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35" s="208">
        <f ca="1">IF(Tabla33610673[[#This Row],[Equity]]&lt;Tabla33610673[[#This Row],[Equity Peak]],(Tabla33610673[[#This Row],[Equity Peak]]-Tabla33610673[[#This Row],[Equity]])/Tabla33610673[[#This Row],[Equity Peak]],"")</f>
        <v>1.6870993139129456E-3</v>
      </c>
      <c r="V235" s="209">
        <f t="shared" si="64"/>
        <v>2.7</v>
      </c>
      <c r="W235" s="209">
        <f t="shared" si="65"/>
        <v>0</v>
      </c>
      <c r="X235" s="209">
        <f t="shared" si="66"/>
        <v>0</v>
      </c>
      <c r="Y235" s="209">
        <f t="shared" si="67"/>
        <v>0</v>
      </c>
      <c r="Z235" s="209">
        <f t="shared" si="68"/>
        <v>0</v>
      </c>
      <c r="AA235" s="205">
        <f t="shared" si="69"/>
        <v>0</v>
      </c>
      <c r="AB235" s="209">
        <f t="shared" si="70"/>
        <v>0</v>
      </c>
      <c r="AC235" s="205">
        <f t="shared" si="71"/>
        <v>0</v>
      </c>
      <c r="AD235" s="210">
        <f t="shared" si="72"/>
        <v>11.023611111115315</v>
      </c>
      <c r="AE235" s="210">
        <f t="shared" si="73"/>
        <v>11.023611111115315</v>
      </c>
      <c r="AF235" s="210">
        <f t="shared" si="74"/>
        <v>0</v>
      </c>
      <c r="AG235" s="210">
        <f t="shared" si="75"/>
        <v>0</v>
      </c>
    </row>
    <row r="236" spans="2:33" ht="15" customHeight="1" x14ac:dyDescent="0.3">
      <c r="B236" s="196" t="s">
        <v>19</v>
      </c>
      <c r="C236" s="197" t="s">
        <v>15</v>
      </c>
      <c r="D236" s="198" t="str">
        <f t="shared" si="57"/>
        <v>C</v>
      </c>
      <c r="E236" s="199">
        <v>44092.375</v>
      </c>
      <c r="F236" s="200" t="s">
        <v>88</v>
      </c>
      <c r="G236" s="201">
        <v>1954.44</v>
      </c>
      <c r="H236" s="201">
        <v>1926.42</v>
      </c>
      <c r="I236" s="202">
        <f t="shared" si="58"/>
        <v>28.019999999999982</v>
      </c>
      <c r="J236" s="201">
        <v>2133.7800000000002</v>
      </c>
      <c r="K236" s="199">
        <v>44095.640277777777</v>
      </c>
      <c r="L236" s="201">
        <v>1926.97</v>
      </c>
      <c r="M236" s="203">
        <f t="shared" si="59"/>
        <v>-27.47</v>
      </c>
      <c r="N236" s="204">
        <f t="shared" si="60"/>
        <v>-0.98</v>
      </c>
      <c r="O236" s="205">
        <f t="shared" si="61"/>
        <v>0</v>
      </c>
      <c r="P236" s="206">
        <f t="shared" si="62"/>
        <v>0</v>
      </c>
      <c r="Q236" s="206">
        <f t="shared" si="63"/>
        <v>-0.98</v>
      </c>
      <c r="R2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263580</v>
      </c>
      <c r="T2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36" s="208">
        <f ca="1">IF(Tabla33610673[[#This Row],[Equity]]&lt;Tabla33610673[[#This Row],[Equity Peak]],(Tabla33610673[[#This Row],[Equity Peak]]-Tabla33610673[[#This Row],[Equity]])/Tabla33610673[[#This Row],[Equity Peak]],"")</f>
        <v>1.180969519739062E-2</v>
      </c>
      <c r="V236" s="209">
        <f t="shared" si="64"/>
        <v>0</v>
      </c>
      <c r="W236" s="209">
        <f t="shared" si="65"/>
        <v>0</v>
      </c>
      <c r="X236" s="209">
        <f t="shared" si="66"/>
        <v>-0.98</v>
      </c>
      <c r="Y236" s="209">
        <f t="shared" si="67"/>
        <v>0</v>
      </c>
      <c r="Z236" s="209">
        <f t="shared" si="68"/>
        <v>0</v>
      </c>
      <c r="AA236" s="205">
        <f t="shared" si="69"/>
        <v>0</v>
      </c>
      <c r="AB236" s="209">
        <f t="shared" si="70"/>
        <v>0</v>
      </c>
      <c r="AC236" s="205">
        <f t="shared" si="71"/>
        <v>0</v>
      </c>
      <c r="AD236" s="210">
        <f t="shared" si="72"/>
        <v>3.265277777776646</v>
      </c>
      <c r="AE236" s="210">
        <f t="shared" si="73"/>
        <v>0</v>
      </c>
      <c r="AF236" s="210">
        <f t="shared" si="74"/>
        <v>3.265277777776646</v>
      </c>
      <c r="AG236" s="210">
        <f t="shared" si="75"/>
        <v>0</v>
      </c>
    </row>
    <row r="237" spans="2:33" ht="15" customHeight="1" x14ac:dyDescent="0.3">
      <c r="B237" s="196" t="s">
        <v>7</v>
      </c>
      <c r="C237" s="197" t="s">
        <v>13</v>
      </c>
      <c r="D237" s="198" t="str">
        <f t="shared" si="57"/>
        <v>C</v>
      </c>
      <c r="E237" s="199">
        <v>44089.333333333336</v>
      </c>
      <c r="F237" s="200" t="s">
        <v>120</v>
      </c>
      <c r="G237" s="201">
        <v>1.6242799999999999</v>
      </c>
      <c r="H237" s="201">
        <v>1.6310899999999999</v>
      </c>
      <c r="I237" s="202">
        <f t="shared" si="58"/>
        <v>6.8099999999999827E-3</v>
      </c>
      <c r="J237" s="201">
        <v>1.55162</v>
      </c>
      <c r="K237" s="199">
        <v>44092.640277777777</v>
      </c>
      <c r="L237" s="201">
        <v>1.62479</v>
      </c>
      <c r="M237" s="203">
        <f t="shared" si="59"/>
        <v>-5.0000000000000001E-4</v>
      </c>
      <c r="N237" s="204">
        <f t="shared" si="60"/>
        <v>-7.0000000000000007E-2</v>
      </c>
      <c r="O237" s="205">
        <f t="shared" si="61"/>
        <v>0</v>
      </c>
      <c r="P237" s="206">
        <f t="shared" si="62"/>
        <v>0</v>
      </c>
      <c r="Q237" s="206">
        <f t="shared" si="63"/>
        <v>-7.0000000000000007E-2</v>
      </c>
      <c r="R2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264560</v>
      </c>
      <c r="T2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37" s="208">
        <f ca="1">IF(Tabla33610673[[#This Row],[Equity]]&lt;Tabla33610673[[#This Row],[Equity Peak]],(Tabla33610673[[#This Row],[Equity Peak]]-Tabla33610673[[#This Row],[Equity]])/Tabla33610673[[#This Row],[Equity Peak]],"")</f>
        <v>8.1355678026468706E-3</v>
      </c>
      <c r="V237" s="209">
        <f t="shared" si="64"/>
        <v>-7.0000000000000007E-2</v>
      </c>
      <c r="W237" s="209">
        <f t="shared" si="65"/>
        <v>0</v>
      </c>
      <c r="X237" s="209">
        <f t="shared" si="66"/>
        <v>0</v>
      </c>
      <c r="Y237" s="209">
        <f t="shared" si="67"/>
        <v>0</v>
      </c>
      <c r="Z237" s="209">
        <f t="shared" si="68"/>
        <v>0</v>
      </c>
      <c r="AA237" s="205">
        <f t="shared" si="69"/>
        <v>0</v>
      </c>
      <c r="AB237" s="209">
        <f t="shared" si="70"/>
        <v>0</v>
      </c>
      <c r="AC237" s="205">
        <f t="shared" si="71"/>
        <v>0</v>
      </c>
      <c r="AD237" s="210">
        <f t="shared" si="72"/>
        <v>3.3069444444408873</v>
      </c>
      <c r="AE237" s="210">
        <f t="shared" si="73"/>
        <v>0</v>
      </c>
      <c r="AF237" s="210">
        <f t="shared" si="74"/>
        <v>3.3069444444408873</v>
      </c>
      <c r="AG237" s="210">
        <f t="shared" si="75"/>
        <v>0</v>
      </c>
    </row>
    <row r="238" spans="2:33" ht="15" customHeight="1" x14ac:dyDescent="0.3">
      <c r="B238" s="196" t="s">
        <v>19</v>
      </c>
      <c r="C238" s="197" t="s">
        <v>15</v>
      </c>
      <c r="D238" s="198" t="str">
        <f t="shared" si="57"/>
        <v>C</v>
      </c>
      <c r="E238" s="199">
        <v>44091.958333333336</v>
      </c>
      <c r="F238" s="200" t="s">
        <v>108</v>
      </c>
      <c r="G238" s="201">
        <v>41.277999999999999</v>
      </c>
      <c r="H238" s="201">
        <v>40.073999999999998</v>
      </c>
      <c r="I238" s="202">
        <f t="shared" si="58"/>
        <v>1.2040000000000006</v>
      </c>
      <c r="J238" s="201">
        <v>55.73</v>
      </c>
      <c r="K238" s="199">
        <v>44092.631249999999</v>
      </c>
      <c r="L238" s="201">
        <v>40.597000000000001</v>
      </c>
      <c r="M238" s="203">
        <f t="shared" si="59"/>
        <v>-0.68100000000000005</v>
      </c>
      <c r="N238" s="204">
        <f t="shared" si="60"/>
        <v>-0.56999999999999995</v>
      </c>
      <c r="O238" s="205">
        <f t="shared" si="61"/>
        <v>0</v>
      </c>
      <c r="P238" s="206">
        <f t="shared" si="62"/>
        <v>0</v>
      </c>
      <c r="Q238" s="206">
        <f t="shared" si="63"/>
        <v>-0.56999999999999995</v>
      </c>
      <c r="R2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264630</v>
      </c>
      <c r="T2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38" s="208">
        <f ca="1">IF(Tabla33610673[[#This Row],[Equity]]&lt;Tabla33610673[[#This Row],[Equity Peak]],(Tabla33610673[[#This Row],[Equity Peak]]-Tabla33610673[[#This Row],[Equity]])/Tabla33610673[[#This Row],[Equity Peak]],"")</f>
        <v>7.8731301315937471E-3</v>
      </c>
      <c r="V238" s="209">
        <f t="shared" si="64"/>
        <v>0</v>
      </c>
      <c r="W238" s="209">
        <f t="shared" si="65"/>
        <v>0</v>
      </c>
      <c r="X238" s="209">
        <f t="shared" si="66"/>
        <v>-0.56999999999999995</v>
      </c>
      <c r="Y238" s="209">
        <f t="shared" si="67"/>
        <v>0</v>
      </c>
      <c r="Z238" s="209">
        <f t="shared" si="68"/>
        <v>0</v>
      </c>
      <c r="AA238" s="205">
        <f t="shared" si="69"/>
        <v>0</v>
      </c>
      <c r="AB238" s="209">
        <f t="shared" si="70"/>
        <v>0</v>
      </c>
      <c r="AC238" s="205">
        <f t="shared" si="71"/>
        <v>0</v>
      </c>
      <c r="AD238" s="210">
        <f t="shared" si="72"/>
        <v>0.67291666666278616</v>
      </c>
      <c r="AE238" s="210">
        <f t="shared" si="73"/>
        <v>0</v>
      </c>
      <c r="AF238" s="210">
        <f t="shared" si="74"/>
        <v>0.67291666666278616</v>
      </c>
      <c r="AG238" s="210">
        <f t="shared" si="75"/>
        <v>0</v>
      </c>
    </row>
    <row r="239" spans="2:33" ht="15" customHeight="1" x14ac:dyDescent="0.3">
      <c r="B239" s="196" t="s">
        <v>7</v>
      </c>
      <c r="C239" s="197" t="s">
        <v>13</v>
      </c>
      <c r="D239" s="198" t="str">
        <f t="shared" si="57"/>
        <v>C</v>
      </c>
      <c r="E239" s="199">
        <v>44089.833333333336</v>
      </c>
      <c r="F239" s="200" t="s">
        <v>118</v>
      </c>
      <c r="G239" s="201">
        <v>124.998</v>
      </c>
      <c r="H239" s="201">
        <v>125.788</v>
      </c>
      <c r="I239" s="202">
        <f t="shared" si="58"/>
        <v>0.78999999999999204</v>
      </c>
      <c r="J239" s="201">
        <v>121.837</v>
      </c>
      <c r="K239" s="199">
        <v>44092.131249999999</v>
      </c>
      <c r="L239" s="201">
        <v>124.292</v>
      </c>
      <c r="M239" s="203">
        <f t="shared" si="59"/>
        <v>0.70599999999999996</v>
      </c>
      <c r="N239" s="204">
        <f t="shared" si="60"/>
        <v>0.89</v>
      </c>
      <c r="O239" s="205">
        <f t="shared" si="61"/>
        <v>0</v>
      </c>
      <c r="P239" s="206">
        <f t="shared" si="62"/>
        <v>0.89</v>
      </c>
      <c r="Q239" s="206">
        <f t="shared" si="63"/>
        <v>0</v>
      </c>
      <c r="R2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265200</v>
      </c>
      <c r="T2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39" s="208">
        <f ca="1">IF(Tabla33610673[[#This Row],[Equity]]&lt;Tabla33610673[[#This Row],[Equity Peak]],(Tabla33610673[[#This Row],[Equity Peak]]-Tabla33610673[[#This Row],[Equity]])/Tabla33610673[[#This Row],[Equity Peak]],"")</f>
        <v>5.7361376673040155E-3</v>
      </c>
      <c r="V239" s="209">
        <f t="shared" si="64"/>
        <v>0.89</v>
      </c>
      <c r="W239" s="209">
        <f t="shared" si="65"/>
        <v>0</v>
      </c>
      <c r="X239" s="209">
        <f t="shared" si="66"/>
        <v>0</v>
      </c>
      <c r="Y239" s="209">
        <f t="shared" si="67"/>
        <v>0</v>
      </c>
      <c r="Z239" s="209">
        <f t="shared" si="68"/>
        <v>0</v>
      </c>
      <c r="AA239" s="205">
        <f t="shared" si="69"/>
        <v>0</v>
      </c>
      <c r="AB239" s="209">
        <f t="shared" si="70"/>
        <v>0</v>
      </c>
      <c r="AC239" s="205">
        <f t="shared" si="71"/>
        <v>0</v>
      </c>
      <c r="AD239" s="210">
        <f t="shared" si="72"/>
        <v>2.2979166666627862</v>
      </c>
      <c r="AE239" s="210">
        <f t="shared" si="73"/>
        <v>2.2979166666627862</v>
      </c>
      <c r="AF239" s="210">
        <f t="shared" si="74"/>
        <v>0</v>
      </c>
      <c r="AG239" s="210">
        <f t="shared" si="75"/>
        <v>0</v>
      </c>
    </row>
    <row r="240" spans="2:33" ht="15" customHeight="1" x14ac:dyDescent="0.3">
      <c r="B240" s="196" t="s">
        <v>7</v>
      </c>
      <c r="C240" s="197" t="s">
        <v>13</v>
      </c>
      <c r="D240" s="198" t="str">
        <f t="shared" si="57"/>
        <v>C</v>
      </c>
      <c r="E240" s="199">
        <v>44083.166666666664</v>
      </c>
      <c r="F240" s="200" t="s">
        <v>115</v>
      </c>
      <c r="G240" s="201">
        <v>137.42599999999999</v>
      </c>
      <c r="H240" s="201">
        <v>138.77699999999999</v>
      </c>
      <c r="I240" s="202">
        <f t="shared" si="58"/>
        <v>1.3509999999999991</v>
      </c>
      <c r="J240" s="201">
        <v>129.863</v>
      </c>
      <c r="K240" s="199">
        <v>44091.73541666667</v>
      </c>
      <c r="L240" s="201">
        <v>135.97800000000001</v>
      </c>
      <c r="M240" s="203">
        <f t="shared" si="59"/>
        <v>1.448</v>
      </c>
      <c r="N240" s="204">
        <f t="shared" si="60"/>
        <v>1.07</v>
      </c>
      <c r="O240" s="205">
        <f t="shared" si="61"/>
        <v>0</v>
      </c>
      <c r="P240" s="206">
        <f t="shared" si="62"/>
        <v>1.07</v>
      </c>
      <c r="Q240" s="206">
        <f t="shared" si="63"/>
        <v>0</v>
      </c>
      <c r="R2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264310</v>
      </c>
      <c r="T2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40" s="208">
        <f ca="1">IF(Tabla33610673[[#This Row],[Equity]]&lt;Tabla33610673[[#This Row],[Equity Peak]],(Tabla33610673[[#This Row],[Equity Peak]]-Tabla33610673[[#This Row],[Equity]])/Tabla33610673[[#This Row],[Equity Peak]],"")</f>
        <v>9.0728451992651751E-3</v>
      </c>
      <c r="V240" s="209">
        <f t="shared" si="64"/>
        <v>1.07</v>
      </c>
      <c r="W240" s="209">
        <f t="shared" si="65"/>
        <v>0</v>
      </c>
      <c r="X240" s="209">
        <f t="shared" si="66"/>
        <v>0</v>
      </c>
      <c r="Y240" s="209">
        <f t="shared" si="67"/>
        <v>0</v>
      </c>
      <c r="Z240" s="209">
        <f t="shared" si="68"/>
        <v>0</v>
      </c>
      <c r="AA240" s="205">
        <f t="shared" si="69"/>
        <v>0</v>
      </c>
      <c r="AB240" s="209">
        <f t="shared" si="70"/>
        <v>0</v>
      </c>
      <c r="AC240" s="205">
        <f t="shared" si="71"/>
        <v>0</v>
      </c>
      <c r="AD240" s="210">
        <f t="shared" si="72"/>
        <v>8.5687500000058208</v>
      </c>
      <c r="AE240" s="210">
        <f t="shared" si="73"/>
        <v>8.5687500000058208</v>
      </c>
      <c r="AF240" s="210">
        <f t="shared" si="74"/>
        <v>0</v>
      </c>
      <c r="AG240" s="210">
        <f t="shared" si="75"/>
        <v>0</v>
      </c>
    </row>
    <row r="241" spans="2:33" ht="15" customHeight="1" x14ac:dyDescent="0.3">
      <c r="B241" s="196" t="s">
        <v>19</v>
      </c>
      <c r="C241" s="197" t="s">
        <v>15</v>
      </c>
      <c r="D241" s="198" t="str">
        <f t="shared" si="57"/>
        <v>C</v>
      </c>
      <c r="E241" s="199">
        <v>44089.208333333336</v>
      </c>
      <c r="F241" s="200" t="s">
        <v>89</v>
      </c>
      <c r="G241" s="201">
        <v>27.332999999999998</v>
      </c>
      <c r="H241" s="201">
        <v>26.282</v>
      </c>
      <c r="I241" s="202">
        <f t="shared" si="58"/>
        <v>1.0509999999999984</v>
      </c>
      <c r="J241" s="201">
        <v>32.375999999999998</v>
      </c>
      <c r="K241" s="199">
        <v>44091.67291666667</v>
      </c>
      <c r="L241" s="201">
        <v>26.282</v>
      </c>
      <c r="M241" s="203">
        <f t="shared" si="59"/>
        <v>-1.0509999999999999</v>
      </c>
      <c r="N241" s="204">
        <f t="shared" si="60"/>
        <v>-1</v>
      </c>
      <c r="O241" s="205">
        <f t="shared" si="61"/>
        <v>0</v>
      </c>
      <c r="P241" s="206">
        <f t="shared" si="62"/>
        <v>0</v>
      </c>
      <c r="Q241" s="206">
        <f t="shared" si="63"/>
        <v>-1</v>
      </c>
      <c r="R2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263240</v>
      </c>
      <c r="T2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41" s="208">
        <f ca="1">IF(Tabla33610673[[#This Row],[Equity]]&lt;Tabla33610673[[#This Row],[Equity Peak]],(Tabla33610673[[#This Row],[Equity Peak]]-Tabla33610673[[#This Row],[Equity]])/Tabla33610673[[#This Row],[Equity Peak]],"")</f>
        <v>1.3084392456791513E-2</v>
      </c>
      <c r="V241" s="209">
        <f t="shared" si="64"/>
        <v>0</v>
      </c>
      <c r="W241" s="209">
        <f t="shared" si="65"/>
        <v>0</v>
      </c>
      <c r="X241" s="209">
        <f t="shared" si="66"/>
        <v>-1</v>
      </c>
      <c r="Y241" s="209">
        <f t="shared" si="67"/>
        <v>0</v>
      </c>
      <c r="Z241" s="209">
        <f t="shared" si="68"/>
        <v>0</v>
      </c>
      <c r="AA241" s="205">
        <f t="shared" si="69"/>
        <v>0</v>
      </c>
      <c r="AB241" s="209">
        <f t="shared" si="70"/>
        <v>0</v>
      </c>
      <c r="AC241" s="205">
        <f t="shared" si="71"/>
        <v>0</v>
      </c>
      <c r="AD241" s="210">
        <f t="shared" si="72"/>
        <v>2.4645833333343035</v>
      </c>
      <c r="AE241" s="210">
        <f t="shared" si="73"/>
        <v>0</v>
      </c>
      <c r="AF241" s="210">
        <f t="shared" si="74"/>
        <v>2.4645833333343035</v>
      </c>
      <c r="AG241" s="210">
        <f t="shared" si="75"/>
        <v>0</v>
      </c>
    </row>
    <row r="242" spans="2:33" ht="15" customHeight="1" x14ac:dyDescent="0.3">
      <c r="B242" s="196" t="s">
        <v>7</v>
      </c>
      <c r="C242" s="197" t="s">
        <v>15</v>
      </c>
      <c r="D242" s="198" t="str">
        <f t="shared" si="57"/>
        <v>C</v>
      </c>
      <c r="E242" s="199">
        <v>44088.833333333336</v>
      </c>
      <c r="F242" s="200" t="s">
        <v>121</v>
      </c>
      <c r="G242" s="201">
        <v>0.72935000000000005</v>
      </c>
      <c r="H242" s="201">
        <v>0.72545000000000004</v>
      </c>
      <c r="I242" s="202">
        <f t="shared" si="58"/>
        <v>3.9000000000000146E-3</v>
      </c>
      <c r="J242" s="201">
        <v>0.75016000000000005</v>
      </c>
      <c r="K242" s="199">
        <v>44091.29583333333</v>
      </c>
      <c r="L242" s="201">
        <v>0.72604000000000002</v>
      </c>
      <c r="M242" s="203">
        <f t="shared" si="59"/>
        <v>-3.3E-3</v>
      </c>
      <c r="N242" s="204">
        <f t="shared" si="60"/>
        <v>-0.85</v>
      </c>
      <c r="O242" s="205">
        <f t="shared" si="61"/>
        <v>0</v>
      </c>
      <c r="P242" s="206">
        <f t="shared" si="62"/>
        <v>0</v>
      </c>
      <c r="Q242" s="206">
        <f t="shared" si="63"/>
        <v>-0.85</v>
      </c>
      <c r="R2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264240</v>
      </c>
      <c r="T2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42" s="208">
        <f ca="1">IF(Tabla33610673[[#This Row],[Equity]]&lt;Tabla33610673[[#This Row],[Equity Peak]],(Tabla33610673[[#This Row],[Equity Peak]]-Tabla33610673[[#This Row],[Equity]])/Tabla33610673[[#This Row],[Equity Peak]],"")</f>
        <v>9.3352828703182986E-3</v>
      </c>
      <c r="V242" s="209">
        <f t="shared" si="64"/>
        <v>-0.85</v>
      </c>
      <c r="W242" s="209">
        <f t="shared" si="65"/>
        <v>0</v>
      </c>
      <c r="X242" s="209">
        <f t="shared" si="66"/>
        <v>0</v>
      </c>
      <c r="Y242" s="209">
        <f t="shared" si="67"/>
        <v>0</v>
      </c>
      <c r="Z242" s="209">
        <f t="shared" si="68"/>
        <v>0</v>
      </c>
      <c r="AA242" s="205">
        <f t="shared" si="69"/>
        <v>0</v>
      </c>
      <c r="AB242" s="209">
        <f t="shared" si="70"/>
        <v>0</v>
      </c>
      <c r="AC242" s="205">
        <f t="shared" si="71"/>
        <v>0</v>
      </c>
      <c r="AD242" s="210">
        <f t="shared" si="72"/>
        <v>2.4624999999941792</v>
      </c>
      <c r="AE242" s="210">
        <f t="shared" si="73"/>
        <v>0</v>
      </c>
      <c r="AF242" s="210">
        <f t="shared" si="74"/>
        <v>2.4624999999941792</v>
      </c>
      <c r="AG242" s="210">
        <f t="shared" si="75"/>
        <v>0</v>
      </c>
    </row>
    <row r="243" spans="2:33" ht="15" customHeight="1" x14ac:dyDescent="0.3">
      <c r="B243" s="196" t="s">
        <v>5</v>
      </c>
      <c r="C243" s="197" t="s">
        <v>15</v>
      </c>
      <c r="D243" s="198" t="str">
        <f t="shared" si="57"/>
        <v>C</v>
      </c>
      <c r="E243" s="199">
        <v>44083.666666666664</v>
      </c>
      <c r="F243" s="200" t="s">
        <v>94</v>
      </c>
      <c r="G243" s="201">
        <v>5999.93</v>
      </c>
      <c r="H243" s="201">
        <v>5892.95</v>
      </c>
      <c r="I243" s="202">
        <f t="shared" si="58"/>
        <v>106.98000000000047</v>
      </c>
      <c r="J243" s="201">
        <v>6534.84</v>
      </c>
      <c r="K243" s="199">
        <v>44091.263194444444</v>
      </c>
      <c r="L243" s="201">
        <v>6034.86</v>
      </c>
      <c r="M243" s="203">
        <f t="shared" si="59"/>
        <v>34.93</v>
      </c>
      <c r="N243" s="204">
        <f t="shared" si="60"/>
        <v>0.33</v>
      </c>
      <c r="O243" s="205">
        <f t="shared" si="61"/>
        <v>0</v>
      </c>
      <c r="P243" s="206">
        <f t="shared" si="62"/>
        <v>0.33</v>
      </c>
      <c r="Q243" s="206">
        <f t="shared" si="63"/>
        <v>0</v>
      </c>
      <c r="R2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265090</v>
      </c>
      <c r="T2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43" s="208">
        <f ca="1">IF(Tabla33610673[[#This Row],[Equity]]&lt;Tabla33610673[[#This Row],[Equity Peak]],(Tabla33610673[[#This Row],[Equity Peak]]-Tabla33610673[[#This Row],[Equity]])/Tabla33610673[[#This Row],[Equity Peak]],"")</f>
        <v>6.1485397218160685E-3</v>
      </c>
      <c r="V243" s="209">
        <f t="shared" si="64"/>
        <v>0</v>
      </c>
      <c r="W243" s="209">
        <f t="shared" si="65"/>
        <v>0</v>
      </c>
      <c r="X243" s="209">
        <f t="shared" si="66"/>
        <v>0</v>
      </c>
      <c r="Y243" s="209">
        <f t="shared" si="67"/>
        <v>0</v>
      </c>
      <c r="Z243" s="209">
        <f t="shared" si="68"/>
        <v>0.33</v>
      </c>
      <c r="AA243" s="205">
        <f t="shared" si="69"/>
        <v>0</v>
      </c>
      <c r="AB243" s="209">
        <f t="shared" si="70"/>
        <v>0</v>
      </c>
      <c r="AC243" s="205">
        <f t="shared" si="71"/>
        <v>0</v>
      </c>
      <c r="AD243" s="210">
        <f t="shared" si="72"/>
        <v>7.5965277777795563</v>
      </c>
      <c r="AE243" s="210">
        <f t="shared" si="73"/>
        <v>7.5965277777795563</v>
      </c>
      <c r="AF243" s="210">
        <f t="shared" si="74"/>
        <v>0</v>
      </c>
      <c r="AG243" s="210">
        <f t="shared" si="75"/>
        <v>0</v>
      </c>
    </row>
    <row r="244" spans="2:33" ht="15" customHeight="1" x14ac:dyDescent="0.3">
      <c r="B244" s="196" t="s">
        <v>5</v>
      </c>
      <c r="C244" s="197" t="s">
        <v>15</v>
      </c>
      <c r="D244" s="198" t="str">
        <f t="shared" si="57"/>
        <v>C</v>
      </c>
      <c r="E244" s="199">
        <v>44089.5</v>
      </c>
      <c r="F244" s="200" t="s">
        <v>95</v>
      </c>
      <c r="G244" s="201">
        <v>28112.7</v>
      </c>
      <c r="H244" s="201">
        <v>27813.43</v>
      </c>
      <c r="I244" s="202">
        <f t="shared" si="58"/>
        <v>299.27000000000044</v>
      </c>
      <c r="J244" s="201">
        <v>29309.79</v>
      </c>
      <c r="K244" s="199">
        <v>44091.244444444441</v>
      </c>
      <c r="L244" s="201">
        <v>27813.43</v>
      </c>
      <c r="M244" s="203">
        <f t="shared" si="59"/>
        <v>-299.27</v>
      </c>
      <c r="N244" s="204">
        <f t="shared" si="60"/>
        <v>-1</v>
      </c>
      <c r="O244" s="205">
        <f t="shared" si="61"/>
        <v>0</v>
      </c>
      <c r="P244" s="206">
        <f t="shared" si="62"/>
        <v>0</v>
      </c>
      <c r="Q244" s="206">
        <f t="shared" si="63"/>
        <v>-1</v>
      </c>
      <c r="R2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264760</v>
      </c>
      <c r="T2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44" s="208">
        <f ca="1">IF(Tabla33610673[[#This Row],[Equity]]&lt;Tabla33610673[[#This Row],[Equity Peak]],(Tabla33610673[[#This Row],[Equity Peak]]-Tabla33610673[[#This Row],[Equity]])/Tabla33610673[[#This Row],[Equity Peak]],"")</f>
        <v>7.385745885352229E-3</v>
      </c>
      <c r="V244" s="209">
        <f t="shared" si="64"/>
        <v>0</v>
      </c>
      <c r="W244" s="209">
        <f t="shared" si="65"/>
        <v>0</v>
      </c>
      <c r="X244" s="209">
        <f t="shared" si="66"/>
        <v>0</v>
      </c>
      <c r="Y244" s="209">
        <f t="shared" si="67"/>
        <v>0</v>
      </c>
      <c r="Z244" s="209">
        <f t="shared" si="68"/>
        <v>-1</v>
      </c>
      <c r="AA244" s="205">
        <f t="shared" si="69"/>
        <v>0</v>
      </c>
      <c r="AB244" s="209">
        <f t="shared" si="70"/>
        <v>0</v>
      </c>
      <c r="AC244" s="205">
        <f t="shared" si="71"/>
        <v>0</v>
      </c>
      <c r="AD244" s="210">
        <f t="shared" si="72"/>
        <v>1.7444444444408873</v>
      </c>
      <c r="AE244" s="210">
        <f t="shared" si="73"/>
        <v>0</v>
      </c>
      <c r="AF244" s="210">
        <f t="shared" si="74"/>
        <v>1.7444444444408873</v>
      </c>
      <c r="AG244" s="210">
        <f t="shared" si="75"/>
        <v>0</v>
      </c>
    </row>
    <row r="245" spans="2:33" ht="15" customHeight="1" x14ac:dyDescent="0.3">
      <c r="B245" s="196" t="s">
        <v>19</v>
      </c>
      <c r="C245" s="197" t="s">
        <v>15</v>
      </c>
      <c r="D245" s="198" t="str">
        <f t="shared" si="57"/>
        <v>C</v>
      </c>
      <c r="E245" s="199">
        <v>44084.208333333336</v>
      </c>
      <c r="F245" s="200" t="s">
        <v>88</v>
      </c>
      <c r="G245" s="201">
        <v>1945.91</v>
      </c>
      <c r="H245" s="201">
        <v>1913.6</v>
      </c>
      <c r="I245" s="202">
        <f t="shared" si="58"/>
        <v>32.310000000000173</v>
      </c>
      <c r="J245" s="201">
        <v>2152.7199999999998</v>
      </c>
      <c r="K245" s="199">
        <v>44091.214583333334</v>
      </c>
      <c r="L245" s="201">
        <v>1944.17</v>
      </c>
      <c r="M245" s="203">
        <f t="shared" si="59"/>
        <v>-1.74</v>
      </c>
      <c r="N245" s="204">
        <f t="shared" si="60"/>
        <v>-0.05</v>
      </c>
      <c r="O245" s="205">
        <f t="shared" si="61"/>
        <v>0</v>
      </c>
      <c r="P245" s="206">
        <f t="shared" si="62"/>
        <v>0</v>
      </c>
      <c r="Q245" s="206">
        <f t="shared" si="63"/>
        <v>-0.05</v>
      </c>
      <c r="R2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265760</v>
      </c>
      <c r="T2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45" s="208">
        <f ca="1">IF(Tabla33610673[[#This Row],[Equity]]&lt;Tabla33610673[[#This Row],[Equity Peak]],(Tabla33610673[[#This Row],[Equity Peak]]-Tabla33610673[[#This Row],[Equity]])/Tabla33610673[[#This Row],[Equity Peak]],"")</f>
        <v>3.6366362988790161E-3</v>
      </c>
      <c r="V245" s="209">
        <f t="shared" si="64"/>
        <v>0</v>
      </c>
      <c r="W245" s="209">
        <f t="shared" si="65"/>
        <v>0</v>
      </c>
      <c r="X245" s="209">
        <f t="shared" si="66"/>
        <v>-0.05</v>
      </c>
      <c r="Y245" s="209">
        <f t="shared" si="67"/>
        <v>0</v>
      </c>
      <c r="Z245" s="209">
        <f t="shared" si="68"/>
        <v>0</v>
      </c>
      <c r="AA245" s="205">
        <f t="shared" si="69"/>
        <v>0</v>
      </c>
      <c r="AB245" s="209">
        <f t="shared" si="70"/>
        <v>0</v>
      </c>
      <c r="AC245" s="205">
        <f t="shared" si="71"/>
        <v>0</v>
      </c>
      <c r="AD245" s="210">
        <f t="shared" si="72"/>
        <v>7.0062499999985448</v>
      </c>
      <c r="AE245" s="210">
        <f t="shared" si="73"/>
        <v>0</v>
      </c>
      <c r="AF245" s="210">
        <f t="shared" si="74"/>
        <v>7.0062499999985448</v>
      </c>
      <c r="AG245" s="210">
        <f t="shared" si="75"/>
        <v>0</v>
      </c>
    </row>
    <row r="246" spans="2:33" ht="15" customHeight="1" x14ac:dyDescent="0.3">
      <c r="B246" s="196" t="s">
        <v>19</v>
      </c>
      <c r="C246" s="197" t="s">
        <v>13</v>
      </c>
      <c r="D246" s="198" t="str">
        <f t="shared" si="57"/>
        <v>C</v>
      </c>
      <c r="E246" s="199">
        <v>44077.125</v>
      </c>
      <c r="F246" s="200" t="s">
        <v>108</v>
      </c>
      <c r="G246" s="201">
        <v>41.832999999999998</v>
      </c>
      <c r="H246" s="201">
        <v>42.957000000000001</v>
      </c>
      <c r="I246" s="202">
        <f t="shared" si="58"/>
        <v>1.1240000000000023</v>
      </c>
      <c r="J246" s="201">
        <v>28.35</v>
      </c>
      <c r="K246" s="199">
        <v>44090.683333333334</v>
      </c>
      <c r="L246" s="201">
        <v>39.646999999999998</v>
      </c>
      <c r="M246" s="203">
        <f t="shared" si="59"/>
        <v>2.1859999999999999</v>
      </c>
      <c r="N246" s="204">
        <f t="shared" si="60"/>
        <v>1.94</v>
      </c>
      <c r="O246" s="205">
        <f t="shared" si="61"/>
        <v>0</v>
      </c>
      <c r="P246" s="206">
        <f t="shared" si="62"/>
        <v>1.94</v>
      </c>
      <c r="Q246" s="206">
        <f t="shared" si="63"/>
        <v>0</v>
      </c>
      <c r="R2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265810</v>
      </c>
      <c r="T2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46" s="208">
        <f ca="1">IF(Tabla33610673[[#This Row],[Equity]]&lt;Tabla33610673[[#This Row],[Equity Peak]],(Tabla33610673[[#This Row],[Equity Peak]]-Tabla33610673[[#This Row],[Equity]])/Tabla33610673[[#This Row],[Equity Peak]],"")</f>
        <v>3.4491808195553555E-3</v>
      </c>
      <c r="V246" s="209">
        <f t="shared" si="64"/>
        <v>0</v>
      </c>
      <c r="W246" s="209">
        <f t="shared" si="65"/>
        <v>0</v>
      </c>
      <c r="X246" s="209">
        <f t="shared" si="66"/>
        <v>1.94</v>
      </c>
      <c r="Y246" s="209">
        <f t="shared" si="67"/>
        <v>0</v>
      </c>
      <c r="Z246" s="209">
        <f t="shared" si="68"/>
        <v>0</v>
      </c>
      <c r="AA246" s="205">
        <f t="shared" si="69"/>
        <v>0</v>
      </c>
      <c r="AB246" s="209">
        <f t="shared" si="70"/>
        <v>0</v>
      </c>
      <c r="AC246" s="205">
        <f t="shared" si="71"/>
        <v>0</v>
      </c>
      <c r="AD246" s="210">
        <f t="shared" si="72"/>
        <v>13.558333333334303</v>
      </c>
      <c r="AE246" s="210">
        <f t="shared" si="73"/>
        <v>13.558333333334303</v>
      </c>
      <c r="AF246" s="210">
        <f t="shared" si="74"/>
        <v>0</v>
      </c>
      <c r="AG246" s="210">
        <f t="shared" si="75"/>
        <v>0</v>
      </c>
    </row>
    <row r="247" spans="2:33" ht="15" customHeight="1" x14ac:dyDescent="0.3">
      <c r="B247" s="196" t="s">
        <v>7</v>
      </c>
      <c r="C247" s="197" t="s">
        <v>15</v>
      </c>
      <c r="D247" s="198" t="str">
        <f t="shared" si="57"/>
        <v>C</v>
      </c>
      <c r="E247" s="199">
        <v>44084.017361111109</v>
      </c>
      <c r="F247" s="200" t="s">
        <v>122</v>
      </c>
      <c r="G247" s="201">
        <v>77.221000000000004</v>
      </c>
      <c r="H247" s="201">
        <v>76.736999999999995</v>
      </c>
      <c r="I247" s="202">
        <f t="shared" si="58"/>
        <v>0.48400000000000887</v>
      </c>
      <c r="J247" s="201">
        <v>85.603999999999999</v>
      </c>
      <c r="K247" s="199">
        <v>44090.131249999999</v>
      </c>
      <c r="L247" s="201">
        <v>76.757999999999996</v>
      </c>
      <c r="M247" s="203">
        <f t="shared" si="59"/>
        <v>-0.46300000000000002</v>
      </c>
      <c r="N247" s="204">
        <f t="shared" si="60"/>
        <v>-0.96</v>
      </c>
      <c r="O247" s="205">
        <f t="shared" si="61"/>
        <v>0</v>
      </c>
      <c r="P247" s="206">
        <f t="shared" si="62"/>
        <v>0</v>
      </c>
      <c r="Q247" s="206">
        <f t="shared" si="63"/>
        <v>-0.96</v>
      </c>
      <c r="R2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263870</v>
      </c>
      <c r="T2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47" s="208">
        <f ca="1">IF(Tabla33610673[[#This Row],[Equity]]&lt;Tabla33610673[[#This Row],[Equity Peak]],(Tabla33610673[[#This Row],[Equity Peak]]-Tabla33610673[[#This Row],[Equity]])/Tabla33610673[[#This Row],[Equity Peak]],"")</f>
        <v>1.0722453417313389E-2</v>
      </c>
      <c r="V247" s="209">
        <f t="shared" si="64"/>
        <v>-0.96</v>
      </c>
      <c r="W247" s="209">
        <f t="shared" si="65"/>
        <v>0</v>
      </c>
      <c r="X247" s="209">
        <f t="shared" si="66"/>
        <v>0</v>
      </c>
      <c r="Y247" s="209">
        <f t="shared" si="67"/>
        <v>0</v>
      </c>
      <c r="Z247" s="209">
        <f t="shared" si="68"/>
        <v>0</v>
      </c>
      <c r="AA247" s="205">
        <f t="shared" si="69"/>
        <v>0</v>
      </c>
      <c r="AB247" s="209">
        <f t="shared" si="70"/>
        <v>0</v>
      </c>
      <c r="AC247" s="205">
        <f t="shared" si="71"/>
        <v>0</v>
      </c>
      <c r="AD247" s="210">
        <f t="shared" si="72"/>
        <v>6.1138888888890506</v>
      </c>
      <c r="AE247" s="210">
        <f t="shared" si="73"/>
        <v>0</v>
      </c>
      <c r="AF247" s="210">
        <f t="shared" si="74"/>
        <v>6.1138888888890506</v>
      </c>
      <c r="AG247" s="210">
        <f t="shared" si="75"/>
        <v>0</v>
      </c>
    </row>
    <row r="248" spans="2:33" ht="15" customHeight="1" x14ac:dyDescent="0.3">
      <c r="B248" s="196" t="s">
        <v>7</v>
      </c>
      <c r="C248" s="197" t="s">
        <v>15</v>
      </c>
      <c r="D248" s="198" t="str">
        <f t="shared" si="57"/>
        <v>C</v>
      </c>
      <c r="E248" s="199">
        <v>44084.833333333336</v>
      </c>
      <c r="F248" s="200" t="s">
        <v>117</v>
      </c>
      <c r="G248" s="201">
        <v>1.18574</v>
      </c>
      <c r="H248" s="201">
        <v>1.17702</v>
      </c>
      <c r="I248" s="202">
        <f t="shared" si="58"/>
        <v>8.720000000000061E-3</v>
      </c>
      <c r="J248" s="201">
        <v>1.24152</v>
      </c>
      <c r="K248" s="199">
        <v>44090.131249999999</v>
      </c>
      <c r="L248" s="201">
        <v>1.1834100000000001</v>
      </c>
      <c r="M248" s="203">
        <f t="shared" si="59"/>
        <v>-2.3E-3</v>
      </c>
      <c r="N248" s="204">
        <f t="shared" si="60"/>
        <v>-0.26</v>
      </c>
      <c r="O248" s="205">
        <f t="shared" si="61"/>
        <v>0</v>
      </c>
      <c r="P248" s="206">
        <f t="shared" si="62"/>
        <v>0</v>
      </c>
      <c r="Q248" s="206">
        <f t="shared" si="63"/>
        <v>-0.26</v>
      </c>
      <c r="R2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264830</v>
      </c>
      <c r="T2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48" s="208">
        <f ca="1">IF(Tabla33610673[[#This Row],[Equity]]&lt;Tabla33610673[[#This Row],[Equity Peak]],(Tabla33610673[[#This Row],[Equity Peak]]-Tabla33610673[[#This Row],[Equity]])/Tabla33610673[[#This Row],[Equity Peak]],"")</f>
        <v>7.1233082142991037E-3</v>
      </c>
      <c r="V248" s="209">
        <f t="shared" si="64"/>
        <v>-0.26</v>
      </c>
      <c r="W248" s="209">
        <f t="shared" si="65"/>
        <v>0</v>
      </c>
      <c r="X248" s="209">
        <f t="shared" si="66"/>
        <v>0</v>
      </c>
      <c r="Y248" s="209">
        <f t="shared" si="67"/>
        <v>0</v>
      </c>
      <c r="Z248" s="209">
        <f t="shared" si="68"/>
        <v>0</v>
      </c>
      <c r="AA248" s="205">
        <f t="shared" si="69"/>
        <v>0</v>
      </c>
      <c r="AB248" s="209">
        <f t="shared" si="70"/>
        <v>0</v>
      </c>
      <c r="AC248" s="205">
        <f t="shared" si="71"/>
        <v>0</v>
      </c>
      <c r="AD248" s="210">
        <f t="shared" si="72"/>
        <v>5.2979166666627862</v>
      </c>
      <c r="AE248" s="210">
        <f t="shared" si="73"/>
        <v>0</v>
      </c>
      <c r="AF248" s="210">
        <f t="shared" si="74"/>
        <v>5.2979166666627862</v>
      </c>
      <c r="AG248" s="210">
        <f t="shared" si="75"/>
        <v>0</v>
      </c>
    </row>
    <row r="249" spans="2:33" ht="15" customHeight="1" x14ac:dyDescent="0.3">
      <c r="B249" s="196" t="s">
        <v>84</v>
      </c>
      <c r="C249" s="197" t="s">
        <v>15</v>
      </c>
      <c r="D249" s="198" t="str">
        <f t="shared" si="57"/>
        <v>C</v>
      </c>
      <c r="E249" s="199">
        <v>44089.333333333336</v>
      </c>
      <c r="F249" s="200" t="s">
        <v>80</v>
      </c>
      <c r="G249" s="201">
        <v>10729.36</v>
      </c>
      <c r="H249" s="201">
        <v>10490.07</v>
      </c>
      <c r="I249" s="202">
        <f t="shared" si="58"/>
        <v>239.29000000000087</v>
      </c>
      <c r="J249" s="201">
        <v>14318.77</v>
      </c>
      <c r="K249" s="199">
        <v>44089.818749999999</v>
      </c>
      <c r="L249" s="201">
        <v>10697.51</v>
      </c>
      <c r="M249" s="203">
        <f t="shared" si="59"/>
        <v>-31.85</v>
      </c>
      <c r="N249" s="204">
        <f t="shared" si="60"/>
        <v>-0.13</v>
      </c>
      <c r="O249" s="205">
        <f t="shared" si="61"/>
        <v>0</v>
      </c>
      <c r="P249" s="206">
        <f t="shared" si="62"/>
        <v>0</v>
      </c>
      <c r="Q249" s="206">
        <f t="shared" si="63"/>
        <v>-0.13</v>
      </c>
      <c r="R2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265090</v>
      </c>
      <c r="T2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49" s="208">
        <f ca="1">IF(Tabla33610673[[#This Row],[Equity]]&lt;Tabla33610673[[#This Row],[Equity Peak]],(Tabla33610673[[#This Row],[Equity Peak]]-Tabla33610673[[#This Row],[Equity]])/Tabla33610673[[#This Row],[Equity Peak]],"")</f>
        <v>6.1485397218160685E-3</v>
      </c>
      <c r="V249" s="209">
        <f t="shared" si="64"/>
        <v>0</v>
      </c>
      <c r="W249" s="209">
        <f t="shared" si="65"/>
        <v>0</v>
      </c>
      <c r="X249" s="209">
        <f t="shared" si="66"/>
        <v>0</v>
      </c>
      <c r="Y249" s="209">
        <f t="shared" si="67"/>
        <v>0</v>
      </c>
      <c r="Z249" s="209">
        <f t="shared" si="68"/>
        <v>0</v>
      </c>
      <c r="AA249" s="205">
        <f t="shared" si="69"/>
        <v>0</v>
      </c>
      <c r="AB249" s="209">
        <f t="shared" si="70"/>
        <v>-0.13</v>
      </c>
      <c r="AC249" s="205">
        <f t="shared" si="71"/>
        <v>0</v>
      </c>
      <c r="AD249" s="210">
        <f t="shared" si="72"/>
        <v>0.48541666666278616</v>
      </c>
      <c r="AE249" s="210">
        <f t="shared" si="73"/>
        <v>0</v>
      </c>
      <c r="AF249" s="210">
        <f t="shared" si="74"/>
        <v>0.48541666666278616</v>
      </c>
      <c r="AG249" s="210">
        <f t="shared" si="75"/>
        <v>0</v>
      </c>
    </row>
    <row r="250" spans="2:33" ht="15" customHeight="1" x14ac:dyDescent="0.3">
      <c r="B250" s="196" t="s">
        <v>7</v>
      </c>
      <c r="C250" s="197" t="s">
        <v>15</v>
      </c>
      <c r="D250" s="198" t="str">
        <f t="shared" si="57"/>
        <v>C</v>
      </c>
      <c r="E250" s="199">
        <v>44084.5</v>
      </c>
      <c r="F250" s="200" t="s">
        <v>118</v>
      </c>
      <c r="G250" s="201">
        <v>125.518</v>
      </c>
      <c r="H250" s="201">
        <v>124.625</v>
      </c>
      <c r="I250" s="202">
        <f t="shared" si="58"/>
        <v>0.89300000000000068</v>
      </c>
      <c r="J250" s="201">
        <v>129.089</v>
      </c>
      <c r="K250" s="199">
        <v>44089.683333333334</v>
      </c>
      <c r="L250" s="201">
        <v>125.05800000000001</v>
      </c>
      <c r="M250" s="203">
        <f t="shared" si="59"/>
        <v>-0.46</v>
      </c>
      <c r="N250" s="204">
        <f t="shared" si="60"/>
        <v>-0.52</v>
      </c>
      <c r="O250" s="205">
        <f t="shared" si="61"/>
        <v>0</v>
      </c>
      <c r="P250" s="206">
        <f t="shared" si="62"/>
        <v>0</v>
      </c>
      <c r="Q250" s="206">
        <f t="shared" si="63"/>
        <v>-0.52</v>
      </c>
      <c r="R2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265220</v>
      </c>
      <c r="T2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50" s="208">
        <f ca="1">IF(Tabla33610673[[#This Row],[Equity]]&lt;Tabla33610673[[#This Row],[Equity Peak]],(Tabla33610673[[#This Row],[Equity Peak]]-Tabla33610673[[#This Row],[Equity]])/Tabla33610673[[#This Row],[Equity Peak]],"")</f>
        <v>5.6611554755745513E-3</v>
      </c>
      <c r="V250" s="209">
        <f t="shared" si="64"/>
        <v>-0.52</v>
      </c>
      <c r="W250" s="209">
        <f t="shared" si="65"/>
        <v>0</v>
      </c>
      <c r="X250" s="209">
        <f t="shared" si="66"/>
        <v>0</v>
      </c>
      <c r="Y250" s="209">
        <f t="shared" si="67"/>
        <v>0</v>
      </c>
      <c r="Z250" s="209">
        <f t="shared" si="68"/>
        <v>0</v>
      </c>
      <c r="AA250" s="205">
        <f t="shared" si="69"/>
        <v>0</v>
      </c>
      <c r="AB250" s="209">
        <f t="shared" si="70"/>
        <v>0</v>
      </c>
      <c r="AC250" s="205">
        <f t="shared" si="71"/>
        <v>0</v>
      </c>
      <c r="AD250" s="210">
        <f t="shared" si="72"/>
        <v>5.1833333333343035</v>
      </c>
      <c r="AE250" s="210">
        <f t="shared" si="73"/>
        <v>0</v>
      </c>
      <c r="AF250" s="210">
        <f t="shared" si="74"/>
        <v>5.1833333333343035</v>
      </c>
      <c r="AG250" s="210">
        <f t="shared" si="75"/>
        <v>0</v>
      </c>
    </row>
    <row r="251" spans="2:33" ht="15" customHeight="1" x14ac:dyDescent="0.3">
      <c r="B251" s="196" t="s">
        <v>7</v>
      </c>
      <c r="C251" s="197" t="s">
        <v>15</v>
      </c>
      <c r="D251" s="198" t="str">
        <f t="shared" si="57"/>
        <v>C</v>
      </c>
      <c r="E251" s="199">
        <v>44088.666666666664</v>
      </c>
      <c r="F251" s="200" t="s">
        <v>120</v>
      </c>
      <c r="G251" s="201">
        <v>1.63253</v>
      </c>
      <c r="H251" s="201">
        <v>1.62639</v>
      </c>
      <c r="I251" s="202">
        <f t="shared" si="58"/>
        <v>6.1400000000000343E-3</v>
      </c>
      <c r="J251" s="201">
        <v>1.69804</v>
      </c>
      <c r="K251" s="199">
        <v>44088.79791666667</v>
      </c>
      <c r="L251" s="201">
        <v>1.62639</v>
      </c>
      <c r="M251" s="203">
        <f t="shared" si="59"/>
        <v>-6.1000000000000004E-3</v>
      </c>
      <c r="N251" s="204">
        <f t="shared" si="60"/>
        <v>-0.99</v>
      </c>
      <c r="O251" s="205">
        <f t="shared" si="61"/>
        <v>0</v>
      </c>
      <c r="P251" s="206">
        <f t="shared" si="62"/>
        <v>0</v>
      </c>
      <c r="Q251" s="206">
        <f t="shared" si="63"/>
        <v>-0.99</v>
      </c>
      <c r="R2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265740</v>
      </c>
      <c r="T2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51" s="208">
        <f ca="1">IF(Tabla33610673[[#This Row],[Equity]]&lt;Tabla33610673[[#This Row],[Equity Peak]],(Tabla33610673[[#This Row],[Equity Peak]]-Tabla33610673[[#This Row],[Equity]])/Tabla33610673[[#This Row],[Equity Peak]],"")</f>
        <v>3.7116184906084804E-3</v>
      </c>
      <c r="V251" s="209">
        <f t="shared" si="64"/>
        <v>-0.99</v>
      </c>
      <c r="W251" s="209">
        <f t="shared" si="65"/>
        <v>0</v>
      </c>
      <c r="X251" s="209">
        <f t="shared" si="66"/>
        <v>0</v>
      </c>
      <c r="Y251" s="209">
        <f t="shared" si="67"/>
        <v>0</v>
      </c>
      <c r="Z251" s="209">
        <f t="shared" si="68"/>
        <v>0</v>
      </c>
      <c r="AA251" s="205">
        <f t="shared" si="69"/>
        <v>0</v>
      </c>
      <c r="AB251" s="209">
        <f t="shared" si="70"/>
        <v>0</v>
      </c>
      <c r="AC251" s="205">
        <f t="shared" si="71"/>
        <v>0</v>
      </c>
      <c r="AD251" s="210">
        <f t="shared" si="72"/>
        <v>0.13125000000582077</v>
      </c>
      <c r="AE251" s="210">
        <f t="shared" si="73"/>
        <v>0</v>
      </c>
      <c r="AF251" s="210">
        <f t="shared" si="74"/>
        <v>0.13125000000582077</v>
      </c>
      <c r="AG251" s="210">
        <f t="shared" si="75"/>
        <v>0</v>
      </c>
    </row>
    <row r="252" spans="2:33" ht="15" customHeight="1" x14ac:dyDescent="0.3">
      <c r="B252" s="196" t="s">
        <v>84</v>
      </c>
      <c r="C252" s="197" t="s">
        <v>13</v>
      </c>
      <c r="D252" s="198" t="str">
        <f t="shared" si="57"/>
        <v>C</v>
      </c>
      <c r="E252" s="199">
        <v>44076.833333333336</v>
      </c>
      <c r="F252" s="200" t="s">
        <v>80</v>
      </c>
      <c r="G252" s="201">
        <v>11295.16</v>
      </c>
      <c r="H252" s="201">
        <v>11663.16</v>
      </c>
      <c r="I252" s="202">
        <f t="shared" si="58"/>
        <v>368</v>
      </c>
      <c r="J252" s="201">
        <v>5775.12</v>
      </c>
      <c r="K252" s="199">
        <v>44088.686805555553</v>
      </c>
      <c r="L252" s="201">
        <v>10614.74</v>
      </c>
      <c r="M252" s="203">
        <f t="shared" si="59"/>
        <v>680.42</v>
      </c>
      <c r="N252" s="204">
        <f t="shared" si="60"/>
        <v>1.85</v>
      </c>
      <c r="O252" s="205">
        <f t="shared" si="61"/>
        <v>0</v>
      </c>
      <c r="P252" s="206">
        <f t="shared" si="62"/>
        <v>1.85</v>
      </c>
      <c r="Q252" s="206">
        <f t="shared" si="63"/>
        <v>0</v>
      </c>
      <c r="R2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266730</v>
      </c>
      <c r="T2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266730</v>
      </c>
      <c r="U25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52" s="209">
        <f t="shared" si="64"/>
        <v>0</v>
      </c>
      <c r="W252" s="209">
        <f t="shared" si="65"/>
        <v>0</v>
      </c>
      <c r="X252" s="209">
        <f t="shared" si="66"/>
        <v>0</v>
      </c>
      <c r="Y252" s="209">
        <f t="shared" si="67"/>
        <v>0</v>
      </c>
      <c r="Z252" s="209">
        <f t="shared" si="68"/>
        <v>0</v>
      </c>
      <c r="AA252" s="205">
        <f t="shared" si="69"/>
        <v>0</v>
      </c>
      <c r="AB252" s="209">
        <f t="shared" si="70"/>
        <v>1.85</v>
      </c>
      <c r="AC252" s="205">
        <f t="shared" si="71"/>
        <v>0</v>
      </c>
      <c r="AD252" s="210">
        <f t="shared" si="72"/>
        <v>11.853472222217533</v>
      </c>
      <c r="AE252" s="210">
        <f t="shared" si="73"/>
        <v>11.853472222217533</v>
      </c>
      <c r="AF252" s="210">
        <f t="shared" si="74"/>
        <v>0</v>
      </c>
      <c r="AG252" s="210">
        <f t="shared" si="75"/>
        <v>0</v>
      </c>
    </row>
    <row r="253" spans="2:33" ht="15" customHeight="1" x14ac:dyDescent="0.3">
      <c r="B253" s="196" t="s">
        <v>7</v>
      </c>
      <c r="C253" s="197" t="s">
        <v>13</v>
      </c>
      <c r="D253" s="198" t="str">
        <f t="shared" si="57"/>
        <v>C</v>
      </c>
      <c r="E253" s="199">
        <v>44081.5</v>
      </c>
      <c r="F253" s="200" t="s">
        <v>116</v>
      </c>
      <c r="G253" s="201">
        <v>1.8115600000000001</v>
      </c>
      <c r="H253" s="201">
        <v>1.8272600000000001</v>
      </c>
      <c r="I253" s="202">
        <f t="shared" si="58"/>
        <v>1.5700000000000047E-2</v>
      </c>
      <c r="J253" s="201">
        <v>1.7592300000000001</v>
      </c>
      <c r="K253" s="199">
        <v>44084.79791666667</v>
      </c>
      <c r="L253" s="201">
        <v>1.7592300000000001</v>
      </c>
      <c r="M253" s="203">
        <f t="shared" si="59"/>
        <v>5.2299999999999999E-2</v>
      </c>
      <c r="N253" s="204">
        <f t="shared" si="60"/>
        <v>3.33</v>
      </c>
      <c r="O253" s="205">
        <f t="shared" si="61"/>
        <v>0</v>
      </c>
      <c r="P253" s="206">
        <f t="shared" si="62"/>
        <v>3.33</v>
      </c>
      <c r="Q253" s="206">
        <f t="shared" si="63"/>
        <v>0</v>
      </c>
      <c r="R2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264880</v>
      </c>
      <c r="T2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264880</v>
      </c>
      <c r="U25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53" s="209">
        <f t="shared" si="64"/>
        <v>3.33</v>
      </c>
      <c r="W253" s="209">
        <f t="shared" si="65"/>
        <v>0</v>
      </c>
      <c r="X253" s="209">
        <f t="shared" si="66"/>
        <v>0</v>
      </c>
      <c r="Y253" s="209">
        <f t="shared" si="67"/>
        <v>0</v>
      </c>
      <c r="Z253" s="209">
        <f t="shared" si="68"/>
        <v>0</v>
      </c>
      <c r="AA253" s="205">
        <f t="shared" si="69"/>
        <v>0</v>
      </c>
      <c r="AB253" s="209">
        <f t="shared" si="70"/>
        <v>0</v>
      </c>
      <c r="AC253" s="205">
        <f t="shared" si="71"/>
        <v>0</v>
      </c>
      <c r="AD253" s="210">
        <f t="shared" si="72"/>
        <v>3.2979166666700621</v>
      </c>
      <c r="AE253" s="210">
        <f t="shared" si="73"/>
        <v>3.2979166666700621</v>
      </c>
      <c r="AF253" s="210">
        <f t="shared" si="74"/>
        <v>0</v>
      </c>
      <c r="AG253" s="210">
        <f t="shared" si="75"/>
        <v>0</v>
      </c>
    </row>
    <row r="254" spans="2:33" ht="15" customHeight="1" x14ac:dyDescent="0.3">
      <c r="B254" s="196" t="s">
        <v>19</v>
      </c>
      <c r="C254" s="197" t="s">
        <v>13</v>
      </c>
      <c r="D254" s="198" t="str">
        <f t="shared" si="57"/>
        <v>C</v>
      </c>
      <c r="E254" s="199">
        <v>44082.708333333336</v>
      </c>
      <c r="F254" s="200" t="s">
        <v>89</v>
      </c>
      <c r="G254" s="201">
        <v>26.11</v>
      </c>
      <c r="H254" s="201">
        <v>27.341999999999999</v>
      </c>
      <c r="I254" s="202">
        <f t="shared" si="58"/>
        <v>1.2319999999999993</v>
      </c>
      <c r="J254" s="201">
        <v>20.196000000000002</v>
      </c>
      <c r="K254" s="199">
        <v>44084.652083333334</v>
      </c>
      <c r="L254" s="201">
        <v>27.341999999999999</v>
      </c>
      <c r="M254" s="203">
        <f t="shared" si="59"/>
        <v>-1.232</v>
      </c>
      <c r="N254" s="204">
        <f t="shared" si="60"/>
        <v>-1</v>
      </c>
      <c r="O254" s="205">
        <f t="shared" si="61"/>
        <v>0</v>
      </c>
      <c r="P254" s="206">
        <f t="shared" si="62"/>
        <v>0</v>
      </c>
      <c r="Q254" s="206">
        <f t="shared" si="63"/>
        <v>-1</v>
      </c>
      <c r="R2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261550</v>
      </c>
      <c r="T2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262620</v>
      </c>
      <c r="U254" s="208">
        <f ca="1">IF(Tabla33610673[[#This Row],[Equity]]&lt;Tabla33610673[[#This Row],[Equity Peak]],(Tabla33610673[[#This Row],[Equity Peak]]-Tabla33610673[[#This Row],[Equity]])/Tabla33610673[[#This Row],[Equity Peak]],"")</f>
        <v>4.074327926281319E-3</v>
      </c>
      <c r="V254" s="209">
        <f t="shared" si="64"/>
        <v>0</v>
      </c>
      <c r="W254" s="209">
        <f t="shared" si="65"/>
        <v>0</v>
      </c>
      <c r="X254" s="209">
        <f t="shared" si="66"/>
        <v>-1</v>
      </c>
      <c r="Y254" s="209">
        <f t="shared" si="67"/>
        <v>0</v>
      </c>
      <c r="Z254" s="209">
        <f t="shared" si="68"/>
        <v>0</v>
      </c>
      <c r="AA254" s="205">
        <f t="shared" si="69"/>
        <v>0</v>
      </c>
      <c r="AB254" s="209">
        <f t="shared" si="70"/>
        <v>0</v>
      </c>
      <c r="AC254" s="205">
        <f t="shared" si="71"/>
        <v>0</v>
      </c>
      <c r="AD254" s="210">
        <f t="shared" si="72"/>
        <v>1.9437499999985448</v>
      </c>
      <c r="AE254" s="210">
        <f t="shared" si="73"/>
        <v>0</v>
      </c>
      <c r="AF254" s="210">
        <f t="shared" si="74"/>
        <v>1.9437499999985448</v>
      </c>
      <c r="AG254" s="210">
        <f t="shared" si="75"/>
        <v>0</v>
      </c>
    </row>
    <row r="255" spans="2:33" ht="15" customHeight="1" x14ac:dyDescent="0.3">
      <c r="B255" s="196" t="s">
        <v>7</v>
      </c>
      <c r="C255" s="197" t="s">
        <v>15</v>
      </c>
      <c r="D255" s="198" t="str">
        <f t="shared" si="57"/>
        <v>C</v>
      </c>
      <c r="E255" s="199">
        <v>44083.017361111109</v>
      </c>
      <c r="F255" s="200" t="s">
        <v>119</v>
      </c>
      <c r="G255" s="201">
        <v>0.90669</v>
      </c>
      <c r="H255" s="201">
        <v>0.90278000000000003</v>
      </c>
      <c r="I255" s="202">
        <f t="shared" si="58"/>
        <v>3.9099999999999691E-3</v>
      </c>
      <c r="J255" s="201">
        <v>0.91712000000000005</v>
      </c>
      <c r="K255" s="199">
        <v>44084.645833333336</v>
      </c>
      <c r="L255" s="201">
        <v>0.91712000000000005</v>
      </c>
      <c r="M255" s="203">
        <f t="shared" si="59"/>
        <v>1.04E-2</v>
      </c>
      <c r="N255" s="204">
        <f t="shared" si="60"/>
        <v>2.66</v>
      </c>
      <c r="O255" s="205">
        <f t="shared" si="61"/>
        <v>0</v>
      </c>
      <c r="P255" s="206">
        <f t="shared" si="62"/>
        <v>2.66</v>
      </c>
      <c r="Q255" s="206">
        <f t="shared" si="63"/>
        <v>0</v>
      </c>
      <c r="R2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262550</v>
      </c>
      <c r="T2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262620</v>
      </c>
      <c r="U255" s="208">
        <f ca="1">IF(Tabla33610673[[#This Row],[Equity]]&lt;Tabla33610673[[#This Row],[Equity Peak]],(Tabla33610673[[#This Row],[Equity Peak]]-Tabla33610673[[#This Row],[Equity]])/Tabla33610673[[#This Row],[Equity Peak]],"")</f>
        <v>2.6654481760718911E-4</v>
      </c>
      <c r="V255" s="209">
        <f t="shared" si="64"/>
        <v>2.66</v>
      </c>
      <c r="W255" s="209">
        <f t="shared" si="65"/>
        <v>0</v>
      </c>
      <c r="X255" s="209">
        <f t="shared" si="66"/>
        <v>0</v>
      </c>
      <c r="Y255" s="209">
        <f t="shared" si="67"/>
        <v>0</v>
      </c>
      <c r="Z255" s="209">
        <f t="shared" si="68"/>
        <v>0</v>
      </c>
      <c r="AA255" s="205">
        <f t="shared" si="69"/>
        <v>0</v>
      </c>
      <c r="AB255" s="209">
        <f t="shared" si="70"/>
        <v>0</v>
      </c>
      <c r="AC255" s="205">
        <f t="shared" si="71"/>
        <v>0</v>
      </c>
      <c r="AD255" s="210">
        <f t="shared" si="72"/>
        <v>1.6284722222262644</v>
      </c>
      <c r="AE255" s="210">
        <f t="shared" si="73"/>
        <v>1.6284722222262644</v>
      </c>
      <c r="AF255" s="210">
        <f t="shared" si="74"/>
        <v>0</v>
      </c>
      <c r="AG255" s="210">
        <f t="shared" si="75"/>
        <v>0</v>
      </c>
    </row>
    <row r="256" spans="2:33" ht="15" customHeight="1" x14ac:dyDescent="0.3">
      <c r="B256" s="196" t="s">
        <v>7</v>
      </c>
      <c r="C256" s="197" t="s">
        <v>13</v>
      </c>
      <c r="D256" s="198" t="str">
        <f t="shared" si="57"/>
        <v>C</v>
      </c>
      <c r="E256" s="199">
        <v>44083.5</v>
      </c>
      <c r="F256" s="200" t="s">
        <v>120</v>
      </c>
      <c r="G256" s="201">
        <v>1.62724</v>
      </c>
      <c r="H256" s="201">
        <v>1.63297</v>
      </c>
      <c r="I256" s="202">
        <f t="shared" si="58"/>
        <v>5.7300000000000129E-3</v>
      </c>
      <c r="J256" s="201">
        <v>1.5661499999999999</v>
      </c>
      <c r="K256" s="199">
        <v>44084.537499999999</v>
      </c>
      <c r="L256" s="201">
        <v>1.6280699999999999</v>
      </c>
      <c r="M256" s="203">
        <f t="shared" si="59"/>
        <v>-8.0000000000000004E-4</v>
      </c>
      <c r="N256" s="204">
        <f t="shared" si="60"/>
        <v>-0.14000000000000001</v>
      </c>
      <c r="O256" s="205">
        <f t="shared" si="61"/>
        <v>0</v>
      </c>
      <c r="P256" s="206">
        <f t="shared" si="62"/>
        <v>0</v>
      </c>
      <c r="Q256" s="206">
        <f t="shared" si="63"/>
        <v>-0.14000000000000001</v>
      </c>
      <c r="R2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259890</v>
      </c>
      <c r="T2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262620</v>
      </c>
      <c r="U256" s="208">
        <f ca="1">IF(Tabla33610673[[#This Row],[Equity]]&lt;Tabla33610673[[#This Row],[Equity Peak]],(Tabla33610673[[#This Row],[Equity Peak]]-Tabla33610673[[#This Row],[Equity]])/Tabla33610673[[#This Row],[Equity Peak]],"")</f>
        <v>1.0395247886680375E-2</v>
      </c>
      <c r="V256" s="209">
        <f t="shared" si="64"/>
        <v>-0.14000000000000001</v>
      </c>
      <c r="W256" s="209">
        <f t="shared" si="65"/>
        <v>0</v>
      </c>
      <c r="X256" s="209">
        <f t="shared" si="66"/>
        <v>0</v>
      </c>
      <c r="Y256" s="209">
        <f t="shared" si="67"/>
        <v>0</v>
      </c>
      <c r="Z256" s="209">
        <f t="shared" si="68"/>
        <v>0</v>
      </c>
      <c r="AA256" s="205">
        <f t="shared" si="69"/>
        <v>0</v>
      </c>
      <c r="AB256" s="209">
        <f t="shared" si="70"/>
        <v>0</v>
      </c>
      <c r="AC256" s="205">
        <f t="shared" si="71"/>
        <v>0</v>
      </c>
      <c r="AD256" s="210">
        <f t="shared" si="72"/>
        <v>1.0374999999985448</v>
      </c>
      <c r="AE256" s="210">
        <f t="shared" si="73"/>
        <v>0</v>
      </c>
      <c r="AF256" s="210">
        <f t="shared" si="74"/>
        <v>1.0374999999985448</v>
      </c>
      <c r="AG256" s="210">
        <f t="shared" si="75"/>
        <v>0</v>
      </c>
    </row>
    <row r="257" spans="2:33" ht="15" customHeight="1" x14ac:dyDescent="0.3">
      <c r="B257" s="196" t="s">
        <v>7</v>
      </c>
      <c r="C257" s="197" t="s">
        <v>13</v>
      </c>
      <c r="D257" s="198" t="str">
        <f t="shared" si="57"/>
        <v>C</v>
      </c>
      <c r="E257" s="199">
        <v>44082.666666666664</v>
      </c>
      <c r="F257" s="200" t="s">
        <v>118</v>
      </c>
      <c r="G257" s="201">
        <v>125.071</v>
      </c>
      <c r="H257" s="201">
        <v>125.765</v>
      </c>
      <c r="I257" s="202">
        <f t="shared" si="58"/>
        <v>0.69400000000000261</v>
      </c>
      <c r="J257" s="201">
        <v>122.295</v>
      </c>
      <c r="K257" s="199">
        <v>44083.662499999999</v>
      </c>
      <c r="L257" s="201">
        <v>125.38</v>
      </c>
      <c r="M257" s="203">
        <f t="shared" si="59"/>
        <v>-0.309</v>
      </c>
      <c r="N257" s="204">
        <f t="shared" si="60"/>
        <v>-0.45</v>
      </c>
      <c r="O257" s="205">
        <f t="shared" si="61"/>
        <v>0</v>
      </c>
      <c r="P257" s="206">
        <f t="shared" si="62"/>
        <v>0</v>
      </c>
      <c r="Q257" s="206">
        <f t="shared" si="63"/>
        <v>-0.45</v>
      </c>
      <c r="R2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260030</v>
      </c>
      <c r="T2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262620</v>
      </c>
      <c r="U257" s="208">
        <f ca="1">IF(Tabla33610673[[#This Row],[Equity]]&lt;Tabla33610673[[#This Row],[Equity Peak]],(Tabla33610673[[#This Row],[Equity Peak]]-Tabla33610673[[#This Row],[Equity]])/Tabla33610673[[#This Row],[Equity Peak]],"")</f>
        <v>9.8621582514659967E-3</v>
      </c>
      <c r="V257" s="209">
        <f t="shared" si="64"/>
        <v>-0.45</v>
      </c>
      <c r="W257" s="209">
        <f t="shared" si="65"/>
        <v>0</v>
      </c>
      <c r="X257" s="209">
        <f t="shared" si="66"/>
        <v>0</v>
      </c>
      <c r="Y257" s="209">
        <f t="shared" si="67"/>
        <v>0</v>
      </c>
      <c r="Z257" s="209">
        <f t="shared" si="68"/>
        <v>0</v>
      </c>
      <c r="AA257" s="205">
        <f t="shared" si="69"/>
        <v>0</v>
      </c>
      <c r="AB257" s="209">
        <f t="shared" si="70"/>
        <v>0</v>
      </c>
      <c r="AC257" s="205">
        <f t="shared" si="71"/>
        <v>0</v>
      </c>
      <c r="AD257" s="210">
        <f t="shared" si="72"/>
        <v>0.99583333333430346</v>
      </c>
      <c r="AE257" s="210">
        <f t="shared" si="73"/>
        <v>0</v>
      </c>
      <c r="AF257" s="210">
        <f t="shared" si="74"/>
        <v>0.99583333333430346</v>
      </c>
      <c r="AG257" s="210">
        <f t="shared" si="75"/>
        <v>0</v>
      </c>
    </row>
    <row r="258" spans="2:33" ht="15" customHeight="1" x14ac:dyDescent="0.3">
      <c r="B258" s="196" t="s">
        <v>7</v>
      </c>
      <c r="C258" s="197" t="s">
        <v>13</v>
      </c>
      <c r="D258" s="198" t="str">
        <f t="shared" si="57"/>
        <v>C</v>
      </c>
      <c r="E258" s="199">
        <v>44083.166666666664</v>
      </c>
      <c r="F258" s="200" t="s">
        <v>122</v>
      </c>
      <c r="G258" s="201">
        <v>76.47</v>
      </c>
      <c r="H258" s="201">
        <v>76.87</v>
      </c>
      <c r="I258" s="202">
        <f t="shared" si="58"/>
        <v>0.40000000000000568</v>
      </c>
      <c r="J258" s="201">
        <v>69.539000000000001</v>
      </c>
      <c r="K258" s="199">
        <v>44083.629861111112</v>
      </c>
      <c r="L258" s="201">
        <v>76.87</v>
      </c>
      <c r="M258" s="203">
        <f t="shared" si="59"/>
        <v>-0.4</v>
      </c>
      <c r="N258" s="204">
        <f t="shared" si="60"/>
        <v>-1</v>
      </c>
      <c r="O258" s="205">
        <f t="shared" si="61"/>
        <v>0</v>
      </c>
      <c r="P258" s="206">
        <f t="shared" si="62"/>
        <v>0</v>
      </c>
      <c r="Q258" s="206">
        <f t="shared" si="63"/>
        <v>-1</v>
      </c>
      <c r="R2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260480</v>
      </c>
      <c r="T2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262620</v>
      </c>
      <c r="U258" s="208">
        <f ca="1">IF(Tabla33610673[[#This Row],[Equity]]&lt;Tabla33610673[[#This Row],[Equity Peak]],(Tabla33610673[[#This Row],[Equity Peak]]-Tabla33610673[[#This Row],[Equity]])/Tabla33610673[[#This Row],[Equity Peak]],"")</f>
        <v>8.148655852562638E-3</v>
      </c>
      <c r="V258" s="209">
        <f t="shared" si="64"/>
        <v>-1</v>
      </c>
      <c r="W258" s="209">
        <f t="shared" si="65"/>
        <v>0</v>
      </c>
      <c r="X258" s="209">
        <f t="shared" si="66"/>
        <v>0</v>
      </c>
      <c r="Y258" s="209">
        <f t="shared" si="67"/>
        <v>0</v>
      </c>
      <c r="Z258" s="209">
        <f t="shared" si="68"/>
        <v>0</v>
      </c>
      <c r="AA258" s="205">
        <f t="shared" si="69"/>
        <v>0</v>
      </c>
      <c r="AB258" s="209">
        <f t="shared" si="70"/>
        <v>0</v>
      </c>
      <c r="AC258" s="205">
        <f t="shared" si="71"/>
        <v>0</v>
      </c>
      <c r="AD258" s="210">
        <f t="shared" si="72"/>
        <v>0.46319444444816327</v>
      </c>
      <c r="AE258" s="210">
        <f t="shared" si="73"/>
        <v>0</v>
      </c>
      <c r="AF258" s="210">
        <f t="shared" si="74"/>
        <v>0.46319444444816327</v>
      </c>
      <c r="AG258" s="210">
        <f t="shared" si="75"/>
        <v>0</v>
      </c>
    </row>
    <row r="259" spans="2:33" ht="15" customHeight="1" x14ac:dyDescent="0.3">
      <c r="B259" s="196" t="s">
        <v>7</v>
      </c>
      <c r="C259" s="197" t="s">
        <v>13</v>
      </c>
      <c r="D259" s="198" t="str">
        <f t="shared" si="57"/>
        <v>C</v>
      </c>
      <c r="E259" s="199">
        <v>44083.166666666664</v>
      </c>
      <c r="F259" s="200" t="s">
        <v>113</v>
      </c>
      <c r="G259" s="201">
        <v>105.985</v>
      </c>
      <c r="H259" s="201">
        <v>106.47</v>
      </c>
      <c r="I259" s="202">
        <f t="shared" si="58"/>
        <v>0.48499999999999943</v>
      </c>
      <c r="J259" s="201">
        <v>103.72</v>
      </c>
      <c r="K259" s="199">
        <v>44083.54791666667</v>
      </c>
      <c r="L259" s="201">
        <v>106.14400000000001</v>
      </c>
      <c r="M259" s="203">
        <f t="shared" si="59"/>
        <v>-0.159</v>
      </c>
      <c r="N259" s="204">
        <f t="shared" si="60"/>
        <v>-0.33</v>
      </c>
      <c r="O259" s="205">
        <f t="shared" si="61"/>
        <v>0</v>
      </c>
      <c r="P259" s="206">
        <f t="shared" si="62"/>
        <v>0</v>
      </c>
      <c r="Q259" s="206">
        <f t="shared" si="63"/>
        <v>-0.33</v>
      </c>
      <c r="R2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261480</v>
      </c>
      <c r="T2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262620</v>
      </c>
      <c r="U259" s="208">
        <f ca="1">IF(Tabla33610673[[#This Row],[Equity]]&lt;Tabla33610673[[#This Row],[Equity Peak]],(Tabla33610673[[#This Row],[Equity Peak]]-Tabla33610673[[#This Row],[Equity]])/Tabla33610673[[#This Row],[Equity Peak]],"")</f>
        <v>4.340872743888508E-3</v>
      </c>
      <c r="V259" s="209">
        <f t="shared" si="64"/>
        <v>-0.33</v>
      </c>
      <c r="W259" s="209">
        <f t="shared" si="65"/>
        <v>0</v>
      </c>
      <c r="X259" s="209">
        <f t="shared" si="66"/>
        <v>0</v>
      </c>
      <c r="Y259" s="209">
        <f t="shared" si="67"/>
        <v>0</v>
      </c>
      <c r="Z259" s="209">
        <f t="shared" si="68"/>
        <v>0</v>
      </c>
      <c r="AA259" s="205">
        <f t="shared" si="69"/>
        <v>0</v>
      </c>
      <c r="AB259" s="209">
        <f t="shared" si="70"/>
        <v>0</v>
      </c>
      <c r="AC259" s="205">
        <f t="shared" si="71"/>
        <v>0</v>
      </c>
      <c r="AD259" s="210">
        <f t="shared" si="72"/>
        <v>0.38125000000582077</v>
      </c>
      <c r="AE259" s="210">
        <f t="shared" si="73"/>
        <v>0</v>
      </c>
      <c r="AF259" s="210">
        <f t="shared" si="74"/>
        <v>0.38125000000582077</v>
      </c>
      <c r="AG259" s="210">
        <f t="shared" si="75"/>
        <v>0</v>
      </c>
    </row>
    <row r="260" spans="2:33" ht="15" customHeight="1" x14ac:dyDescent="0.3">
      <c r="B260" s="196" t="s">
        <v>7</v>
      </c>
      <c r="C260" s="197" t="s">
        <v>15</v>
      </c>
      <c r="D260" s="198" t="str">
        <f t="shared" si="57"/>
        <v>C</v>
      </c>
      <c r="E260" s="199">
        <v>44083.166666666664</v>
      </c>
      <c r="F260" s="200" t="s">
        <v>120</v>
      </c>
      <c r="G260" s="201">
        <v>1.6319699999999999</v>
      </c>
      <c r="H260" s="201">
        <v>1.6262000000000001</v>
      </c>
      <c r="I260" s="202">
        <f t="shared" si="58"/>
        <v>5.7699999999998308E-3</v>
      </c>
      <c r="J260" s="201">
        <v>1.6934899999999999</v>
      </c>
      <c r="K260" s="199">
        <v>44083.5</v>
      </c>
      <c r="L260" s="201">
        <v>1.62724</v>
      </c>
      <c r="M260" s="203">
        <f t="shared" si="59"/>
        <v>-4.7000000000000002E-3</v>
      </c>
      <c r="N260" s="204">
        <f t="shared" si="60"/>
        <v>-0.81</v>
      </c>
      <c r="O260" s="205">
        <f t="shared" si="61"/>
        <v>0</v>
      </c>
      <c r="P260" s="206">
        <f t="shared" si="62"/>
        <v>0</v>
      </c>
      <c r="Q260" s="206">
        <f t="shared" si="63"/>
        <v>-0.81</v>
      </c>
      <c r="R2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261810</v>
      </c>
      <c r="T2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262620</v>
      </c>
      <c r="U260" s="208">
        <f ca="1">IF(Tabla33610673[[#This Row],[Equity]]&lt;Tabla33610673[[#This Row],[Equity Peak]],(Tabla33610673[[#This Row],[Equity Peak]]-Tabla33610673[[#This Row],[Equity]])/Tabla33610673[[#This Row],[Equity Peak]],"")</f>
        <v>3.0843043180260451E-3</v>
      </c>
      <c r="V260" s="209">
        <f t="shared" si="64"/>
        <v>-0.81</v>
      </c>
      <c r="W260" s="209">
        <f t="shared" si="65"/>
        <v>0</v>
      </c>
      <c r="X260" s="209">
        <f t="shared" si="66"/>
        <v>0</v>
      </c>
      <c r="Y260" s="209">
        <f t="shared" si="67"/>
        <v>0</v>
      </c>
      <c r="Z260" s="209">
        <f t="shared" si="68"/>
        <v>0</v>
      </c>
      <c r="AA260" s="205">
        <f t="shared" si="69"/>
        <v>0</v>
      </c>
      <c r="AB260" s="209">
        <f t="shared" si="70"/>
        <v>0</v>
      </c>
      <c r="AC260" s="205">
        <f t="shared" si="71"/>
        <v>0</v>
      </c>
      <c r="AD260" s="210">
        <f t="shared" si="72"/>
        <v>0.33333333333575865</v>
      </c>
      <c r="AE260" s="210">
        <f t="shared" si="73"/>
        <v>0</v>
      </c>
      <c r="AF260" s="210">
        <f t="shared" si="74"/>
        <v>0.33333333333575865</v>
      </c>
      <c r="AG260" s="210">
        <f t="shared" si="75"/>
        <v>0</v>
      </c>
    </row>
    <row r="261" spans="2:33" ht="15" customHeight="1" x14ac:dyDescent="0.3">
      <c r="B261" s="196" t="s">
        <v>7</v>
      </c>
      <c r="C261" s="197" t="s">
        <v>15</v>
      </c>
      <c r="D261" s="198" t="str">
        <f t="shared" si="57"/>
        <v>C</v>
      </c>
      <c r="E261" s="199">
        <v>44069.166666666664</v>
      </c>
      <c r="F261" s="200" t="s">
        <v>114</v>
      </c>
      <c r="G261" s="201">
        <v>1.31436</v>
      </c>
      <c r="H261" s="201">
        <v>1.3056700000000001</v>
      </c>
      <c r="I261" s="202">
        <f t="shared" si="58"/>
        <v>8.6899999999998645E-3</v>
      </c>
      <c r="J261" s="201">
        <v>1.3491200000000001</v>
      </c>
      <c r="K261" s="199">
        <v>44077.411111111112</v>
      </c>
      <c r="L261" s="201">
        <v>1.3283</v>
      </c>
      <c r="M261" s="203">
        <f t="shared" si="59"/>
        <v>1.3899999999999999E-2</v>
      </c>
      <c r="N261" s="204">
        <f t="shared" si="60"/>
        <v>1.6</v>
      </c>
      <c r="O261" s="205">
        <f t="shared" si="61"/>
        <v>0</v>
      </c>
      <c r="P261" s="206">
        <f t="shared" si="62"/>
        <v>1.6</v>
      </c>
      <c r="Q261" s="206">
        <f t="shared" si="63"/>
        <v>0</v>
      </c>
      <c r="R2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262620</v>
      </c>
      <c r="T2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262620</v>
      </c>
      <c r="U26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61" s="209">
        <f t="shared" si="64"/>
        <v>1.6</v>
      </c>
      <c r="W261" s="209">
        <f t="shared" si="65"/>
        <v>0</v>
      </c>
      <c r="X261" s="209">
        <f t="shared" si="66"/>
        <v>0</v>
      </c>
      <c r="Y261" s="209">
        <f t="shared" si="67"/>
        <v>0</v>
      </c>
      <c r="Z261" s="209">
        <f t="shared" si="68"/>
        <v>0</v>
      </c>
      <c r="AA261" s="205">
        <f t="shared" si="69"/>
        <v>0</v>
      </c>
      <c r="AB261" s="209">
        <f t="shared" si="70"/>
        <v>0</v>
      </c>
      <c r="AC261" s="205">
        <f t="shared" si="71"/>
        <v>0</v>
      </c>
      <c r="AD261" s="210">
        <f t="shared" si="72"/>
        <v>8.2444444444481633</v>
      </c>
      <c r="AE261" s="210">
        <f t="shared" si="73"/>
        <v>8.2444444444481633</v>
      </c>
      <c r="AF261" s="210">
        <f t="shared" si="74"/>
        <v>0</v>
      </c>
      <c r="AG261" s="210">
        <f t="shared" si="75"/>
        <v>0</v>
      </c>
    </row>
    <row r="262" spans="2:33" ht="15" customHeight="1" x14ac:dyDescent="0.3">
      <c r="B262" s="196" t="s">
        <v>5</v>
      </c>
      <c r="C262" s="197" t="s">
        <v>15</v>
      </c>
      <c r="D262" s="198" t="str">
        <f t="shared" si="57"/>
        <v>C</v>
      </c>
      <c r="E262" s="199">
        <v>44061.017361111109</v>
      </c>
      <c r="F262" s="200" t="s">
        <v>92</v>
      </c>
      <c r="G262" s="201">
        <v>11292.4</v>
      </c>
      <c r="H262" s="201">
        <v>11026.4</v>
      </c>
      <c r="I262" s="202">
        <f t="shared" si="58"/>
        <v>266</v>
      </c>
      <c r="J262" s="201">
        <v>13065.74</v>
      </c>
      <c r="K262" s="199">
        <v>44076.70416666667</v>
      </c>
      <c r="L262" s="201">
        <v>12276.03</v>
      </c>
      <c r="M262" s="203">
        <f t="shared" si="59"/>
        <v>983.63</v>
      </c>
      <c r="N262" s="204">
        <f t="shared" si="60"/>
        <v>3.7</v>
      </c>
      <c r="O262" s="205">
        <f t="shared" si="61"/>
        <v>0</v>
      </c>
      <c r="P262" s="206">
        <f t="shared" si="62"/>
        <v>3.7</v>
      </c>
      <c r="Q262" s="206">
        <f t="shared" si="63"/>
        <v>0</v>
      </c>
      <c r="R2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261020</v>
      </c>
      <c r="T2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261020</v>
      </c>
      <c r="U26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62" s="209">
        <f t="shared" si="64"/>
        <v>0</v>
      </c>
      <c r="W262" s="209">
        <f t="shared" si="65"/>
        <v>0</v>
      </c>
      <c r="X262" s="209">
        <f t="shared" si="66"/>
        <v>0</v>
      </c>
      <c r="Y262" s="209">
        <f t="shared" si="67"/>
        <v>0</v>
      </c>
      <c r="Z262" s="209">
        <f t="shared" si="68"/>
        <v>3.7</v>
      </c>
      <c r="AA262" s="205">
        <f t="shared" si="69"/>
        <v>0</v>
      </c>
      <c r="AB262" s="209">
        <f t="shared" si="70"/>
        <v>0</v>
      </c>
      <c r="AC262" s="205">
        <f t="shared" si="71"/>
        <v>0</v>
      </c>
      <c r="AD262" s="210">
        <f t="shared" si="72"/>
        <v>15.686805555560568</v>
      </c>
      <c r="AE262" s="210">
        <f t="shared" si="73"/>
        <v>15.686805555560568</v>
      </c>
      <c r="AF262" s="210">
        <f t="shared" si="74"/>
        <v>0</v>
      </c>
      <c r="AG262" s="210">
        <f t="shared" si="75"/>
        <v>0</v>
      </c>
    </row>
    <row r="263" spans="2:33" ht="15" customHeight="1" x14ac:dyDescent="0.3">
      <c r="B263" s="196" t="s">
        <v>7</v>
      </c>
      <c r="C263" s="197" t="s">
        <v>15</v>
      </c>
      <c r="D263" s="198" t="str">
        <f t="shared" si="57"/>
        <v>C</v>
      </c>
      <c r="E263" s="199">
        <v>44075.666666666664</v>
      </c>
      <c r="F263" s="200" t="s">
        <v>118</v>
      </c>
      <c r="G263" s="201">
        <v>126.917</v>
      </c>
      <c r="H263" s="201">
        <v>125.75700000000001</v>
      </c>
      <c r="I263" s="202">
        <f t="shared" si="58"/>
        <v>1.1599999999999966</v>
      </c>
      <c r="J263" s="201">
        <v>131.55799999999999</v>
      </c>
      <c r="K263" s="199">
        <v>44076.683333333334</v>
      </c>
      <c r="L263" s="201">
        <v>125.75700000000001</v>
      </c>
      <c r="M263" s="203">
        <f t="shared" si="59"/>
        <v>-1.1599999999999999</v>
      </c>
      <c r="N263" s="204">
        <f t="shared" si="60"/>
        <v>-1</v>
      </c>
      <c r="O263" s="205">
        <f t="shared" si="61"/>
        <v>0</v>
      </c>
      <c r="P263" s="206">
        <f t="shared" si="62"/>
        <v>0</v>
      </c>
      <c r="Q263" s="206">
        <f t="shared" si="63"/>
        <v>-1</v>
      </c>
      <c r="R2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257320</v>
      </c>
      <c r="T2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258500</v>
      </c>
      <c r="U263" s="208">
        <f ca="1">IF(Tabla33610673[[#This Row],[Equity]]&lt;Tabla33610673[[#This Row],[Equity Peak]],(Tabla33610673[[#This Row],[Equity Peak]]-Tabla33610673[[#This Row],[Equity]])/Tabla33610673[[#This Row],[Equity Peak]],"")</f>
        <v>4.5647969052224372E-3</v>
      </c>
      <c r="V263" s="209">
        <f t="shared" si="64"/>
        <v>-1</v>
      </c>
      <c r="W263" s="209">
        <f t="shared" si="65"/>
        <v>0</v>
      </c>
      <c r="X263" s="209">
        <f t="shared" si="66"/>
        <v>0</v>
      </c>
      <c r="Y263" s="209">
        <f t="shared" si="67"/>
        <v>0</v>
      </c>
      <c r="Z263" s="209">
        <f t="shared" si="68"/>
        <v>0</v>
      </c>
      <c r="AA263" s="205">
        <f t="shared" si="69"/>
        <v>0</v>
      </c>
      <c r="AB263" s="209">
        <f t="shared" si="70"/>
        <v>0</v>
      </c>
      <c r="AC263" s="205">
        <f t="shared" si="71"/>
        <v>0</v>
      </c>
      <c r="AD263" s="210">
        <f t="shared" si="72"/>
        <v>1.0166666666700621</v>
      </c>
      <c r="AE263" s="210">
        <f t="shared" si="73"/>
        <v>0</v>
      </c>
      <c r="AF263" s="210">
        <f t="shared" si="74"/>
        <v>1.0166666666700621</v>
      </c>
      <c r="AG263" s="210">
        <f t="shared" si="75"/>
        <v>0</v>
      </c>
    </row>
    <row r="264" spans="2:33" ht="15" customHeight="1" x14ac:dyDescent="0.3">
      <c r="B264" s="196" t="s">
        <v>19</v>
      </c>
      <c r="C264" s="197" t="s">
        <v>15</v>
      </c>
      <c r="D264" s="198" t="str">
        <f t="shared" si="57"/>
        <v>C</v>
      </c>
      <c r="E264" s="199">
        <v>44071.708333333336</v>
      </c>
      <c r="F264" s="200" t="s">
        <v>88</v>
      </c>
      <c r="G264" s="201">
        <v>1959.53</v>
      </c>
      <c r="H264" s="201">
        <v>1914.17</v>
      </c>
      <c r="I264" s="202">
        <f t="shared" si="58"/>
        <v>45.3599999999999</v>
      </c>
      <c r="J264" s="201">
        <v>2249.84</v>
      </c>
      <c r="K264" s="199">
        <v>44076.631249999999</v>
      </c>
      <c r="L264" s="201">
        <v>1955.79</v>
      </c>
      <c r="M264" s="203">
        <f t="shared" si="59"/>
        <v>-3.74</v>
      </c>
      <c r="N264" s="204">
        <f t="shared" si="60"/>
        <v>-0.08</v>
      </c>
      <c r="O264" s="205">
        <f t="shared" si="61"/>
        <v>0</v>
      </c>
      <c r="P264" s="206">
        <f t="shared" si="62"/>
        <v>0</v>
      </c>
      <c r="Q264" s="206">
        <f t="shared" si="63"/>
        <v>-0.08</v>
      </c>
      <c r="R2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258320</v>
      </c>
      <c r="T2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258500</v>
      </c>
      <c r="U264" s="208">
        <f ca="1">IF(Tabla33610673[[#This Row],[Equity]]&lt;Tabla33610673[[#This Row],[Equity Peak]],(Tabla33610673[[#This Row],[Equity Peak]]-Tabla33610673[[#This Row],[Equity]])/Tabla33610673[[#This Row],[Equity Peak]],"")</f>
        <v>6.9632495164410055E-4</v>
      </c>
      <c r="V264" s="209">
        <f t="shared" si="64"/>
        <v>0</v>
      </c>
      <c r="W264" s="209">
        <f t="shared" si="65"/>
        <v>0</v>
      </c>
      <c r="X264" s="209">
        <f t="shared" si="66"/>
        <v>-0.08</v>
      </c>
      <c r="Y264" s="209">
        <f t="shared" si="67"/>
        <v>0</v>
      </c>
      <c r="Z264" s="209">
        <f t="shared" si="68"/>
        <v>0</v>
      </c>
      <c r="AA264" s="205">
        <f t="shared" si="69"/>
        <v>0</v>
      </c>
      <c r="AB264" s="209">
        <f t="shared" si="70"/>
        <v>0</v>
      </c>
      <c r="AC264" s="205">
        <f t="shared" si="71"/>
        <v>0</v>
      </c>
      <c r="AD264" s="210">
        <f t="shared" si="72"/>
        <v>4.9229166666627862</v>
      </c>
      <c r="AE264" s="210">
        <f t="shared" si="73"/>
        <v>0</v>
      </c>
      <c r="AF264" s="210">
        <f t="shared" si="74"/>
        <v>4.9229166666627862</v>
      </c>
      <c r="AG264" s="210">
        <f t="shared" si="75"/>
        <v>0</v>
      </c>
    </row>
    <row r="265" spans="2:33" ht="15" customHeight="1" x14ac:dyDescent="0.3">
      <c r="B265" s="196" t="s">
        <v>84</v>
      </c>
      <c r="C265" s="197" t="s">
        <v>15</v>
      </c>
      <c r="D265" s="198" t="str">
        <f t="shared" si="57"/>
        <v>C</v>
      </c>
      <c r="E265" s="199">
        <v>44074.166666666664</v>
      </c>
      <c r="F265" s="200" t="s">
        <v>80</v>
      </c>
      <c r="G265" s="201">
        <v>11696.67</v>
      </c>
      <c r="H265" s="201">
        <v>11449</v>
      </c>
      <c r="I265" s="202">
        <f t="shared" si="58"/>
        <v>247.67000000000007</v>
      </c>
      <c r="J265" s="201">
        <v>15411.78</v>
      </c>
      <c r="K265" s="199">
        <v>44076.484027777777</v>
      </c>
      <c r="L265" s="201">
        <v>11678.17</v>
      </c>
      <c r="M265" s="203">
        <f t="shared" si="59"/>
        <v>-18.5</v>
      </c>
      <c r="N265" s="204">
        <f t="shared" si="60"/>
        <v>-7.0000000000000007E-2</v>
      </c>
      <c r="O265" s="205">
        <f t="shared" si="61"/>
        <v>0</v>
      </c>
      <c r="P265" s="206">
        <f t="shared" si="62"/>
        <v>0</v>
      </c>
      <c r="Q265" s="206">
        <f t="shared" si="63"/>
        <v>-7.0000000000000007E-2</v>
      </c>
      <c r="R2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258400</v>
      </c>
      <c r="T2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258500</v>
      </c>
      <c r="U265" s="208">
        <f ca="1">IF(Tabla33610673[[#This Row],[Equity]]&lt;Tabla33610673[[#This Row],[Equity Peak]],(Tabla33610673[[#This Row],[Equity Peak]]-Tabla33610673[[#This Row],[Equity]])/Tabla33610673[[#This Row],[Equity Peak]],"")</f>
        <v>3.8684719535783365E-4</v>
      </c>
      <c r="V265" s="209">
        <f t="shared" si="64"/>
        <v>0</v>
      </c>
      <c r="W265" s="209">
        <f t="shared" si="65"/>
        <v>0</v>
      </c>
      <c r="X265" s="209">
        <f t="shared" si="66"/>
        <v>0</v>
      </c>
      <c r="Y265" s="209">
        <f t="shared" si="67"/>
        <v>0</v>
      </c>
      <c r="Z265" s="209">
        <f t="shared" si="68"/>
        <v>0</v>
      </c>
      <c r="AA265" s="205">
        <f t="shared" si="69"/>
        <v>0</v>
      </c>
      <c r="AB265" s="209">
        <f t="shared" si="70"/>
        <v>-7.0000000000000007E-2</v>
      </c>
      <c r="AC265" s="205">
        <f t="shared" si="71"/>
        <v>0</v>
      </c>
      <c r="AD265" s="210">
        <f t="shared" si="72"/>
        <v>2.3173611111124046</v>
      </c>
      <c r="AE265" s="210">
        <f t="shared" si="73"/>
        <v>0</v>
      </c>
      <c r="AF265" s="210">
        <f t="shared" si="74"/>
        <v>2.3173611111124046</v>
      </c>
      <c r="AG265" s="210">
        <f t="shared" si="75"/>
        <v>0</v>
      </c>
    </row>
    <row r="266" spans="2:33" ht="15" customHeight="1" x14ac:dyDescent="0.3">
      <c r="B266" s="196" t="s">
        <v>5</v>
      </c>
      <c r="C266" s="197" t="s">
        <v>13</v>
      </c>
      <c r="D266" s="198" t="str">
        <f t="shared" si="57"/>
        <v>C</v>
      </c>
      <c r="E266" s="199">
        <v>44069.017361111109</v>
      </c>
      <c r="F266" s="200" t="s">
        <v>94</v>
      </c>
      <c r="G266" s="201">
        <v>6048.12</v>
      </c>
      <c r="H266" s="201">
        <v>6131.33</v>
      </c>
      <c r="I266" s="202">
        <f t="shared" si="58"/>
        <v>83.210000000000036</v>
      </c>
      <c r="J266" s="201">
        <v>5632.06</v>
      </c>
      <c r="K266" s="199">
        <v>44076.442361111112</v>
      </c>
      <c r="L266" s="201">
        <v>5958.95</v>
      </c>
      <c r="M266" s="203">
        <f t="shared" si="59"/>
        <v>89.17</v>
      </c>
      <c r="N266" s="204">
        <f t="shared" si="60"/>
        <v>1.07</v>
      </c>
      <c r="O266" s="205">
        <f t="shared" si="61"/>
        <v>0</v>
      </c>
      <c r="P266" s="206">
        <f t="shared" si="62"/>
        <v>1.07</v>
      </c>
      <c r="Q266" s="206">
        <f t="shared" si="63"/>
        <v>0</v>
      </c>
      <c r="R2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258470</v>
      </c>
      <c r="T2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258500</v>
      </c>
      <c r="U266" s="208">
        <f ca="1">IF(Tabla33610673[[#This Row],[Equity]]&lt;Tabla33610673[[#This Row],[Equity Peak]],(Tabla33610673[[#This Row],[Equity Peak]]-Tabla33610673[[#This Row],[Equity]])/Tabla33610673[[#This Row],[Equity Peak]],"")</f>
        <v>1.160541586073501E-4</v>
      </c>
      <c r="V266" s="209">
        <f t="shared" si="64"/>
        <v>0</v>
      </c>
      <c r="W266" s="209">
        <f t="shared" si="65"/>
        <v>0</v>
      </c>
      <c r="X266" s="209">
        <f t="shared" si="66"/>
        <v>0</v>
      </c>
      <c r="Y266" s="209">
        <f t="shared" si="67"/>
        <v>0</v>
      </c>
      <c r="Z266" s="209">
        <f t="shared" si="68"/>
        <v>1.07</v>
      </c>
      <c r="AA266" s="205">
        <f t="shared" si="69"/>
        <v>0</v>
      </c>
      <c r="AB266" s="209">
        <f t="shared" si="70"/>
        <v>0</v>
      </c>
      <c r="AC266" s="205">
        <f t="shared" si="71"/>
        <v>0</v>
      </c>
      <c r="AD266" s="210">
        <f t="shared" si="72"/>
        <v>7.4250000000029104</v>
      </c>
      <c r="AE266" s="210">
        <f t="shared" si="73"/>
        <v>7.4250000000029104</v>
      </c>
      <c r="AF266" s="210">
        <f t="shared" si="74"/>
        <v>0</v>
      </c>
      <c r="AG266" s="210">
        <f t="shared" si="75"/>
        <v>0</v>
      </c>
    </row>
    <row r="267" spans="2:33" ht="15" customHeight="1" x14ac:dyDescent="0.3">
      <c r="B267" s="196" t="s">
        <v>7</v>
      </c>
      <c r="C267" s="197" t="s">
        <v>15</v>
      </c>
      <c r="D267" s="198" t="str">
        <f t="shared" si="57"/>
        <v>C</v>
      </c>
      <c r="E267" s="199">
        <v>44075.333333333336</v>
      </c>
      <c r="F267" s="200" t="s">
        <v>117</v>
      </c>
      <c r="G267" s="201">
        <v>1.1987699999999999</v>
      </c>
      <c r="H267" s="201">
        <v>1.1897800000000001</v>
      </c>
      <c r="I267" s="202">
        <f t="shared" si="58"/>
        <v>8.9899999999998315E-3</v>
      </c>
      <c r="J267" s="201">
        <v>1.25631</v>
      </c>
      <c r="K267" s="199">
        <v>44076.171527777777</v>
      </c>
      <c r="L267" s="201">
        <v>1.1899900000000001</v>
      </c>
      <c r="M267" s="203">
        <f t="shared" si="59"/>
        <v>-8.8000000000000005E-3</v>
      </c>
      <c r="N267" s="204">
        <f t="shared" si="60"/>
        <v>-0.98</v>
      </c>
      <c r="O267" s="205">
        <f t="shared" si="61"/>
        <v>0</v>
      </c>
      <c r="P267" s="206">
        <f t="shared" si="62"/>
        <v>0</v>
      </c>
      <c r="Q267" s="206">
        <f t="shared" si="63"/>
        <v>-0.98</v>
      </c>
      <c r="R2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257400</v>
      </c>
      <c r="T2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258500</v>
      </c>
      <c r="U267" s="208">
        <f ca="1">IF(Tabla33610673[[#This Row],[Equity]]&lt;Tabla33610673[[#This Row],[Equity Peak]],(Tabla33610673[[#This Row],[Equity Peak]]-Tabla33610673[[#This Row],[Equity]])/Tabla33610673[[#This Row],[Equity Peak]],"")</f>
        <v>4.2553191489361703E-3</v>
      </c>
      <c r="V267" s="209">
        <f t="shared" si="64"/>
        <v>-0.98</v>
      </c>
      <c r="W267" s="209">
        <f t="shared" si="65"/>
        <v>0</v>
      </c>
      <c r="X267" s="209">
        <f t="shared" si="66"/>
        <v>0</v>
      </c>
      <c r="Y267" s="209">
        <f t="shared" si="67"/>
        <v>0</v>
      </c>
      <c r="Z267" s="209">
        <f t="shared" si="68"/>
        <v>0</v>
      </c>
      <c r="AA267" s="205">
        <f t="shared" si="69"/>
        <v>0</v>
      </c>
      <c r="AB267" s="209">
        <f t="shared" si="70"/>
        <v>0</v>
      </c>
      <c r="AC267" s="205">
        <f t="shared" si="71"/>
        <v>0</v>
      </c>
      <c r="AD267" s="210">
        <f t="shared" si="72"/>
        <v>0.83819444444088731</v>
      </c>
      <c r="AE267" s="210">
        <f t="shared" si="73"/>
        <v>0</v>
      </c>
      <c r="AF267" s="210">
        <f t="shared" si="74"/>
        <v>0.83819444444088731</v>
      </c>
      <c r="AG267" s="210">
        <f t="shared" si="75"/>
        <v>0</v>
      </c>
    </row>
    <row r="268" spans="2:33" ht="15" customHeight="1" x14ac:dyDescent="0.3">
      <c r="B268" s="196" t="s">
        <v>5</v>
      </c>
      <c r="C268" s="197" t="s">
        <v>13</v>
      </c>
      <c r="D268" s="198" t="str">
        <f t="shared" si="57"/>
        <v>C</v>
      </c>
      <c r="E268" s="199">
        <v>44074.756944444445</v>
      </c>
      <c r="F268" s="200" t="s">
        <v>90</v>
      </c>
      <c r="G268" s="201">
        <v>6005.8</v>
      </c>
      <c r="H268" s="201">
        <v>6064.24</v>
      </c>
      <c r="I268" s="202">
        <f t="shared" si="58"/>
        <v>58.4399999999996</v>
      </c>
      <c r="J268" s="201">
        <v>5226.66</v>
      </c>
      <c r="K268" s="199">
        <v>44076.123611111114</v>
      </c>
      <c r="L268" s="201">
        <v>6012.8</v>
      </c>
      <c r="M268" s="203">
        <f t="shared" si="59"/>
        <v>-7</v>
      </c>
      <c r="N268" s="204">
        <f t="shared" si="60"/>
        <v>-0.12</v>
      </c>
      <c r="O268" s="205">
        <f t="shared" si="61"/>
        <v>0</v>
      </c>
      <c r="P268" s="206">
        <f t="shared" si="62"/>
        <v>0</v>
      </c>
      <c r="Q268" s="206">
        <f t="shared" si="63"/>
        <v>-0.12</v>
      </c>
      <c r="R2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258380</v>
      </c>
      <c r="T2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258500</v>
      </c>
      <c r="U268" s="208">
        <f ca="1">IF(Tabla33610673[[#This Row],[Equity]]&lt;Tabla33610673[[#This Row],[Equity Peak]],(Tabla33610673[[#This Row],[Equity Peak]]-Tabla33610673[[#This Row],[Equity]])/Tabla33610673[[#This Row],[Equity Peak]],"")</f>
        <v>4.6421663442940039E-4</v>
      </c>
      <c r="V268" s="209">
        <f t="shared" si="64"/>
        <v>0</v>
      </c>
      <c r="W268" s="209">
        <f t="shared" si="65"/>
        <v>0</v>
      </c>
      <c r="X268" s="209">
        <f t="shared" si="66"/>
        <v>0</v>
      </c>
      <c r="Y268" s="209">
        <f t="shared" si="67"/>
        <v>0</v>
      </c>
      <c r="Z268" s="209">
        <f t="shared" si="68"/>
        <v>-0.12</v>
      </c>
      <c r="AA268" s="205">
        <f t="shared" si="69"/>
        <v>0</v>
      </c>
      <c r="AB268" s="209">
        <f t="shared" si="70"/>
        <v>0</v>
      </c>
      <c r="AC268" s="205">
        <f t="shared" si="71"/>
        <v>0</v>
      </c>
      <c r="AD268" s="210">
        <f t="shared" si="72"/>
        <v>1.3666666666686069</v>
      </c>
      <c r="AE268" s="210">
        <f t="shared" si="73"/>
        <v>0</v>
      </c>
      <c r="AF268" s="210">
        <f t="shared" si="74"/>
        <v>1.3666666666686069</v>
      </c>
      <c r="AG268" s="210">
        <f t="shared" si="75"/>
        <v>0</v>
      </c>
    </row>
    <row r="269" spans="2:33" ht="15" customHeight="1" x14ac:dyDescent="0.3">
      <c r="B269" s="196" t="s">
        <v>7</v>
      </c>
      <c r="C269" s="197" t="s">
        <v>13</v>
      </c>
      <c r="D269" s="198" t="str">
        <f t="shared" si="57"/>
        <v>C</v>
      </c>
      <c r="E269" s="199">
        <v>44070.333333333336</v>
      </c>
      <c r="F269" s="200" t="s">
        <v>116</v>
      </c>
      <c r="G269" s="201">
        <v>1.82483</v>
      </c>
      <c r="H269" s="201">
        <v>1.8411599999999999</v>
      </c>
      <c r="I269" s="202">
        <f t="shared" si="58"/>
        <v>1.6329999999999956E-2</v>
      </c>
      <c r="J269" s="201">
        <v>1.7703899999999999</v>
      </c>
      <c r="K269" s="199">
        <v>44075.589583333334</v>
      </c>
      <c r="L269" s="201">
        <v>1.82487</v>
      </c>
      <c r="M269" s="203">
        <f t="shared" si="59"/>
        <v>0</v>
      </c>
      <c r="N269" s="204">
        <f t="shared" si="60"/>
        <v>0</v>
      </c>
      <c r="O269" s="205">
        <f t="shared" si="61"/>
        <v>0</v>
      </c>
      <c r="P269" s="206">
        <f t="shared" si="62"/>
        <v>0</v>
      </c>
      <c r="Q269" s="206">
        <f t="shared" si="63"/>
        <v>0</v>
      </c>
      <c r="R2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258500</v>
      </c>
      <c r="T2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258500</v>
      </c>
      <c r="U26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69" s="209">
        <f t="shared" si="64"/>
        <v>0</v>
      </c>
      <c r="W269" s="209">
        <f t="shared" si="65"/>
        <v>0</v>
      </c>
      <c r="X269" s="209">
        <f t="shared" si="66"/>
        <v>0</v>
      </c>
      <c r="Y269" s="209">
        <f t="shared" si="67"/>
        <v>0</v>
      </c>
      <c r="Z269" s="209">
        <f t="shared" si="68"/>
        <v>0</v>
      </c>
      <c r="AA269" s="205">
        <f t="shared" si="69"/>
        <v>0</v>
      </c>
      <c r="AB269" s="209">
        <f t="shared" si="70"/>
        <v>0</v>
      </c>
      <c r="AC269" s="205">
        <f t="shared" si="71"/>
        <v>0</v>
      </c>
      <c r="AD269" s="210">
        <f t="shared" si="72"/>
        <v>5.2562499999985448</v>
      </c>
      <c r="AE269" s="210">
        <f t="shared" si="73"/>
        <v>0</v>
      </c>
      <c r="AF269" s="210">
        <f t="shared" si="74"/>
        <v>0</v>
      </c>
      <c r="AG269" s="210">
        <f t="shared" si="75"/>
        <v>5.2562499999985448</v>
      </c>
    </row>
    <row r="270" spans="2:33" ht="15" customHeight="1" x14ac:dyDescent="0.3">
      <c r="B270" s="196" t="s">
        <v>7</v>
      </c>
      <c r="C270" s="197" t="s">
        <v>13</v>
      </c>
      <c r="D270" s="198" t="str">
        <f t="shared" si="57"/>
        <v>C</v>
      </c>
      <c r="E270" s="199">
        <v>44069.017361111109</v>
      </c>
      <c r="F270" s="200" t="s">
        <v>120</v>
      </c>
      <c r="G270" s="201">
        <v>1.6440900000000001</v>
      </c>
      <c r="H270" s="201">
        <v>1.6503399999999999</v>
      </c>
      <c r="I270" s="202">
        <f t="shared" si="58"/>
        <v>6.2499999999998668E-3</v>
      </c>
      <c r="J270" s="201">
        <v>1.57738</v>
      </c>
      <c r="K270" s="199">
        <v>44075.541666666664</v>
      </c>
      <c r="L270" s="201">
        <v>1.6231800000000001</v>
      </c>
      <c r="M270" s="203">
        <f t="shared" si="59"/>
        <v>2.0899999999999998E-2</v>
      </c>
      <c r="N270" s="204">
        <f t="shared" si="60"/>
        <v>3.34</v>
      </c>
      <c r="O270" s="205">
        <f t="shared" si="61"/>
        <v>0</v>
      </c>
      <c r="P270" s="206">
        <f t="shared" si="62"/>
        <v>3.34</v>
      </c>
      <c r="Q270" s="206">
        <f t="shared" si="63"/>
        <v>0</v>
      </c>
      <c r="R2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258500</v>
      </c>
      <c r="T2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258500</v>
      </c>
      <c r="U27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70" s="209">
        <f t="shared" si="64"/>
        <v>3.34</v>
      </c>
      <c r="W270" s="209">
        <f t="shared" si="65"/>
        <v>0</v>
      </c>
      <c r="X270" s="209">
        <f t="shared" si="66"/>
        <v>0</v>
      </c>
      <c r="Y270" s="209">
        <f t="shared" si="67"/>
        <v>0</v>
      </c>
      <c r="Z270" s="209">
        <f t="shared" si="68"/>
        <v>0</v>
      </c>
      <c r="AA270" s="205">
        <f t="shared" si="69"/>
        <v>0</v>
      </c>
      <c r="AB270" s="209">
        <f t="shared" si="70"/>
        <v>0</v>
      </c>
      <c r="AC270" s="205">
        <f t="shared" si="71"/>
        <v>0</v>
      </c>
      <c r="AD270" s="210">
        <f t="shared" si="72"/>
        <v>6.5243055555547471</v>
      </c>
      <c r="AE270" s="210">
        <f t="shared" si="73"/>
        <v>6.5243055555547471</v>
      </c>
      <c r="AF270" s="210">
        <f t="shared" si="74"/>
        <v>0</v>
      </c>
      <c r="AG270" s="210">
        <f t="shared" si="75"/>
        <v>0</v>
      </c>
    </row>
    <row r="271" spans="2:33" ht="15" customHeight="1" x14ac:dyDescent="0.3">
      <c r="B271" s="196" t="s">
        <v>7</v>
      </c>
      <c r="C271" s="197" t="s">
        <v>15</v>
      </c>
      <c r="D271" s="198" t="str">
        <f t="shared" si="57"/>
        <v>C</v>
      </c>
      <c r="E271" s="199">
        <v>44069.5</v>
      </c>
      <c r="F271" s="200" t="s">
        <v>121</v>
      </c>
      <c r="G271" s="201">
        <v>0.72067999999999999</v>
      </c>
      <c r="H271" s="201">
        <v>0.71716000000000002</v>
      </c>
      <c r="I271" s="202">
        <f t="shared" si="58"/>
        <v>3.5199999999999676E-3</v>
      </c>
      <c r="J271" s="201">
        <v>0.73946000000000001</v>
      </c>
      <c r="K271" s="199">
        <v>44074.744444444441</v>
      </c>
      <c r="L271" s="201">
        <v>0.73946000000000001</v>
      </c>
      <c r="M271" s="203">
        <f t="shared" si="59"/>
        <v>1.8800000000000001E-2</v>
      </c>
      <c r="N271" s="204">
        <f t="shared" si="60"/>
        <v>5.34</v>
      </c>
      <c r="O271" s="205">
        <f t="shared" si="61"/>
        <v>0</v>
      </c>
      <c r="P271" s="206">
        <f t="shared" si="62"/>
        <v>5.34</v>
      </c>
      <c r="Q271" s="206">
        <f t="shared" si="63"/>
        <v>0</v>
      </c>
      <c r="R2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255160</v>
      </c>
      <c r="T2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255160</v>
      </c>
      <c r="U27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71" s="209">
        <f t="shared" si="64"/>
        <v>5.34</v>
      </c>
      <c r="W271" s="209">
        <f t="shared" si="65"/>
        <v>0</v>
      </c>
      <c r="X271" s="209">
        <f t="shared" si="66"/>
        <v>0</v>
      </c>
      <c r="Y271" s="209">
        <f t="shared" si="67"/>
        <v>0</v>
      </c>
      <c r="Z271" s="209">
        <f t="shared" si="68"/>
        <v>0</v>
      </c>
      <c r="AA271" s="205">
        <f t="shared" si="69"/>
        <v>0</v>
      </c>
      <c r="AB271" s="209">
        <f t="shared" si="70"/>
        <v>0</v>
      </c>
      <c r="AC271" s="205">
        <f t="shared" si="71"/>
        <v>0</v>
      </c>
      <c r="AD271" s="210">
        <f t="shared" si="72"/>
        <v>5.2444444444408873</v>
      </c>
      <c r="AE271" s="210">
        <f t="shared" si="73"/>
        <v>5.2444444444408873</v>
      </c>
      <c r="AF271" s="210">
        <f t="shared" si="74"/>
        <v>0</v>
      </c>
      <c r="AG271" s="210">
        <f t="shared" si="75"/>
        <v>0</v>
      </c>
    </row>
    <row r="272" spans="2:33" ht="15" customHeight="1" x14ac:dyDescent="0.3">
      <c r="B272" s="196" t="s">
        <v>7</v>
      </c>
      <c r="C272" s="197" t="s">
        <v>13</v>
      </c>
      <c r="D272" s="198" t="str">
        <f t="shared" si="57"/>
        <v>C</v>
      </c>
      <c r="E272" s="199">
        <v>44071.833333333336</v>
      </c>
      <c r="F272" s="200" t="s">
        <v>113</v>
      </c>
      <c r="G272" s="201">
        <v>105.401</v>
      </c>
      <c r="H272" s="201">
        <v>106.77800000000001</v>
      </c>
      <c r="I272" s="202">
        <f t="shared" si="58"/>
        <v>1.3770000000000095</v>
      </c>
      <c r="J272" s="201">
        <v>98.974999999999994</v>
      </c>
      <c r="K272" s="199">
        <v>44074.666666666664</v>
      </c>
      <c r="L272" s="201">
        <v>106.011</v>
      </c>
      <c r="M272" s="203">
        <f t="shared" si="59"/>
        <v>-0.61</v>
      </c>
      <c r="N272" s="204">
        <f t="shared" si="60"/>
        <v>-0.44</v>
      </c>
      <c r="O272" s="205">
        <f t="shared" si="61"/>
        <v>0</v>
      </c>
      <c r="P272" s="206">
        <f t="shared" si="62"/>
        <v>0</v>
      </c>
      <c r="Q272" s="206">
        <f t="shared" si="63"/>
        <v>-0.44</v>
      </c>
      <c r="R2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249820</v>
      </c>
      <c r="T2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72" s="208">
        <f ca="1">IF(Tabla33610673[[#This Row],[Equity]]&lt;Tabla33610673[[#This Row],[Equity Peak]],(Tabla33610673[[#This Row],[Equity Peak]]-Tabla33610673[[#This Row],[Equity]])/Tabla33610673[[#This Row],[Equity Peak]],"")</f>
        <v>1.533246620156872E-2</v>
      </c>
      <c r="V272" s="209">
        <f t="shared" si="64"/>
        <v>-0.44</v>
      </c>
      <c r="W272" s="209">
        <f t="shared" si="65"/>
        <v>0</v>
      </c>
      <c r="X272" s="209">
        <f t="shared" si="66"/>
        <v>0</v>
      </c>
      <c r="Y272" s="209">
        <f t="shared" si="67"/>
        <v>0</v>
      </c>
      <c r="Z272" s="209">
        <f t="shared" si="68"/>
        <v>0</v>
      </c>
      <c r="AA272" s="205">
        <f t="shared" si="69"/>
        <v>0</v>
      </c>
      <c r="AB272" s="209">
        <f t="shared" si="70"/>
        <v>0</v>
      </c>
      <c r="AC272" s="205">
        <f t="shared" si="71"/>
        <v>0</v>
      </c>
      <c r="AD272" s="210">
        <f t="shared" si="72"/>
        <v>2.8333333333284827</v>
      </c>
      <c r="AE272" s="210">
        <f t="shared" si="73"/>
        <v>0</v>
      </c>
      <c r="AF272" s="210">
        <f t="shared" si="74"/>
        <v>2.8333333333284827</v>
      </c>
      <c r="AG272" s="210">
        <f t="shared" si="75"/>
        <v>0</v>
      </c>
    </row>
    <row r="273" spans="2:33" ht="15" customHeight="1" x14ac:dyDescent="0.3">
      <c r="B273" s="196" t="s">
        <v>7</v>
      </c>
      <c r="C273" s="197" t="s">
        <v>15</v>
      </c>
      <c r="D273" s="198" t="str">
        <f t="shared" ref="D273:D336" si="76">IF(E273&lt;&gt;"",IF(K273&lt;&gt;"","C","O"),"")</f>
        <v>C</v>
      </c>
      <c r="E273" s="199">
        <v>44068.5</v>
      </c>
      <c r="F273" s="200" t="s">
        <v>122</v>
      </c>
      <c r="G273" s="201">
        <v>76.149000000000001</v>
      </c>
      <c r="H273" s="201">
        <v>75.796000000000006</v>
      </c>
      <c r="I273" s="202">
        <f t="shared" ref="I273:I336" si="77">ABS(G273-H273)</f>
        <v>0.35299999999999443</v>
      </c>
      <c r="J273" s="201">
        <v>82.268000000000001</v>
      </c>
      <c r="K273" s="199">
        <v>44071.557638888888</v>
      </c>
      <c r="L273" s="201">
        <v>77.14</v>
      </c>
      <c r="M273" s="203">
        <f t="shared" ref="M273:M336" si="78">ROUND(IF(C273="L",(L273-G273),(G273-L273)),4)</f>
        <v>0.99099999999999999</v>
      </c>
      <c r="N273" s="204">
        <f t="shared" ref="N273:N336" si="79">IFERROR(ROUND((M273/I273),2),"")</f>
        <v>2.81</v>
      </c>
      <c r="O273" s="205">
        <f t="shared" ref="O273:O336" si="80">IF(D273="O",IF(N273&lt;0,N273,0),0)</f>
        <v>0</v>
      </c>
      <c r="P273" s="206">
        <f t="shared" ref="P273:P336" si="81">IF(N273&gt;= 0,N273,0)</f>
        <v>2.81</v>
      </c>
      <c r="Q273" s="206">
        <f t="shared" ref="Q273:Q336" si="82">IF(N273&lt;0,N273,0)</f>
        <v>0</v>
      </c>
      <c r="R2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250260</v>
      </c>
      <c r="T2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73" s="208">
        <f ca="1">IF(Tabla33610673[[#This Row],[Equity]]&lt;Tabla33610673[[#This Row],[Equity Peak]],(Tabla33610673[[#This Row],[Equity Peak]]-Tabla33610673[[#This Row],[Equity]])/Tabla33610673[[#This Row],[Equity Peak]],"")</f>
        <v>1.3598202672342439E-2</v>
      </c>
      <c r="V273" s="209">
        <f t="shared" ref="V273:V336" si="83">IF(B273="FX",N273,0)</f>
        <v>2.81</v>
      </c>
      <c r="W273" s="209">
        <f t="shared" ref="W273:W336" si="84">IF(D273="O",IF(V273&lt;0,V273,0),0)</f>
        <v>0</v>
      </c>
      <c r="X273" s="209">
        <f t="shared" ref="X273:X336" si="85">IF(B273="COM",N273,0)</f>
        <v>0</v>
      </c>
      <c r="Y273" s="209">
        <f t="shared" ref="Y273:Y336" si="86">IF(D273="O",IF(X273&lt;0,X273,0),0)</f>
        <v>0</v>
      </c>
      <c r="Z273" s="209">
        <f t="shared" ref="Z273:Z336" si="87">IF(B273="IND",N273,0)</f>
        <v>0</v>
      </c>
      <c r="AA273" s="205">
        <f t="shared" ref="AA273:AA336" si="88">IF(D273="O",IF(Z273&lt;0,Z273,0),0)</f>
        <v>0</v>
      </c>
      <c r="AB273" s="209">
        <f t="shared" ref="AB273:AB336" si="89">IF(B273="CRYPTO",N273,0)</f>
        <v>0</v>
      </c>
      <c r="AC273" s="205">
        <f t="shared" ref="AC273:AC336" si="90">IF(D273="O",IF(AB273&lt;0,AB273,0),0)</f>
        <v>0</v>
      </c>
      <c r="AD273" s="210">
        <f t="shared" ref="AD273:AD336" si="91">IF(K273&lt;&gt;"",K273-E273,0)</f>
        <v>3.0576388888875954</v>
      </c>
      <c r="AE273" s="210">
        <f t="shared" ref="AE273:AE336" si="92">IF(N273&gt;0,AD273,0)</f>
        <v>3.0576388888875954</v>
      </c>
      <c r="AF273" s="210">
        <f t="shared" ref="AF273:AF336" si="93">IF(N273&lt;0,AD273,0)</f>
        <v>0</v>
      </c>
      <c r="AG273" s="210">
        <f t="shared" ref="AG273:AG336" si="94">IF(N273=0,AD273,0)</f>
        <v>0</v>
      </c>
    </row>
    <row r="274" spans="2:33" ht="15" customHeight="1" x14ac:dyDescent="0.3">
      <c r="B274" s="196" t="s">
        <v>84</v>
      </c>
      <c r="C274" s="197" t="s">
        <v>13</v>
      </c>
      <c r="D274" s="198" t="str">
        <f t="shared" si="76"/>
        <v>C</v>
      </c>
      <c r="E274" s="199">
        <v>44071.017361111109</v>
      </c>
      <c r="F274" s="200" t="s">
        <v>82</v>
      </c>
      <c r="G274" s="201">
        <v>378.33</v>
      </c>
      <c r="H274" s="201">
        <v>392.97</v>
      </c>
      <c r="I274" s="202">
        <f t="shared" si="77"/>
        <v>14.640000000000043</v>
      </c>
      <c r="J274" s="201">
        <v>105.09</v>
      </c>
      <c r="K274" s="199">
        <v>44071.166666666664</v>
      </c>
      <c r="L274" s="201">
        <v>384.93</v>
      </c>
      <c r="M274" s="203">
        <f t="shared" si="78"/>
        <v>-6.6</v>
      </c>
      <c r="N274" s="204">
        <f t="shared" si="79"/>
        <v>-0.45</v>
      </c>
      <c r="O274" s="205">
        <f t="shared" si="80"/>
        <v>0</v>
      </c>
      <c r="P274" s="206">
        <f t="shared" si="81"/>
        <v>0</v>
      </c>
      <c r="Q274" s="206">
        <f t="shared" si="82"/>
        <v>-0.45</v>
      </c>
      <c r="R27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247450</v>
      </c>
      <c r="T27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74" s="208">
        <f ca="1">IF(Tabla33610673[[#This Row],[Equity]]&lt;Tabla33610673[[#This Row],[Equity Peak]],(Tabla33610673[[#This Row],[Equity Peak]]-Tabla33610673[[#This Row],[Equity]])/Tabla33610673[[#This Row],[Equity Peak]],"")</f>
        <v>2.4673840211264831E-2</v>
      </c>
      <c r="V274" s="209">
        <f t="shared" si="83"/>
        <v>0</v>
      </c>
      <c r="W274" s="209">
        <f t="shared" si="84"/>
        <v>0</v>
      </c>
      <c r="X274" s="209">
        <f t="shared" si="85"/>
        <v>0</v>
      </c>
      <c r="Y274" s="209">
        <f t="shared" si="86"/>
        <v>0</v>
      </c>
      <c r="Z274" s="209">
        <f t="shared" si="87"/>
        <v>0</v>
      </c>
      <c r="AA274" s="205">
        <f t="shared" si="88"/>
        <v>0</v>
      </c>
      <c r="AB274" s="209">
        <f t="shared" si="89"/>
        <v>-0.45</v>
      </c>
      <c r="AC274" s="205">
        <f t="shared" si="90"/>
        <v>0</v>
      </c>
      <c r="AD274" s="210">
        <f t="shared" si="91"/>
        <v>0.14930555555474712</v>
      </c>
      <c r="AE274" s="210">
        <f t="shared" si="92"/>
        <v>0</v>
      </c>
      <c r="AF274" s="210">
        <f t="shared" si="93"/>
        <v>0.14930555555474712</v>
      </c>
      <c r="AG274" s="210">
        <f t="shared" si="94"/>
        <v>0</v>
      </c>
    </row>
    <row r="275" spans="2:33" ht="15" customHeight="1" x14ac:dyDescent="0.3">
      <c r="B275" s="196" t="s">
        <v>84</v>
      </c>
      <c r="C275" s="197" t="s">
        <v>13</v>
      </c>
      <c r="D275" s="198" t="str">
        <f t="shared" si="76"/>
        <v>C</v>
      </c>
      <c r="E275" s="199">
        <v>44068.5</v>
      </c>
      <c r="F275" s="200" t="s">
        <v>80</v>
      </c>
      <c r="G275" s="201">
        <v>11563.26</v>
      </c>
      <c r="H275" s="201">
        <v>11773.21</v>
      </c>
      <c r="I275" s="202">
        <f t="shared" si="77"/>
        <v>209.94999999999891</v>
      </c>
      <c r="J275" s="201">
        <v>8413.9699999999993</v>
      </c>
      <c r="K275" s="199">
        <v>44070.693055555559</v>
      </c>
      <c r="L275" s="201">
        <v>11567.62</v>
      </c>
      <c r="M275" s="203">
        <f t="shared" si="78"/>
        <v>-4.3600000000000003</v>
      </c>
      <c r="N275" s="204">
        <f t="shared" si="79"/>
        <v>-0.02</v>
      </c>
      <c r="O275" s="205">
        <f t="shared" si="80"/>
        <v>0</v>
      </c>
      <c r="P275" s="206">
        <f t="shared" si="81"/>
        <v>0</v>
      </c>
      <c r="Q275" s="206">
        <f t="shared" si="82"/>
        <v>-0.02</v>
      </c>
      <c r="R27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247900</v>
      </c>
      <c r="T27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75" s="208">
        <f ca="1">IF(Tabla33610673[[#This Row],[Equity]]&lt;Tabla33610673[[#This Row],[Equity Peak]],(Tabla33610673[[#This Row],[Equity Peak]]-Tabla33610673[[#This Row],[Equity]])/Tabla33610673[[#This Row],[Equity Peak]],"")</f>
        <v>2.290016160182886E-2</v>
      </c>
      <c r="V275" s="209">
        <f t="shared" si="83"/>
        <v>0</v>
      </c>
      <c r="W275" s="209">
        <f t="shared" si="84"/>
        <v>0</v>
      </c>
      <c r="X275" s="209">
        <f t="shared" si="85"/>
        <v>0</v>
      </c>
      <c r="Y275" s="209">
        <f t="shared" si="86"/>
        <v>0</v>
      </c>
      <c r="Z275" s="209">
        <f t="shared" si="87"/>
        <v>0</v>
      </c>
      <c r="AA275" s="205">
        <f t="shared" si="88"/>
        <v>0</v>
      </c>
      <c r="AB275" s="209">
        <f t="shared" si="89"/>
        <v>-0.02</v>
      </c>
      <c r="AC275" s="205">
        <f t="shared" si="90"/>
        <v>0</v>
      </c>
      <c r="AD275" s="210">
        <f t="shared" si="91"/>
        <v>2.1930555555591127</v>
      </c>
      <c r="AE275" s="210">
        <f t="shared" si="92"/>
        <v>0</v>
      </c>
      <c r="AF275" s="210">
        <f t="shared" si="93"/>
        <v>2.1930555555591127</v>
      </c>
      <c r="AG275" s="210">
        <f t="shared" si="94"/>
        <v>0</v>
      </c>
    </row>
    <row r="276" spans="2:33" ht="15" customHeight="1" x14ac:dyDescent="0.3">
      <c r="B276" s="196" t="s">
        <v>7</v>
      </c>
      <c r="C276" s="197" t="s">
        <v>15</v>
      </c>
      <c r="D276" s="198" t="str">
        <f t="shared" si="76"/>
        <v>C</v>
      </c>
      <c r="E276" s="199">
        <v>44068.5</v>
      </c>
      <c r="F276" s="200" t="s">
        <v>120</v>
      </c>
      <c r="G276" s="201">
        <v>1.6510400000000001</v>
      </c>
      <c r="H276" s="201">
        <v>1.6448400000000001</v>
      </c>
      <c r="I276" s="202">
        <f t="shared" si="77"/>
        <v>6.1999999999999833E-3</v>
      </c>
      <c r="J276" s="201">
        <v>1.7171700000000001</v>
      </c>
      <c r="K276" s="199">
        <v>44068.89166666667</v>
      </c>
      <c r="L276" s="201">
        <v>1.6448400000000001</v>
      </c>
      <c r="M276" s="203">
        <f t="shared" si="78"/>
        <v>-6.1999999999999998E-3</v>
      </c>
      <c r="N276" s="204">
        <f t="shared" si="79"/>
        <v>-1</v>
      </c>
      <c r="O276" s="205">
        <f t="shared" si="80"/>
        <v>0</v>
      </c>
      <c r="P276" s="206">
        <f t="shared" si="81"/>
        <v>0</v>
      </c>
      <c r="Q276" s="206">
        <f t="shared" si="82"/>
        <v>-1</v>
      </c>
      <c r="R27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247920</v>
      </c>
      <c r="T27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76" s="208">
        <f ca="1">IF(Tabla33610673[[#This Row],[Equity]]&lt;Tabla33610673[[#This Row],[Equity Peak]],(Tabla33610673[[#This Row],[Equity Peak]]-Tabla33610673[[#This Row],[Equity]])/Tabla33610673[[#This Row],[Equity Peak]],"")</f>
        <v>2.2821331441409482E-2</v>
      </c>
      <c r="V276" s="209">
        <f t="shared" si="83"/>
        <v>-1</v>
      </c>
      <c r="W276" s="209">
        <f t="shared" si="84"/>
        <v>0</v>
      </c>
      <c r="X276" s="209">
        <f t="shared" si="85"/>
        <v>0</v>
      </c>
      <c r="Y276" s="209">
        <f t="shared" si="86"/>
        <v>0</v>
      </c>
      <c r="Z276" s="209">
        <f t="shared" si="87"/>
        <v>0</v>
      </c>
      <c r="AA276" s="205">
        <f t="shared" si="88"/>
        <v>0</v>
      </c>
      <c r="AB276" s="209">
        <f t="shared" si="89"/>
        <v>0</v>
      </c>
      <c r="AC276" s="205">
        <f t="shared" si="90"/>
        <v>0</v>
      </c>
      <c r="AD276" s="210">
        <f t="shared" si="91"/>
        <v>0.39166666667006211</v>
      </c>
      <c r="AE276" s="210">
        <f t="shared" si="92"/>
        <v>0</v>
      </c>
      <c r="AF276" s="210">
        <f t="shared" si="93"/>
        <v>0.39166666667006211</v>
      </c>
      <c r="AG276" s="210">
        <f t="shared" si="94"/>
        <v>0</v>
      </c>
    </row>
    <row r="277" spans="2:33" ht="15" customHeight="1" x14ac:dyDescent="0.3">
      <c r="B277" s="196" t="s">
        <v>5</v>
      </c>
      <c r="C277" s="197" t="s">
        <v>15</v>
      </c>
      <c r="D277" s="198" t="str">
        <f t="shared" si="76"/>
        <v>C</v>
      </c>
      <c r="E277" s="199">
        <v>44068.017361111109</v>
      </c>
      <c r="F277" s="200" t="s">
        <v>94</v>
      </c>
      <c r="G277" s="201">
        <v>6106.67</v>
      </c>
      <c r="H277" s="201">
        <v>6028.24</v>
      </c>
      <c r="I277" s="202">
        <f t="shared" si="77"/>
        <v>78.430000000000291</v>
      </c>
      <c r="J277" s="201">
        <v>6498.81</v>
      </c>
      <c r="K277" s="199">
        <v>44068.712500000001</v>
      </c>
      <c r="L277" s="201">
        <v>6073.26</v>
      </c>
      <c r="M277" s="203">
        <f t="shared" si="78"/>
        <v>-33.409999999999997</v>
      </c>
      <c r="N277" s="204">
        <f t="shared" si="79"/>
        <v>-0.43</v>
      </c>
      <c r="O277" s="205">
        <f t="shared" si="80"/>
        <v>0</v>
      </c>
      <c r="P277" s="206">
        <f t="shared" si="81"/>
        <v>0</v>
      </c>
      <c r="Q277" s="206">
        <f t="shared" si="82"/>
        <v>-0.43</v>
      </c>
      <c r="R27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248920</v>
      </c>
      <c r="T27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77" s="208">
        <f ca="1">IF(Tabla33610673[[#This Row],[Equity]]&lt;Tabla33610673[[#This Row],[Equity Peak]],(Tabla33610673[[#This Row],[Equity Peak]]-Tabla33610673[[#This Row],[Equity]])/Tabla33610673[[#This Row],[Equity Peak]],"")</f>
        <v>1.8879823420440662E-2</v>
      </c>
      <c r="V277" s="209">
        <f t="shared" si="83"/>
        <v>0</v>
      </c>
      <c r="W277" s="209">
        <f t="shared" si="84"/>
        <v>0</v>
      </c>
      <c r="X277" s="209">
        <f t="shared" si="85"/>
        <v>0</v>
      </c>
      <c r="Y277" s="209">
        <f t="shared" si="86"/>
        <v>0</v>
      </c>
      <c r="Z277" s="209">
        <f t="shared" si="87"/>
        <v>-0.43</v>
      </c>
      <c r="AA277" s="205">
        <f t="shared" si="88"/>
        <v>0</v>
      </c>
      <c r="AB277" s="209">
        <f t="shared" si="89"/>
        <v>0</v>
      </c>
      <c r="AC277" s="205">
        <f t="shared" si="90"/>
        <v>0</v>
      </c>
      <c r="AD277" s="210">
        <f t="shared" si="91"/>
        <v>0.69513888889196096</v>
      </c>
      <c r="AE277" s="210">
        <f t="shared" si="92"/>
        <v>0</v>
      </c>
      <c r="AF277" s="210">
        <f t="shared" si="93"/>
        <v>0.69513888889196096</v>
      </c>
      <c r="AG277" s="210">
        <f t="shared" si="94"/>
        <v>0</v>
      </c>
    </row>
    <row r="278" spans="2:33" ht="15" customHeight="1" x14ac:dyDescent="0.3">
      <c r="B278" s="196" t="s">
        <v>7</v>
      </c>
      <c r="C278" s="197" t="s">
        <v>15</v>
      </c>
      <c r="D278" s="198" t="str">
        <f t="shared" si="76"/>
        <v>C</v>
      </c>
      <c r="E278" s="199">
        <v>44067.666666666664</v>
      </c>
      <c r="F278" s="200" t="s">
        <v>121</v>
      </c>
      <c r="G278" s="201">
        <v>0.71957000000000004</v>
      </c>
      <c r="H278" s="201">
        <v>0.71511999999999998</v>
      </c>
      <c r="I278" s="202">
        <f t="shared" si="77"/>
        <v>4.450000000000065E-3</v>
      </c>
      <c r="J278" s="201">
        <v>0.74331999999999998</v>
      </c>
      <c r="K278" s="199">
        <v>44068.489583333336</v>
      </c>
      <c r="L278" s="201">
        <v>0.71511999999999998</v>
      </c>
      <c r="M278" s="203">
        <f t="shared" si="78"/>
        <v>-4.4999999999999997E-3</v>
      </c>
      <c r="N278" s="204">
        <f t="shared" si="79"/>
        <v>-1.01</v>
      </c>
      <c r="O278" s="205">
        <f t="shared" si="80"/>
        <v>0</v>
      </c>
      <c r="P278" s="206">
        <f t="shared" si="81"/>
        <v>0</v>
      </c>
      <c r="Q278" s="206">
        <f t="shared" si="82"/>
        <v>-1.01</v>
      </c>
      <c r="R27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249350</v>
      </c>
      <c r="T27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78" s="208">
        <f ca="1">IF(Tabla33610673[[#This Row],[Equity]]&lt;Tabla33610673[[#This Row],[Equity Peak]],(Tabla33610673[[#This Row],[Equity Peak]]-Tabla33610673[[#This Row],[Equity]])/Tabla33610673[[#This Row],[Equity Peak]],"")</f>
        <v>1.7184974971424068E-2</v>
      </c>
      <c r="V278" s="209">
        <f t="shared" si="83"/>
        <v>-1.01</v>
      </c>
      <c r="W278" s="209">
        <f t="shared" si="84"/>
        <v>0</v>
      </c>
      <c r="X278" s="209">
        <f t="shared" si="85"/>
        <v>0</v>
      </c>
      <c r="Y278" s="209">
        <f t="shared" si="86"/>
        <v>0</v>
      </c>
      <c r="Z278" s="209">
        <f t="shared" si="87"/>
        <v>0</v>
      </c>
      <c r="AA278" s="205">
        <f t="shared" si="88"/>
        <v>0</v>
      </c>
      <c r="AB278" s="209">
        <f t="shared" si="89"/>
        <v>0</v>
      </c>
      <c r="AC278" s="205">
        <f t="shared" si="90"/>
        <v>0</v>
      </c>
      <c r="AD278" s="210">
        <f t="shared" si="91"/>
        <v>0.82291666667151731</v>
      </c>
      <c r="AE278" s="210">
        <f t="shared" si="92"/>
        <v>0</v>
      </c>
      <c r="AF278" s="210">
        <f t="shared" si="93"/>
        <v>0.82291666667151731</v>
      </c>
      <c r="AG278" s="210">
        <f t="shared" si="94"/>
        <v>0</v>
      </c>
    </row>
    <row r="279" spans="2:33" ht="15" customHeight="1" x14ac:dyDescent="0.3">
      <c r="B279" s="196" t="s">
        <v>7</v>
      </c>
      <c r="C279" s="197" t="s">
        <v>13</v>
      </c>
      <c r="D279" s="198" t="str">
        <f t="shared" si="76"/>
        <v>C</v>
      </c>
      <c r="E279" s="199">
        <v>44064.666666666664</v>
      </c>
      <c r="F279" s="200" t="s">
        <v>122</v>
      </c>
      <c r="G279" s="201">
        <v>75.745000000000005</v>
      </c>
      <c r="H279" s="201">
        <v>76.158000000000001</v>
      </c>
      <c r="I279" s="202">
        <f t="shared" si="77"/>
        <v>0.4129999999999967</v>
      </c>
      <c r="J279" s="201">
        <v>68.587999999999994</v>
      </c>
      <c r="K279" s="199">
        <v>44068.427777777775</v>
      </c>
      <c r="L279" s="201">
        <v>76.158000000000001</v>
      </c>
      <c r="M279" s="203">
        <f t="shared" si="78"/>
        <v>-0.41299999999999998</v>
      </c>
      <c r="N279" s="204">
        <f t="shared" si="79"/>
        <v>-1</v>
      </c>
      <c r="O279" s="205">
        <f t="shared" si="80"/>
        <v>0</v>
      </c>
      <c r="P279" s="206">
        <f t="shared" si="81"/>
        <v>0</v>
      </c>
      <c r="Q279" s="206">
        <f t="shared" si="82"/>
        <v>-1</v>
      </c>
      <c r="R27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250360</v>
      </c>
      <c r="T27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79" s="208">
        <f ca="1">IF(Tabla33610673[[#This Row],[Equity]]&lt;Tabla33610673[[#This Row],[Equity Peak]],(Tabla33610673[[#This Row],[Equity Peak]]-Tabla33610673[[#This Row],[Equity]])/Tabla33610673[[#This Row],[Equity Peak]],"")</f>
        <v>1.3204051870245556E-2</v>
      </c>
      <c r="V279" s="209">
        <f t="shared" si="83"/>
        <v>-1</v>
      </c>
      <c r="W279" s="209">
        <f t="shared" si="84"/>
        <v>0</v>
      </c>
      <c r="X279" s="209">
        <f t="shared" si="85"/>
        <v>0</v>
      </c>
      <c r="Y279" s="209">
        <f t="shared" si="86"/>
        <v>0</v>
      </c>
      <c r="Z279" s="209">
        <f t="shared" si="87"/>
        <v>0</v>
      </c>
      <c r="AA279" s="205">
        <f t="shared" si="88"/>
        <v>0</v>
      </c>
      <c r="AB279" s="209">
        <f t="shared" si="89"/>
        <v>0</v>
      </c>
      <c r="AC279" s="205">
        <f t="shared" si="90"/>
        <v>0</v>
      </c>
      <c r="AD279" s="210">
        <f t="shared" si="91"/>
        <v>3.7611111111109494</v>
      </c>
      <c r="AE279" s="210">
        <f t="shared" si="92"/>
        <v>0</v>
      </c>
      <c r="AF279" s="210">
        <f t="shared" si="93"/>
        <v>3.7611111111109494</v>
      </c>
      <c r="AG279" s="210">
        <f t="shared" si="94"/>
        <v>0</v>
      </c>
    </row>
    <row r="280" spans="2:33" ht="15" customHeight="1" x14ac:dyDescent="0.3">
      <c r="B280" s="196" t="s">
        <v>5</v>
      </c>
      <c r="C280" s="197" t="s">
        <v>13</v>
      </c>
      <c r="D280" s="198" t="str">
        <f t="shared" si="76"/>
        <v>C</v>
      </c>
      <c r="E280" s="199">
        <v>44061.833333333336</v>
      </c>
      <c r="F280" s="200" t="s">
        <v>94</v>
      </c>
      <c r="G280" s="201">
        <v>6079.73</v>
      </c>
      <c r="H280" s="201">
        <v>6157.16</v>
      </c>
      <c r="I280" s="202">
        <f t="shared" si="77"/>
        <v>77.430000000000291</v>
      </c>
      <c r="J280" s="201">
        <v>5692.59</v>
      </c>
      <c r="K280" s="199">
        <v>44067.370833333334</v>
      </c>
      <c r="L280" s="201">
        <v>6037</v>
      </c>
      <c r="M280" s="203">
        <f t="shared" si="78"/>
        <v>42.73</v>
      </c>
      <c r="N280" s="204">
        <f t="shared" si="79"/>
        <v>0.55000000000000004</v>
      </c>
      <c r="O280" s="205">
        <f t="shared" si="80"/>
        <v>0</v>
      </c>
      <c r="P280" s="206">
        <f t="shared" si="81"/>
        <v>0.55000000000000004</v>
      </c>
      <c r="Q280" s="206">
        <f t="shared" si="82"/>
        <v>0</v>
      </c>
      <c r="R28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251360</v>
      </c>
      <c r="T28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80" s="208">
        <f ca="1">IF(Tabla33610673[[#This Row],[Equity]]&lt;Tabla33610673[[#This Row],[Equity Peak]],(Tabla33610673[[#This Row],[Equity Peak]]-Tabla33610673[[#This Row],[Equity]])/Tabla33610673[[#This Row],[Equity Peak]],"")</f>
        <v>9.2625438492767338E-3</v>
      </c>
      <c r="V280" s="209">
        <f t="shared" si="83"/>
        <v>0</v>
      </c>
      <c r="W280" s="209">
        <f t="shared" si="84"/>
        <v>0</v>
      </c>
      <c r="X280" s="209">
        <f t="shared" si="85"/>
        <v>0</v>
      </c>
      <c r="Y280" s="209">
        <f t="shared" si="86"/>
        <v>0</v>
      </c>
      <c r="Z280" s="209">
        <f t="shared" si="87"/>
        <v>0.55000000000000004</v>
      </c>
      <c r="AA280" s="205">
        <f t="shared" si="88"/>
        <v>0</v>
      </c>
      <c r="AB280" s="209">
        <f t="shared" si="89"/>
        <v>0</v>
      </c>
      <c r="AC280" s="205">
        <f t="shared" si="90"/>
        <v>0</v>
      </c>
      <c r="AD280" s="210">
        <f t="shared" si="91"/>
        <v>5.5374999999985448</v>
      </c>
      <c r="AE280" s="210">
        <f t="shared" si="92"/>
        <v>5.5374999999985448</v>
      </c>
      <c r="AF280" s="210">
        <f t="shared" si="93"/>
        <v>0</v>
      </c>
      <c r="AG280" s="210">
        <f t="shared" si="94"/>
        <v>0</v>
      </c>
    </row>
    <row r="281" spans="2:33" ht="15" customHeight="1" x14ac:dyDescent="0.3">
      <c r="B281" s="196" t="s">
        <v>5</v>
      </c>
      <c r="C281" s="197" t="s">
        <v>15</v>
      </c>
      <c r="D281" s="198" t="str">
        <f t="shared" si="76"/>
        <v>C</v>
      </c>
      <c r="E281" s="199">
        <v>44054.5</v>
      </c>
      <c r="F281" s="200" t="s">
        <v>91</v>
      </c>
      <c r="G281" s="201">
        <v>13001.05</v>
      </c>
      <c r="H281" s="201">
        <v>12658.35</v>
      </c>
      <c r="I281" s="202">
        <f t="shared" si="77"/>
        <v>342.69999999999891</v>
      </c>
      <c r="J281" s="201">
        <v>14371.85</v>
      </c>
      <c r="K281" s="199">
        <v>44064.637499999997</v>
      </c>
      <c r="L281" s="201">
        <v>12658.35</v>
      </c>
      <c r="M281" s="203">
        <f t="shared" si="78"/>
        <v>-342.7</v>
      </c>
      <c r="N281" s="204">
        <f t="shared" si="79"/>
        <v>-1</v>
      </c>
      <c r="O281" s="205">
        <f t="shared" si="80"/>
        <v>0</v>
      </c>
      <c r="P281" s="206">
        <f t="shared" si="81"/>
        <v>0</v>
      </c>
      <c r="Q281" s="206">
        <f t="shared" si="82"/>
        <v>-1</v>
      </c>
      <c r="R28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250810</v>
      </c>
      <c r="T28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81" s="208">
        <f ca="1">IF(Tabla33610673[[#This Row],[Equity]]&lt;Tabla33610673[[#This Row],[Equity Peak]],(Tabla33610673[[#This Row],[Equity Peak]]-Tabla33610673[[#This Row],[Equity]])/Tabla33610673[[#This Row],[Equity Peak]],"")</f>
        <v>1.1430373260809586E-2</v>
      </c>
      <c r="V281" s="209">
        <f t="shared" si="83"/>
        <v>0</v>
      </c>
      <c r="W281" s="209">
        <f t="shared" si="84"/>
        <v>0</v>
      </c>
      <c r="X281" s="209">
        <f t="shared" si="85"/>
        <v>0</v>
      </c>
      <c r="Y281" s="209">
        <f t="shared" si="86"/>
        <v>0</v>
      </c>
      <c r="Z281" s="209">
        <f t="shared" si="87"/>
        <v>-1</v>
      </c>
      <c r="AA281" s="205">
        <f t="shared" si="88"/>
        <v>0</v>
      </c>
      <c r="AB281" s="209">
        <f t="shared" si="89"/>
        <v>0</v>
      </c>
      <c r="AC281" s="205">
        <f t="shared" si="90"/>
        <v>0</v>
      </c>
      <c r="AD281" s="210">
        <f t="shared" si="91"/>
        <v>10.13749999999709</v>
      </c>
      <c r="AE281" s="210">
        <f t="shared" si="92"/>
        <v>0</v>
      </c>
      <c r="AF281" s="210">
        <f t="shared" si="93"/>
        <v>10.13749999999709</v>
      </c>
      <c r="AG281" s="210">
        <f t="shared" si="94"/>
        <v>0</v>
      </c>
    </row>
    <row r="282" spans="2:33" ht="15" customHeight="1" x14ac:dyDescent="0.3">
      <c r="B282" s="196" t="s">
        <v>5</v>
      </c>
      <c r="C282" s="197" t="s">
        <v>15</v>
      </c>
      <c r="D282" s="198" t="str">
        <f t="shared" si="76"/>
        <v>C</v>
      </c>
      <c r="E282" s="199">
        <v>44048.118055555555</v>
      </c>
      <c r="F282" s="200" t="s">
        <v>90</v>
      </c>
      <c r="G282" s="201">
        <v>6025.6</v>
      </c>
      <c r="H282" s="201">
        <v>5960.23</v>
      </c>
      <c r="I282" s="202">
        <f t="shared" si="77"/>
        <v>65.3700000000008</v>
      </c>
      <c r="J282" s="201">
        <v>6897.17</v>
      </c>
      <c r="K282" s="199">
        <v>44064.617361111108</v>
      </c>
      <c r="L282" s="201">
        <v>6075.35</v>
      </c>
      <c r="M282" s="203">
        <f t="shared" si="78"/>
        <v>49.75</v>
      </c>
      <c r="N282" s="204">
        <f t="shared" si="79"/>
        <v>0.76</v>
      </c>
      <c r="O282" s="205">
        <f t="shared" si="80"/>
        <v>0</v>
      </c>
      <c r="P282" s="206">
        <f t="shared" si="81"/>
        <v>0.76</v>
      </c>
      <c r="Q282" s="206">
        <f t="shared" si="82"/>
        <v>0</v>
      </c>
      <c r="R28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251810</v>
      </c>
      <c r="T28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82" s="208">
        <f ca="1">IF(Tabla33610673[[#This Row],[Equity]]&lt;Tabla33610673[[#This Row],[Equity Peak]],(Tabla33610673[[#This Row],[Equity Peak]]-Tabla33610673[[#This Row],[Equity]])/Tabla33610673[[#This Row],[Equity Peak]],"")</f>
        <v>7.4888652398407635E-3</v>
      </c>
      <c r="V282" s="209">
        <f t="shared" si="83"/>
        <v>0</v>
      </c>
      <c r="W282" s="209">
        <f t="shared" si="84"/>
        <v>0</v>
      </c>
      <c r="X282" s="209">
        <f t="shared" si="85"/>
        <v>0</v>
      </c>
      <c r="Y282" s="209">
        <f t="shared" si="86"/>
        <v>0</v>
      </c>
      <c r="Z282" s="209">
        <f t="shared" si="87"/>
        <v>0.76</v>
      </c>
      <c r="AA282" s="205">
        <f t="shared" si="88"/>
        <v>0</v>
      </c>
      <c r="AB282" s="209">
        <f t="shared" si="89"/>
        <v>0</v>
      </c>
      <c r="AC282" s="205">
        <f t="shared" si="90"/>
        <v>0</v>
      </c>
      <c r="AD282" s="210">
        <f t="shared" si="91"/>
        <v>16.499305555553292</v>
      </c>
      <c r="AE282" s="210">
        <f t="shared" si="92"/>
        <v>16.499305555553292</v>
      </c>
      <c r="AF282" s="210">
        <f t="shared" si="93"/>
        <v>0</v>
      </c>
      <c r="AG282" s="210">
        <f t="shared" si="94"/>
        <v>0</v>
      </c>
    </row>
    <row r="283" spans="2:33" ht="15" customHeight="1" x14ac:dyDescent="0.3">
      <c r="B283" s="196" t="s">
        <v>7</v>
      </c>
      <c r="C283" s="197" t="s">
        <v>15</v>
      </c>
      <c r="D283" s="198" t="str">
        <f t="shared" si="76"/>
        <v>C</v>
      </c>
      <c r="E283" s="199">
        <v>44063.017361111109</v>
      </c>
      <c r="F283" s="200" t="s">
        <v>120</v>
      </c>
      <c r="G283" s="201">
        <v>1.64876</v>
      </c>
      <c r="H283" s="201">
        <v>1.6427400000000001</v>
      </c>
      <c r="I283" s="202">
        <f t="shared" si="77"/>
        <v>6.0199999999999143E-3</v>
      </c>
      <c r="J283" s="201">
        <v>1.7129700000000001</v>
      </c>
      <c r="K283" s="199">
        <v>44063.911111111112</v>
      </c>
      <c r="L283" s="201">
        <v>1.6484799999999999</v>
      </c>
      <c r="M283" s="203">
        <f t="shared" si="78"/>
        <v>-2.9999999999999997E-4</v>
      </c>
      <c r="N283" s="204">
        <f t="shared" si="79"/>
        <v>-0.05</v>
      </c>
      <c r="O283" s="205">
        <f t="shared" si="80"/>
        <v>0</v>
      </c>
      <c r="P283" s="206">
        <f t="shared" si="81"/>
        <v>0</v>
      </c>
      <c r="Q283" s="206">
        <f t="shared" si="82"/>
        <v>-0.05</v>
      </c>
      <c r="R28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251050</v>
      </c>
      <c r="T28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83" s="208">
        <f ca="1">IF(Tabla33610673[[#This Row],[Equity]]&lt;Tabla33610673[[#This Row],[Equity Peak]],(Tabla33610673[[#This Row],[Equity Peak]]-Tabla33610673[[#This Row],[Equity]])/Tabla33610673[[#This Row],[Equity Peak]],"")</f>
        <v>1.0484411335777068E-2</v>
      </c>
      <c r="V283" s="209">
        <f t="shared" si="83"/>
        <v>-0.05</v>
      </c>
      <c r="W283" s="209">
        <f t="shared" si="84"/>
        <v>0</v>
      </c>
      <c r="X283" s="209">
        <f t="shared" si="85"/>
        <v>0</v>
      </c>
      <c r="Y283" s="209">
        <f t="shared" si="86"/>
        <v>0</v>
      </c>
      <c r="Z283" s="209">
        <f t="shared" si="87"/>
        <v>0</v>
      </c>
      <c r="AA283" s="205">
        <f t="shared" si="88"/>
        <v>0</v>
      </c>
      <c r="AB283" s="209">
        <f t="shared" si="89"/>
        <v>0</v>
      </c>
      <c r="AC283" s="205">
        <f t="shared" si="90"/>
        <v>0</v>
      </c>
      <c r="AD283" s="210">
        <f t="shared" si="91"/>
        <v>0.89375000000291038</v>
      </c>
      <c r="AE283" s="210">
        <f t="shared" si="92"/>
        <v>0</v>
      </c>
      <c r="AF283" s="210">
        <f t="shared" si="93"/>
        <v>0.89375000000291038</v>
      </c>
      <c r="AG283" s="210">
        <f t="shared" si="94"/>
        <v>0</v>
      </c>
    </row>
    <row r="284" spans="2:33" ht="15" customHeight="1" x14ac:dyDescent="0.3">
      <c r="B284" s="196" t="s">
        <v>7</v>
      </c>
      <c r="C284" s="197" t="s">
        <v>13</v>
      </c>
      <c r="D284" s="198" t="str">
        <f t="shared" si="76"/>
        <v>C</v>
      </c>
      <c r="E284" s="199">
        <v>44062.666666666664</v>
      </c>
      <c r="F284" s="200" t="s">
        <v>116</v>
      </c>
      <c r="G284" s="201">
        <v>1.8195600000000001</v>
      </c>
      <c r="H284" s="201">
        <v>1.83619</v>
      </c>
      <c r="I284" s="202">
        <f t="shared" si="77"/>
        <v>1.6629999999999923E-2</v>
      </c>
      <c r="J284" s="201">
        <v>1.76413</v>
      </c>
      <c r="K284" s="199">
        <v>44063.464583333334</v>
      </c>
      <c r="L284" s="201">
        <v>1.82786</v>
      </c>
      <c r="M284" s="203">
        <f t="shared" si="78"/>
        <v>-8.3000000000000001E-3</v>
      </c>
      <c r="N284" s="204">
        <f t="shared" si="79"/>
        <v>-0.5</v>
      </c>
      <c r="O284" s="205">
        <f t="shared" si="80"/>
        <v>0</v>
      </c>
      <c r="P284" s="206">
        <f t="shared" si="81"/>
        <v>0</v>
      </c>
      <c r="Q284" s="206">
        <f t="shared" si="82"/>
        <v>-0.5</v>
      </c>
      <c r="R28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251100</v>
      </c>
      <c r="T28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84" s="208">
        <f ca="1">IF(Tabla33610673[[#This Row],[Equity]]&lt;Tabla33610673[[#This Row],[Equity Peak]],(Tabla33610673[[#This Row],[Equity Peak]]-Tabla33610673[[#This Row],[Equity]])/Tabla33610673[[#This Row],[Equity Peak]],"")</f>
        <v>1.0287335934728628E-2</v>
      </c>
      <c r="V284" s="209">
        <f t="shared" si="83"/>
        <v>-0.5</v>
      </c>
      <c r="W284" s="209">
        <f t="shared" si="84"/>
        <v>0</v>
      </c>
      <c r="X284" s="209">
        <f t="shared" si="85"/>
        <v>0</v>
      </c>
      <c r="Y284" s="209">
        <f t="shared" si="86"/>
        <v>0</v>
      </c>
      <c r="Z284" s="209">
        <f t="shared" si="87"/>
        <v>0</v>
      </c>
      <c r="AA284" s="205">
        <f t="shared" si="88"/>
        <v>0</v>
      </c>
      <c r="AB284" s="209">
        <f t="shared" si="89"/>
        <v>0</v>
      </c>
      <c r="AC284" s="205">
        <f t="shared" si="90"/>
        <v>0</v>
      </c>
      <c r="AD284" s="210">
        <f t="shared" si="91"/>
        <v>0.79791666667006211</v>
      </c>
      <c r="AE284" s="210">
        <f t="shared" si="92"/>
        <v>0</v>
      </c>
      <c r="AF284" s="210">
        <f t="shared" si="93"/>
        <v>0.79791666667006211</v>
      </c>
      <c r="AG284" s="210">
        <f t="shared" si="94"/>
        <v>0</v>
      </c>
    </row>
    <row r="285" spans="2:33" ht="15" customHeight="1" x14ac:dyDescent="0.3">
      <c r="B285" s="196" t="s">
        <v>7</v>
      </c>
      <c r="C285" s="197" t="s">
        <v>15</v>
      </c>
      <c r="D285" s="198" t="str">
        <f t="shared" si="76"/>
        <v>C</v>
      </c>
      <c r="E285" s="199">
        <v>44057.833333333336</v>
      </c>
      <c r="F285" s="200" t="s">
        <v>121</v>
      </c>
      <c r="G285" s="201">
        <v>0.71731999999999996</v>
      </c>
      <c r="H285" s="201">
        <v>0.71367999999999998</v>
      </c>
      <c r="I285" s="202">
        <f t="shared" si="77"/>
        <v>3.6399999999999766E-3</v>
      </c>
      <c r="J285" s="201">
        <v>0.73670999999999998</v>
      </c>
      <c r="K285" s="199">
        <v>44063.002083333333</v>
      </c>
      <c r="L285" s="201">
        <v>0.71726999999999996</v>
      </c>
      <c r="M285" s="203">
        <f t="shared" si="78"/>
        <v>0</v>
      </c>
      <c r="N285" s="204">
        <f t="shared" si="79"/>
        <v>0</v>
      </c>
      <c r="O285" s="205">
        <f t="shared" si="80"/>
        <v>0</v>
      </c>
      <c r="P285" s="206">
        <f t="shared" si="81"/>
        <v>0</v>
      </c>
      <c r="Q285" s="206">
        <f t="shared" si="82"/>
        <v>0</v>
      </c>
      <c r="R28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251600</v>
      </c>
      <c r="T28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85" s="208">
        <f ca="1">IF(Tabla33610673[[#This Row],[Equity]]&lt;Tabla33610673[[#This Row],[Equity Peak]],(Tabla33610673[[#This Row],[Equity Peak]]-Tabla33610673[[#This Row],[Equity]])/Tabla33610673[[#This Row],[Equity Peak]],"")</f>
        <v>8.3165819242442159E-3</v>
      </c>
      <c r="V285" s="209">
        <f t="shared" si="83"/>
        <v>0</v>
      </c>
      <c r="W285" s="209">
        <f t="shared" si="84"/>
        <v>0</v>
      </c>
      <c r="X285" s="209">
        <f t="shared" si="85"/>
        <v>0</v>
      </c>
      <c r="Y285" s="209">
        <f t="shared" si="86"/>
        <v>0</v>
      </c>
      <c r="Z285" s="209">
        <f t="shared" si="87"/>
        <v>0</v>
      </c>
      <c r="AA285" s="205">
        <f t="shared" si="88"/>
        <v>0</v>
      </c>
      <c r="AB285" s="209">
        <f t="shared" si="89"/>
        <v>0</v>
      </c>
      <c r="AC285" s="205">
        <f t="shared" si="90"/>
        <v>0</v>
      </c>
      <c r="AD285" s="210">
        <f t="shared" si="91"/>
        <v>5.1687499999970896</v>
      </c>
      <c r="AE285" s="210">
        <f t="shared" si="92"/>
        <v>0</v>
      </c>
      <c r="AF285" s="210">
        <f t="shared" si="93"/>
        <v>0</v>
      </c>
      <c r="AG285" s="210">
        <f t="shared" si="94"/>
        <v>5.1687499999970896</v>
      </c>
    </row>
    <row r="286" spans="2:33" ht="15" customHeight="1" x14ac:dyDescent="0.3">
      <c r="B286" s="196" t="s">
        <v>7</v>
      </c>
      <c r="C286" s="197" t="s">
        <v>13</v>
      </c>
      <c r="D286" s="198" t="str">
        <f t="shared" si="76"/>
        <v>C</v>
      </c>
      <c r="E286" s="199">
        <v>44062.833333333336</v>
      </c>
      <c r="F286" s="200" t="s">
        <v>120</v>
      </c>
      <c r="G286" s="201">
        <v>1.6429800000000001</v>
      </c>
      <c r="H286" s="201">
        <v>1.6485300000000001</v>
      </c>
      <c r="I286" s="202">
        <f t="shared" si="77"/>
        <v>5.5499999999999439E-3</v>
      </c>
      <c r="J286" s="201">
        <v>1.58379</v>
      </c>
      <c r="K286" s="199">
        <v>44062.902083333334</v>
      </c>
      <c r="L286" s="201">
        <v>1.6485300000000001</v>
      </c>
      <c r="M286" s="203">
        <f t="shared" si="78"/>
        <v>-5.4999999999999997E-3</v>
      </c>
      <c r="N286" s="204">
        <f t="shared" si="79"/>
        <v>-0.99</v>
      </c>
      <c r="O286" s="205">
        <f t="shared" si="80"/>
        <v>0</v>
      </c>
      <c r="P286" s="206">
        <f t="shared" si="81"/>
        <v>0</v>
      </c>
      <c r="Q286" s="206">
        <f t="shared" si="82"/>
        <v>-0.99</v>
      </c>
      <c r="R28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251600</v>
      </c>
      <c r="T28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86" s="208">
        <f ca="1">IF(Tabla33610673[[#This Row],[Equity]]&lt;Tabla33610673[[#This Row],[Equity Peak]],(Tabla33610673[[#This Row],[Equity Peak]]-Tabla33610673[[#This Row],[Equity]])/Tabla33610673[[#This Row],[Equity Peak]],"")</f>
        <v>8.3165819242442159E-3</v>
      </c>
      <c r="V286" s="209">
        <f t="shared" si="83"/>
        <v>-0.99</v>
      </c>
      <c r="W286" s="209">
        <f t="shared" si="84"/>
        <v>0</v>
      </c>
      <c r="X286" s="209">
        <f t="shared" si="85"/>
        <v>0</v>
      </c>
      <c r="Y286" s="209">
        <f t="shared" si="86"/>
        <v>0</v>
      </c>
      <c r="Z286" s="209">
        <f t="shared" si="87"/>
        <v>0</v>
      </c>
      <c r="AA286" s="205">
        <f t="shared" si="88"/>
        <v>0</v>
      </c>
      <c r="AB286" s="209">
        <f t="shared" si="89"/>
        <v>0</v>
      </c>
      <c r="AC286" s="205">
        <f t="shared" si="90"/>
        <v>0</v>
      </c>
      <c r="AD286" s="210">
        <f t="shared" si="91"/>
        <v>6.8749999998544808E-2</v>
      </c>
      <c r="AE286" s="210">
        <f t="shared" si="92"/>
        <v>0</v>
      </c>
      <c r="AF286" s="210">
        <f t="shared" si="93"/>
        <v>6.8749999998544808E-2</v>
      </c>
      <c r="AG286" s="210">
        <f t="shared" si="94"/>
        <v>0</v>
      </c>
    </row>
    <row r="287" spans="2:33" ht="15" customHeight="1" x14ac:dyDescent="0.3">
      <c r="B287" s="196" t="s">
        <v>7</v>
      </c>
      <c r="C287" s="197" t="s">
        <v>15</v>
      </c>
      <c r="D287" s="198" t="str">
        <f t="shared" si="76"/>
        <v>C</v>
      </c>
      <c r="E287" s="199">
        <v>44061.666666666664</v>
      </c>
      <c r="F287" s="200" t="s">
        <v>117</v>
      </c>
      <c r="G287" s="201">
        <v>1.19364</v>
      </c>
      <c r="H287" s="201">
        <v>1.1860299999999999</v>
      </c>
      <c r="I287" s="202">
        <f t="shared" si="77"/>
        <v>7.6100000000001167E-3</v>
      </c>
      <c r="J287" s="201">
        <v>1.2423500000000001</v>
      </c>
      <c r="K287" s="199">
        <v>44062.806250000001</v>
      </c>
      <c r="L287" s="201">
        <v>1.1878299999999999</v>
      </c>
      <c r="M287" s="203">
        <f t="shared" si="78"/>
        <v>-5.7999999999999996E-3</v>
      </c>
      <c r="N287" s="204">
        <f t="shared" si="79"/>
        <v>-0.76</v>
      </c>
      <c r="O287" s="205">
        <f t="shared" si="80"/>
        <v>0</v>
      </c>
      <c r="P287" s="206">
        <f t="shared" si="81"/>
        <v>0</v>
      </c>
      <c r="Q287" s="206">
        <f t="shared" si="82"/>
        <v>-0.76</v>
      </c>
      <c r="R28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252590</v>
      </c>
      <c r="T28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87" s="208">
        <f ca="1">IF(Tabla33610673[[#This Row],[Equity]]&lt;Tabla33610673[[#This Row],[Equity Peak]],(Tabla33610673[[#This Row],[Equity Peak]]-Tabla33610673[[#This Row],[Equity]])/Tabla33610673[[#This Row],[Equity Peak]],"")</f>
        <v>4.414488983485081E-3</v>
      </c>
      <c r="V287" s="209">
        <f t="shared" si="83"/>
        <v>-0.76</v>
      </c>
      <c r="W287" s="209">
        <f t="shared" si="84"/>
        <v>0</v>
      </c>
      <c r="X287" s="209">
        <f t="shared" si="85"/>
        <v>0</v>
      </c>
      <c r="Y287" s="209">
        <f t="shared" si="86"/>
        <v>0</v>
      </c>
      <c r="Z287" s="209">
        <f t="shared" si="87"/>
        <v>0</v>
      </c>
      <c r="AA287" s="205">
        <f t="shared" si="88"/>
        <v>0</v>
      </c>
      <c r="AB287" s="209">
        <f t="shared" si="89"/>
        <v>0</v>
      </c>
      <c r="AC287" s="205">
        <f t="shared" si="90"/>
        <v>0</v>
      </c>
      <c r="AD287" s="210">
        <f t="shared" si="91"/>
        <v>1.1395833333372138</v>
      </c>
      <c r="AE287" s="210">
        <f t="shared" si="92"/>
        <v>0</v>
      </c>
      <c r="AF287" s="210">
        <f t="shared" si="93"/>
        <v>1.1395833333372138</v>
      </c>
      <c r="AG287" s="210">
        <f t="shared" si="94"/>
        <v>0</v>
      </c>
    </row>
    <row r="288" spans="2:33" ht="15" customHeight="1" x14ac:dyDescent="0.3">
      <c r="B288" s="196" t="s">
        <v>19</v>
      </c>
      <c r="C288" s="197" t="s">
        <v>15</v>
      </c>
      <c r="D288" s="198" t="str">
        <f t="shared" si="76"/>
        <v>C</v>
      </c>
      <c r="E288" s="199">
        <v>44061.041666666664</v>
      </c>
      <c r="F288" s="200" t="s">
        <v>88</v>
      </c>
      <c r="G288" s="201">
        <v>1983.4</v>
      </c>
      <c r="H288" s="201">
        <v>1944.24</v>
      </c>
      <c r="I288" s="202">
        <f t="shared" si="77"/>
        <v>39.160000000000082</v>
      </c>
      <c r="J288" s="201">
        <v>2233.9899999999998</v>
      </c>
      <c r="K288" s="199">
        <v>44062.740972222222</v>
      </c>
      <c r="L288" s="201">
        <v>1971.95</v>
      </c>
      <c r="M288" s="203">
        <f t="shared" si="78"/>
        <v>-11.45</v>
      </c>
      <c r="N288" s="204">
        <f t="shared" si="79"/>
        <v>-0.28999999999999998</v>
      </c>
      <c r="O288" s="205">
        <f t="shared" si="80"/>
        <v>0</v>
      </c>
      <c r="P288" s="206">
        <f t="shared" si="81"/>
        <v>0</v>
      </c>
      <c r="Q288" s="206">
        <f t="shared" si="82"/>
        <v>-0.28999999999999998</v>
      </c>
      <c r="R28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253350</v>
      </c>
      <c r="T28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88" s="208">
        <f ca="1">IF(Tabla33610673[[#This Row],[Equity]]&lt;Tabla33610673[[#This Row],[Equity Peak]],(Tabla33610673[[#This Row],[Equity Peak]]-Tabla33610673[[#This Row],[Equity]])/Tabla33610673[[#This Row],[Equity Peak]],"")</f>
        <v>1.4189428875487761E-3</v>
      </c>
      <c r="V288" s="209">
        <f t="shared" si="83"/>
        <v>0</v>
      </c>
      <c r="W288" s="209">
        <f t="shared" si="84"/>
        <v>0</v>
      </c>
      <c r="X288" s="209">
        <f t="shared" si="85"/>
        <v>-0.28999999999999998</v>
      </c>
      <c r="Y288" s="209">
        <f t="shared" si="86"/>
        <v>0</v>
      </c>
      <c r="Z288" s="209">
        <f t="shared" si="87"/>
        <v>0</v>
      </c>
      <c r="AA288" s="205">
        <f t="shared" si="88"/>
        <v>0</v>
      </c>
      <c r="AB288" s="209">
        <f t="shared" si="89"/>
        <v>0</v>
      </c>
      <c r="AC288" s="205">
        <f t="shared" si="90"/>
        <v>0</v>
      </c>
      <c r="AD288" s="210">
        <f t="shared" si="91"/>
        <v>1.6993055555576575</v>
      </c>
      <c r="AE288" s="210">
        <f t="shared" si="92"/>
        <v>0</v>
      </c>
      <c r="AF288" s="210">
        <f t="shared" si="93"/>
        <v>1.6993055555576575</v>
      </c>
      <c r="AG288" s="210">
        <f t="shared" si="94"/>
        <v>0</v>
      </c>
    </row>
    <row r="289" spans="2:33" ht="15" customHeight="1" x14ac:dyDescent="0.3">
      <c r="B289" s="196" t="s">
        <v>7</v>
      </c>
      <c r="C289" s="197" t="s">
        <v>13</v>
      </c>
      <c r="D289" s="198" t="str">
        <f t="shared" si="76"/>
        <v>C</v>
      </c>
      <c r="E289" s="199">
        <v>44061.333333333336</v>
      </c>
      <c r="F289" s="200" t="s">
        <v>113</v>
      </c>
      <c r="G289" s="201">
        <v>105.63800000000001</v>
      </c>
      <c r="H289" s="201">
        <v>106.309</v>
      </c>
      <c r="I289" s="202">
        <f t="shared" si="77"/>
        <v>0.67099999999999227</v>
      </c>
      <c r="J289" s="201">
        <v>102.506</v>
      </c>
      <c r="K289" s="199">
        <v>44062.73541666667</v>
      </c>
      <c r="L289" s="201">
        <v>105.68600000000001</v>
      </c>
      <c r="M289" s="203">
        <f t="shared" si="78"/>
        <v>-4.8000000000000001E-2</v>
      </c>
      <c r="N289" s="204">
        <f t="shared" si="79"/>
        <v>-7.0000000000000007E-2</v>
      </c>
      <c r="O289" s="205">
        <f t="shared" si="80"/>
        <v>0</v>
      </c>
      <c r="P289" s="206">
        <f t="shared" si="81"/>
        <v>0</v>
      </c>
      <c r="Q289" s="206">
        <f t="shared" si="82"/>
        <v>-7.0000000000000007E-2</v>
      </c>
      <c r="R28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253640</v>
      </c>
      <c r="T28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89" s="208">
        <f ca="1">IF(Tabla33610673[[#This Row],[Equity]]&lt;Tabla33610673[[#This Row],[Equity Peak]],(Tabla33610673[[#This Row],[Equity Peak]]-Tabla33610673[[#This Row],[Equity]])/Tabla33610673[[#This Row],[Equity Peak]],"")</f>
        <v>2.7590556146781756E-4</v>
      </c>
      <c r="V289" s="209">
        <f t="shared" si="83"/>
        <v>-7.0000000000000007E-2</v>
      </c>
      <c r="W289" s="209">
        <f t="shared" si="84"/>
        <v>0</v>
      </c>
      <c r="X289" s="209">
        <f t="shared" si="85"/>
        <v>0</v>
      </c>
      <c r="Y289" s="209">
        <f t="shared" si="86"/>
        <v>0</v>
      </c>
      <c r="Z289" s="209">
        <f t="shared" si="87"/>
        <v>0</v>
      </c>
      <c r="AA289" s="205">
        <f t="shared" si="88"/>
        <v>0</v>
      </c>
      <c r="AB289" s="209">
        <f t="shared" si="89"/>
        <v>0</v>
      </c>
      <c r="AC289" s="205">
        <f t="shared" si="90"/>
        <v>0</v>
      </c>
      <c r="AD289" s="210">
        <f t="shared" si="91"/>
        <v>1.4020833333343035</v>
      </c>
      <c r="AE289" s="210">
        <f t="shared" si="92"/>
        <v>0</v>
      </c>
      <c r="AF289" s="210">
        <f t="shared" si="93"/>
        <v>1.4020833333343035</v>
      </c>
      <c r="AG289" s="210">
        <f t="shared" si="94"/>
        <v>0</v>
      </c>
    </row>
    <row r="290" spans="2:33" ht="15" customHeight="1" x14ac:dyDescent="0.3">
      <c r="B290" s="196" t="s">
        <v>5</v>
      </c>
      <c r="C290" s="197" t="s">
        <v>15</v>
      </c>
      <c r="D290" s="198" t="str">
        <f t="shared" si="76"/>
        <v>C</v>
      </c>
      <c r="E290" s="199">
        <v>44046.875</v>
      </c>
      <c r="F290" s="200" t="s">
        <v>93</v>
      </c>
      <c r="G290" s="201">
        <v>3297.98</v>
      </c>
      <c r="H290" s="201">
        <v>3261.67</v>
      </c>
      <c r="I290" s="202">
        <f t="shared" si="77"/>
        <v>36.309999999999945</v>
      </c>
      <c r="J290" s="201">
        <v>3394.8</v>
      </c>
      <c r="K290" s="199">
        <v>44062.17291666667</v>
      </c>
      <c r="L290" s="201">
        <v>3394.8</v>
      </c>
      <c r="M290" s="203">
        <f t="shared" si="78"/>
        <v>96.82</v>
      </c>
      <c r="N290" s="204">
        <f t="shared" si="79"/>
        <v>2.67</v>
      </c>
      <c r="O290" s="205">
        <f t="shared" si="80"/>
        <v>0</v>
      </c>
      <c r="P290" s="206">
        <f t="shared" si="81"/>
        <v>2.67</v>
      </c>
      <c r="Q290" s="206">
        <f t="shared" si="82"/>
        <v>0</v>
      </c>
      <c r="R29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253710</v>
      </c>
      <c r="T29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253710</v>
      </c>
      <c r="U29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90" s="209">
        <f t="shared" si="83"/>
        <v>0</v>
      </c>
      <c r="W290" s="209">
        <f t="shared" si="84"/>
        <v>0</v>
      </c>
      <c r="X290" s="209">
        <f t="shared" si="85"/>
        <v>0</v>
      </c>
      <c r="Y290" s="209">
        <f t="shared" si="86"/>
        <v>0</v>
      </c>
      <c r="Z290" s="209">
        <f t="shared" si="87"/>
        <v>2.67</v>
      </c>
      <c r="AA290" s="205">
        <f t="shared" si="88"/>
        <v>0</v>
      </c>
      <c r="AB290" s="209">
        <f t="shared" si="89"/>
        <v>0</v>
      </c>
      <c r="AC290" s="205">
        <f t="shared" si="90"/>
        <v>0</v>
      </c>
      <c r="AD290" s="210">
        <f t="shared" si="91"/>
        <v>15.297916666670062</v>
      </c>
      <c r="AE290" s="210">
        <f t="shared" si="92"/>
        <v>15.297916666670062</v>
      </c>
      <c r="AF290" s="210">
        <f t="shared" si="93"/>
        <v>0</v>
      </c>
      <c r="AG290" s="210">
        <f t="shared" si="94"/>
        <v>0</v>
      </c>
    </row>
    <row r="291" spans="2:33" ht="15" customHeight="1" x14ac:dyDescent="0.3">
      <c r="B291" s="196" t="s">
        <v>5</v>
      </c>
      <c r="C291" s="197" t="s">
        <v>15</v>
      </c>
      <c r="D291" s="198" t="str">
        <f t="shared" si="76"/>
        <v>C</v>
      </c>
      <c r="E291" s="199">
        <v>44061.5</v>
      </c>
      <c r="F291" s="200" t="s">
        <v>94</v>
      </c>
      <c r="G291" s="201">
        <v>6127.83</v>
      </c>
      <c r="H291" s="201">
        <v>6037.78</v>
      </c>
      <c r="I291" s="202">
        <f t="shared" si="77"/>
        <v>90.050000000000182</v>
      </c>
      <c r="J291" s="201">
        <v>6578.07</v>
      </c>
      <c r="K291" s="199">
        <v>44061.833333333336</v>
      </c>
      <c r="L291" s="201">
        <v>6079.73</v>
      </c>
      <c r="M291" s="203">
        <f t="shared" si="78"/>
        <v>-48.1</v>
      </c>
      <c r="N291" s="204">
        <f t="shared" si="79"/>
        <v>-0.53</v>
      </c>
      <c r="O291" s="205">
        <f t="shared" si="80"/>
        <v>0</v>
      </c>
      <c r="P291" s="206">
        <f t="shared" si="81"/>
        <v>0</v>
      </c>
      <c r="Q291" s="206">
        <f t="shared" si="82"/>
        <v>-0.53</v>
      </c>
      <c r="R29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251040</v>
      </c>
      <c r="T29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253340</v>
      </c>
      <c r="U291" s="208">
        <f ca="1">IF(Tabla33610673[[#This Row],[Equity]]&lt;Tabla33610673[[#This Row],[Equity Peak]],(Tabla33610673[[#This Row],[Equity Peak]]-Tabla33610673[[#This Row],[Equity]])/Tabla33610673[[#This Row],[Equity Peak]],"")</f>
        <v>9.0787084550406575E-3</v>
      </c>
      <c r="V291" s="209">
        <f t="shared" si="83"/>
        <v>0</v>
      </c>
      <c r="W291" s="209">
        <f t="shared" si="84"/>
        <v>0</v>
      </c>
      <c r="X291" s="209">
        <f t="shared" si="85"/>
        <v>0</v>
      </c>
      <c r="Y291" s="209">
        <f t="shared" si="86"/>
        <v>0</v>
      </c>
      <c r="Z291" s="209">
        <f t="shared" si="87"/>
        <v>-0.53</v>
      </c>
      <c r="AA291" s="205">
        <f t="shared" si="88"/>
        <v>0</v>
      </c>
      <c r="AB291" s="209">
        <f t="shared" si="89"/>
        <v>0</v>
      </c>
      <c r="AC291" s="205">
        <f t="shared" si="90"/>
        <v>0</v>
      </c>
      <c r="AD291" s="210">
        <f t="shared" si="91"/>
        <v>0.33333333333575865</v>
      </c>
      <c r="AE291" s="210">
        <f t="shared" si="92"/>
        <v>0</v>
      </c>
      <c r="AF291" s="210">
        <f t="shared" si="93"/>
        <v>0.33333333333575865</v>
      </c>
      <c r="AG291" s="210">
        <f t="shared" si="94"/>
        <v>0</v>
      </c>
    </row>
    <row r="292" spans="2:33" ht="15" customHeight="1" x14ac:dyDescent="0.3">
      <c r="B292" s="196" t="s">
        <v>84</v>
      </c>
      <c r="C292" s="197" t="s">
        <v>15</v>
      </c>
      <c r="D292" s="198" t="str">
        <f t="shared" si="76"/>
        <v>C</v>
      </c>
      <c r="E292" s="199">
        <v>44057.017361111109</v>
      </c>
      <c r="F292" s="200" t="s">
        <v>82</v>
      </c>
      <c r="G292" s="201">
        <v>416.71</v>
      </c>
      <c r="H292" s="201">
        <v>398.38</v>
      </c>
      <c r="I292" s="202">
        <f t="shared" si="77"/>
        <v>18.329999999999984</v>
      </c>
      <c r="J292" s="201">
        <v>758.93</v>
      </c>
      <c r="K292" s="199">
        <v>44061.775000000001</v>
      </c>
      <c r="L292" s="201">
        <v>414.86</v>
      </c>
      <c r="M292" s="203">
        <f t="shared" si="78"/>
        <v>-1.85</v>
      </c>
      <c r="N292" s="204">
        <f t="shared" si="79"/>
        <v>-0.1</v>
      </c>
      <c r="O292" s="205">
        <f t="shared" si="80"/>
        <v>0</v>
      </c>
      <c r="P292" s="206">
        <f t="shared" si="81"/>
        <v>0</v>
      </c>
      <c r="Q292" s="206">
        <f t="shared" si="82"/>
        <v>-0.1</v>
      </c>
      <c r="R29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251570</v>
      </c>
      <c r="T29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253340</v>
      </c>
      <c r="U292" s="208">
        <f ca="1">IF(Tabla33610673[[#This Row],[Equity]]&lt;Tabla33610673[[#This Row],[Equity Peak]],(Tabla33610673[[#This Row],[Equity Peak]]-Tabla33610673[[#This Row],[Equity]])/Tabla33610673[[#This Row],[Equity Peak]],"")</f>
        <v>6.9866582458356363E-3</v>
      </c>
      <c r="V292" s="209">
        <f t="shared" si="83"/>
        <v>0</v>
      </c>
      <c r="W292" s="209">
        <f t="shared" si="84"/>
        <v>0</v>
      </c>
      <c r="X292" s="209">
        <f t="shared" si="85"/>
        <v>0</v>
      </c>
      <c r="Y292" s="209">
        <f t="shared" si="86"/>
        <v>0</v>
      </c>
      <c r="Z292" s="209">
        <f t="shared" si="87"/>
        <v>0</v>
      </c>
      <c r="AA292" s="205">
        <f t="shared" si="88"/>
        <v>0</v>
      </c>
      <c r="AB292" s="209">
        <f t="shared" si="89"/>
        <v>-0.1</v>
      </c>
      <c r="AC292" s="205">
        <f t="shared" si="90"/>
        <v>0</v>
      </c>
      <c r="AD292" s="210">
        <f t="shared" si="91"/>
        <v>4.757638888891961</v>
      </c>
      <c r="AE292" s="210">
        <f t="shared" si="92"/>
        <v>0</v>
      </c>
      <c r="AF292" s="210">
        <f t="shared" si="93"/>
        <v>4.757638888891961</v>
      </c>
      <c r="AG292" s="210">
        <f t="shared" si="94"/>
        <v>0</v>
      </c>
    </row>
    <row r="293" spans="2:33" ht="15" customHeight="1" x14ac:dyDescent="0.3">
      <c r="B293" s="196" t="s">
        <v>7</v>
      </c>
      <c r="C293" s="197" t="s">
        <v>15</v>
      </c>
      <c r="D293" s="198" t="str">
        <f t="shared" si="76"/>
        <v>C</v>
      </c>
      <c r="E293" s="199">
        <v>44060.666666666664</v>
      </c>
      <c r="F293" s="200" t="s">
        <v>119</v>
      </c>
      <c r="G293" s="201">
        <v>0.90551999999999999</v>
      </c>
      <c r="H293" s="201">
        <v>0.90246999999999999</v>
      </c>
      <c r="I293" s="202">
        <f t="shared" si="77"/>
        <v>3.0499999999999972E-3</v>
      </c>
      <c r="J293" s="201">
        <v>0.91364999999999996</v>
      </c>
      <c r="K293" s="199">
        <v>44061.713888888888</v>
      </c>
      <c r="L293" s="201">
        <v>0.90246999999999999</v>
      </c>
      <c r="M293" s="203">
        <f t="shared" si="78"/>
        <v>-3.0999999999999999E-3</v>
      </c>
      <c r="N293" s="204">
        <f t="shared" si="79"/>
        <v>-1.02</v>
      </c>
      <c r="O293" s="205">
        <f t="shared" si="80"/>
        <v>0</v>
      </c>
      <c r="P293" s="206">
        <f t="shared" si="81"/>
        <v>0</v>
      </c>
      <c r="Q293" s="206">
        <f t="shared" si="82"/>
        <v>-1.02</v>
      </c>
      <c r="R29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251670</v>
      </c>
      <c r="T29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253340</v>
      </c>
      <c r="U293" s="208">
        <f ca="1">IF(Tabla33610673[[#This Row],[Equity]]&lt;Tabla33610673[[#This Row],[Equity Peak]],(Tabla33610673[[#This Row],[Equity Peak]]-Tabla33610673[[#This Row],[Equity]])/Tabla33610673[[#This Row],[Equity Peak]],"")</f>
        <v>6.591931791268651E-3</v>
      </c>
      <c r="V293" s="209">
        <f t="shared" si="83"/>
        <v>-1.02</v>
      </c>
      <c r="W293" s="209">
        <f t="shared" si="84"/>
        <v>0</v>
      </c>
      <c r="X293" s="209">
        <f t="shared" si="85"/>
        <v>0</v>
      </c>
      <c r="Y293" s="209">
        <f t="shared" si="86"/>
        <v>0</v>
      </c>
      <c r="Z293" s="209">
        <f t="shared" si="87"/>
        <v>0</v>
      </c>
      <c r="AA293" s="205">
        <f t="shared" si="88"/>
        <v>0</v>
      </c>
      <c r="AB293" s="209">
        <f t="shared" si="89"/>
        <v>0</v>
      </c>
      <c r="AC293" s="205">
        <f t="shared" si="90"/>
        <v>0</v>
      </c>
      <c r="AD293" s="210">
        <f t="shared" si="91"/>
        <v>1.047222222223354</v>
      </c>
      <c r="AE293" s="210">
        <f t="shared" si="92"/>
        <v>0</v>
      </c>
      <c r="AF293" s="210">
        <f t="shared" si="93"/>
        <v>1.047222222223354</v>
      </c>
      <c r="AG293" s="210">
        <f t="shared" si="94"/>
        <v>0</v>
      </c>
    </row>
    <row r="294" spans="2:33" ht="15" customHeight="1" x14ac:dyDescent="0.3">
      <c r="B294" s="196" t="s">
        <v>7</v>
      </c>
      <c r="C294" s="197" t="s">
        <v>13</v>
      </c>
      <c r="D294" s="198" t="str">
        <f t="shared" si="76"/>
        <v>C</v>
      </c>
      <c r="E294" s="199">
        <v>44061.017361111109</v>
      </c>
      <c r="F294" s="200" t="s">
        <v>116</v>
      </c>
      <c r="G294" s="201">
        <v>1.81348</v>
      </c>
      <c r="H294" s="201">
        <v>1.8303400000000001</v>
      </c>
      <c r="I294" s="202">
        <f t="shared" si="77"/>
        <v>1.6860000000000097E-2</v>
      </c>
      <c r="J294" s="201">
        <v>1.7572700000000001</v>
      </c>
      <c r="K294" s="199">
        <v>44061.711111111108</v>
      </c>
      <c r="L294" s="201">
        <v>1.8245</v>
      </c>
      <c r="M294" s="203">
        <f t="shared" si="78"/>
        <v>-1.0999999999999999E-2</v>
      </c>
      <c r="N294" s="204">
        <f t="shared" si="79"/>
        <v>-0.65</v>
      </c>
      <c r="O294" s="205">
        <f t="shared" si="80"/>
        <v>0</v>
      </c>
      <c r="P294" s="206">
        <f t="shared" si="81"/>
        <v>0</v>
      </c>
      <c r="Q294" s="206">
        <f t="shared" si="82"/>
        <v>-0.65</v>
      </c>
      <c r="R29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252690</v>
      </c>
      <c r="T29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253340</v>
      </c>
      <c r="U294" s="208">
        <f ca="1">IF(Tabla33610673[[#This Row],[Equity]]&lt;Tabla33610673[[#This Row],[Equity Peak]],(Tabla33610673[[#This Row],[Equity Peak]]-Tabla33610673[[#This Row],[Equity]])/Tabla33610673[[#This Row],[Equity Peak]],"")</f>
        <v>2.5657219546854032E-3</v>
      </c>
      <c r="V294" s="209">
        <f t="shared" si="83"/>
        <v>-0.65</v>
      </c>
      <c r="W294" s="209">
        <f t="shared" si="84"/>
        <v>0</v>
      </c>
      <c r="X294" s="209">
        <f t="shared" si="85"/>
        <v>0</v>
      </c>
      <c r="Y294" s="209">
        <f t="shared" si="86"/>
        <v>0</v>
      </c>
      <c r="Z294" s="209">
        <f t="shared" si="87"/>
        <v>0</v>
      </c>
      <c r="AA294" s="205">
        <f t="shared" si="88"/>
        <v>0</v>
      </c>
      <c r="AB294" s="209">
        <f t="shared" si="89"/>
        <v>0</v>
      </c>
      <c r="AC294" s="205">
        <f t="shared" si="90"/>
        <v>0</v>
      </c>
      <c r="AD294" s="210">
        <f t="shared" si="91"/>
        <v>0.69374999999854481</v>
      </c>
      <c r="AE294" s="210">
        <f t="shared" si="92"/>
        <v>0</v>
      </c>
      <c r="AF294" s="210">
        <f t="shared" si="93"/>
        <v>0.69374999999854481</v>
      </c>
      <c r="AG294" s="210">
        <f t="shared" si="94"/>
        <v>0</v>
      </c>
    </row>
    <row r="295" spans="2:33" ht="15" customHeight="1" x14ac:dyDescent="0.3">
      <c r="B295" s="196" t="s">
        <v>7</v>
      </c>
      <c r="C295" s="197" t="s">
        <v>15</v>
      </c>
      <c r="D295" s="198" t="str">
        <f t="shared" si="76"/>
        <v>C</v>
      </c>
      <c r="E295" s="199">
        <v>44039.166666666664</v>
      </c>
      <c r="F295" s="200" t="s">
        <v>114</v>
      </c>
      <c r="G295" s="201">
        <v>1.2816799999999999</v>
      </c>
      <c r="H295" s="201">
        <v>1.2716700000000001</v>
      </c>
      <c r="I295" s="202">
        <f t="shared" si="77"/>
        <v>1.0009999999999852E-2</v>
      </c>
      <c r="J295" s="201">
        <v>1.3217099999999999</v>
      </c>
      <c r="K295" s="199">
        <v>44061.691666666666</v>
      </c>
      <c r="L295" s="201">
        <v>1.3217099999999999</v>
      </c>
      <c r="M295" s="203">
        <f t="shared" si="78"/>
        <v>0.04</v>
      </c>
      <c r="N295" s="204">
        <f t="shared" si="79"/>
        <v>4</v>
      </c>
      <c r="O295" s="205">
        <f t="shared" si="80"/>
        <v>0</v>
      </c>
      <c r="P295" s="206">
        <f t="shared" si="81"/>
        <v>4</v>
      </c>
      <c r="Q295" s="206">
        <f t="shared" si="82"/>
        <v>0</v>
      </c>
      <c r="R29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253340</v>
      </c>
      <c r="T29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253340</v>
      </c>
      <c r="U29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95" s="209">
        <f t="shared" si="83"/>
        <v>4</v>
      </c>
      <c r="W295" s="209">
        <f t="shared" si="84"/>
        <v>0</v>
      </c>
      <c r="X295" s="209">
        <f t="shared" si="85"/>
        <v>0</v>
      </c>
      <c r="Y295" s="209">
        <f t="shared" si="86"/>
        <v>0</v>
      </c>
      <c r="Z295" s="209">
        <f t="shared" si="87"/>
        <v>0</v>
      </c>
      <c r="AA295" s="205">
        <f t="shared" si="88"/>
        <v>0</v>
      </c>
      <c r="AB295" s="209">
        <f t="shared" si="89"/>
        <v>0</v>
      </c>
      <c r="AC295" s="205">
        <f t="shared" si="90"/>
        <v>0</v>
      </c>
      <c r="AD295" s="210">
        <f t="shared" si="91"/>
        <v>22.525000000001455</v>
      </c>
      <c r="AE295" s="210">
        <f t="shared" si="92"/>
        <v>22.525000000001455</v>
      </c>
      <c r="AF295" s="210">
        <f t="shared" si="93"/>
        <v>0</v>
      </c>
      <c r="AG295" s="210">
        <f t="shared" si="94"/>
        <v>0</v>
      </c>
    </row>
    <row r="296" spans="2:33" ht="15" customHeight="1" x14ac:dyDescent="0.3">
      <c r="B296" s="196" t="s">
        <v>5</v>
      </c>
      <c r="C296" s="197" t="s">
        <v>13</v>
      </c>
      <c r="D296" s="198" t="str">
        <f t="shared" si="76"/>
        <v>C</v>
      </c>
      <c r="E296" s="199">
        <v>44057.833333333336</v>
      </c>
      <c r="F296" s="200" t="s">
        <v>94</v>
      </c>
      <c r="G296" s="201">
        <v>6079.93</v>
      </c>
      <c r="H296" s="201">
        <v>6167.71</v>
      </c>
      <c r="I296" s="202">
        <f t="shared" si="77"/>
        <v>87.779999999999745</v>
      </c>
      <c r="J296" s="201">
        <v>5641.04</v>
      </c>
      <c r="K296" s="199">
        <v>44060.65625</v>
      </c>
      <c r="L296" s="201">
        <v>6132.98</v>
      </c>
      <c r="M296" s="203">
        <f t="shared" si="78"/>
        <v>-53.05</v>
      </c>
      <c r="N296" s="204">
        <f t="shared" si="79"/>
        <v>-0.6</v>
      </c>
      <c r="O296" s="205">
        <f t="shared" si="80"/>
        <v>0</v>
      </c>
      <c r="P296" s="206">
        <f t="shared" si="81"/>
        <v>0</v>
      </c>
      <c r="Q296" s="206">
        <f t="shared" si="82"/>
        <v>-0.6</v>
      </c>
      <c r="R29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249340</v>
      </c>
      <c r="T29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249940</v>
      </c>
      <c r="U296" s="208">
        <f ca="1">IF(Tabla33610673[[#This Row],[Equity]]&lt;Tabla33610673[[#This Row],[Equity Peak]],(Tabla33610673[[#This Row],[Equity Peak]]-Tabla33610673[[#This Row],[Equity]])/Tabla33610673[[#This Row],[Equity Peak]],"")</f>
        <v>2.4005761382731856E-3</v>
      </c>
      <c r="V296" s="209">
        <f t="shared" si="83"/>
        <v>0</v>
      </c>
      <c r="W296" s="209">
        <f t="shared" si="84"/>
        <v>0</v>
      </c>
      <c r="X296" s="209">
        <f t="shared" si="85"/>
        <v>0</v>
      </c>
      <c r="Y296" s="209">
        <f t="shared" si="86"/>
        <v>0</v>
      </c>
      <c r="Z296" s="209">
        <f t="shared" si="87"/>
        <v>-0.6</v>
      </c>
      <c r="AA296" s="205">
        <f t="shared" si="88"/>
        <v>0</v>
      </c>
      <c r="AB296" s="209">
        <f t="shared" si="89"/>
        <v>0</v>
      </c>
      <c r="AC296" s="205">
        <f t="shared" si="90"/>
        <v>0</v>
      </c>
      <c r="AD296" s="210">
        <f t="shared" si="91"/>
        <v>2.8229166666642413</v>
      </c>
      <c r="AE296" s="210">
        <f t="shared" si="92"/>
        <v>0</v>
      </c>
      <c r="AF296" s="210">
        <f t="shared" si="93"/>
        <v>2.8229166666642413</v>
      </c>
      <c r="AG296" s="210">
        <f t="shared" si="94"/>
        <v>0</v>
      </c>
    </row>
    <row r="297" spans="2:33" ht="15" customHeight="1" x14ac:dyDescent="0.3">
      <c r="B297" s="196" t="s">
        <v>7</v>
      </c>
      <c r="C297" s="197" t="s">
        <v>15</v>
      </c>
      <c r="D297" s="198" t="str">
        <f t="shared" si="76"/>
        <v>C</v>
      </c>
      <c r="E297" s="199">
        <v>44055.017361111109</v>
      </c>
      <c r="F297" s="200" t="s">
        <v>120</v>
      </c>
      <c r="G297" s="201">
        <v>1.6438699999999999</v>
      </c>
      <c r="H297" s="201">
        <v>1.6380300000000001</v>
      </c>
      <c r="I297" s="202">
        <f t="shared" si="77"/>
        <v>5.8399999999998453E-3</v>
      </c>
      <c r="J297" s="201">
        <v>1.7061299999999999</v>
      </c>
      <c r="K297" s="199">
        <v>44060.162499999999</v>
      </c>
      <c r="L297" s="201">
        <v>1.6462300000000001</v>
      </c>
      <c r="M297" s="203">
        <f t="shared" si="78"/>
        <v>2.3999999999999998E-3</v>
      </c>
      <c r="N297" s="204">
        <f t="shared" si="79"/>
        <v>0.41</v>
      </c>
      <c r="O297" s="205">
        <f t="shared" si="80"/>
        <v>0</v>
      </c>
      <c r="P297" s="206">
        <f t="shared" si="81"/>
        <v>0.41</v>
      </c>
      <c r="Q297" s="206">
        <f t="shared" si="82"/>
        <v>0</v>
      </c>
      <c r="R29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249940</v>
      </c>
      <c r="T29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249940</v>
      </c>
      <c r="U29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97" s="209">
        <f t="shared" si="83"/>
        <v>0.41</v>
      </c>
      <c r="W297" s="209">
        <f t="shared" si="84"/>
        <v>0</v>
      </c>
      <c r="X297" s="209">
        <f t="shared" si="85"/>
        <v>0</v>
      </c>
      <c r="Y297" s="209">
        <f t="shared" si="86"/>
        <v>0</v>
      </c>
      <c r="Z297" s="209">
        <f t="shared" si="87"/>
        <v>0</v>
      </c>
      <c r="AA297" s="205">
        <f t="shared" si="88"/>
        <v>0</v>
      </c>
      <c r="AB297" s="209">
        <f t="shared" si="89"/>
        <v>0</v>
      </c>
      <c r="AC297" s="205">
        <f t="shared" si="90"/>
        <v>0</v>
      </c>
      <c r="AD297" s="210">
        <f t="shared" si="91"/>
        <v>5.1451388888890506</v>
      </c>
      <c r="AE297" s="210">
        <f t="shared" si="92"/>
        <v>5.1451388888890506</v>
      </c>
      <c r="AF297" s="210">
        <f t="shared" si="93"/>
        <v>0</v>
      </c>
      <c r="AG297" s="210">
        <f t="shared" si="94"/>
        <v>0</v>
      </c>
    </row>
    <row r="298" spans="2:33" ht="15" customHeight="1" x14ac:dyDescent="0.3">
      <c r="B298" s="196" t="s">
        <v>5</v>
      </c>
      <c r="C298" s="197" t="s">
        <v>15</v>
      </c>
      <c r="D298" s="198" t="str">
        <f t="shared" si="76"/>
        <v>C</v>
      </c>
      <c r="E298" s="199">
        <v>44054.017361111109</v>
      </c>
      <c r="F298" s="200" t="s">
        <v>94</v>
      </c>
      <c r="G298" s="201">
        <v>6077.05</v>
      </c>
      <c r="H298" s="201">
        <v>6006.28</v>
      </c>
      <c r="I298" s="202">
        <f t="shared" si="77"/>
        <v>70.770000000000437</v>
      </c>
      <c r="J298" s="201">
        <v>6430.9</v>
      </c>
      <c r="K298" s="199">
        <v>44056.912499999999</v>
      </c>
      <c r="L298" s="201">
        <v>6162.28</v>
      </c>
      <c r="M298" s="203">
        <f t="shared" si="78"/>
        <v>85.23</v>
      </c>
      <c r="N298" s="204">
        <f t="shared" si="79"/>
        <v>1.2</v>
      </c>
      <c r="O298" s="205">
        <f t="shared" si="80"/>
        <v>0</v>
      </c>
      <c r="P298" s="206">
        <f t="shared" si="81"/>
        <v>1.2</v>
      </c>
      <c r="Q298" s="206">
        <f t="shared" si="82"/>
        <v>0</v>
      </c>
      <c r="R29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249530</v>
      </c>
      <c r="T29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249530</v>
      </c>
      <c r="U29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98" s="209">
        <f t="shared" si="83"/>
        <v>0</v>
      </c>
      <c r="W298" s="209">
        <f t="shared" si="84"/>
        <v>0</v>
      </c>
      <c r="X298" s="209">
        <f t="shared" si="85"/>
        <v>0</v>
      </c>
      <c r="Y298" s="209">
        <f t="shared" si="86"/>
        <v>0</v>
      </c>
      <c r="Z298" s="209">
        <f t="shared" si="87"/>
        <v>1.2</v>
      </c>
      <c r="AA298" s="205">
        <f t="shared" si="88"/>
        <v>0</v>
      </c>
      <c r="AB298" s="209">
        <f t="shared" si="89"/>
        <v>0</v>
      </c>
      <c r="AC298" s="205">
        <f t="shared" si="90"/>
        <v>0</v>
      </c>
      <c r="AD298" s="210">
        <f t="shared" si="91"/>
        <v>2.8951388888890506</v>
      </c>
      <c r="AE298" s="210">
        <f t="shared" si="92"/>
        <v>2.8951388888890506</v>
      </c>
      <c r="AF298" s="210">
        <f t="shared" si="93"/>
        <v>0</v>
      </c>
      <c r="AG298" s="210">
        <f t="shared" si="94"/>
        <v>0</v>
      </c>
    </row>
    <row r="299" spans="2:33" ht="15" customHeight="1" x14ac:dyDescent="0.3">
      <c r="B299" s="196" t="s">
        <v>7</v>
      </c>
      <c r="C299" s="197" t="s">
        <v>13</v>
      </c>
      <c r="D299" s="198" t="str">
        <f t="shared" si="76"/>
        <v>C</v>
      </c>
      <c r="E299" s="199">
        <v>44054.333333333336</v>
      </c>
      <c r="F299" s="200" t="s">
        <v>120</v>
      </c>
      <c r="G299" s="201">
        <v>1.63653</v>
      </c>
      <c r="H299" s="201">
        <v>1.64235</v>
      </c>
      <c r="I299" s="202">
        <f t="shared" si="77"/>
        <v>5.8199999999999363E-3</v>
      </c>
      <c r="J299" s="201">
        <v>1.57447</v>
      </c>
      <c r="K299" s="199">
        <v>44054.537499999999</v>
      </c>
      <c r="L299" s="201">
        <v>1.64235</v>
      </c>
      <c r="M299" s="203">
        <f t="shared" si="78"/>
        <v>-5.7999999999999996E-3</v>
      </c>
      <c r="N299" s="204">
        <f t="shared" si="79"/>
        <v>-1</v>
      </c>
      <c r="O299" s="205">
        <f t="shared" si="80"/>
        <v>0</v>
      </c>
      <c r="P299" s="206">
        <f t="shared" si="81"/>
        <v>0</v>
      </c>
      <c r="Q299" s="206">
        <f t="shared" si="82"/>
        <v>-1</v>
      </c>
      <c r="R29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248330</v>
      </c>
      <c r="T29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249330</v>
      </c>
      <c r="U299" s="208">
        <f ca="1">IF(Tabla33610673[[#This Row],[Equity]]&lt;Tabla33610673[[#This Row],[Equity Peak]],(Tabla33610673[[#This Row],[Equity Peak]]-Tabla33610673[[#This Row],[Equity]])/Tabla33610673[[#This Row],[Equity Peak]],"")</f>
        <v>4.0107488068022298E-3</v>
      </c>
      <c r="V299" s="209">
        <f t="shared" si="83"/>
        <v>-1</v>
      </c>
      <c r="W299" s="209">
        <f t="shared" si="84"/>
        <v>0</v>
      </c>
      <c r="X299" s="209">
        <f t="shared" si="85"/>
        <v>0</v>
      </c>
      <c r="Y299" s="209">
        <f t="shared" si="86"/>
        <v>0</v>
      </c>
      <c r="Z299" s="209">
        <f t="shared" si="87"/>
        <v>0</v>
      </c>
      <c r="AA299" s="205">
        <f t="shared" si="88"/>
        <v>0</v>
      </c>
      <c r="AB299" s="209">
        <f t="shared" si="89"/>
        <v>0</v>
      </c>
      <c r="AC299" s="205">
        <f t="shared" si="90"/>
        <v>0</v>
      </c>
      <c r="AD299" s="210">
        <f t="shared" si="91"/>
        <v>0.20416666666278616</v>
      </c>
      <c r="AE299" s="210">
        <f t="shared" si="92"/>
        <v>0</v>
      </c>
      <c r="AF299" s="210">
        <f t="shared" si="93"/>
        <v>0.20416666666278616</v>
      </c>
      <c r="AG299" s="210">
        <f t="shared" si="94"/>
        <v>0</v>
      </c>
    </row>
    <row r="300" spans="2:33" ht="15" customHeight="1" x14ac:dyDescent="0.3">
      <c r="B300" s="196" t="s">
        <v>5</v>
      </c>
      <c r="C300" s="197" t="s">
        <v>15</v>
      </c>
      <c r="D300" s="198" t="str">
        <f t="shared" si="76"/>
        <v>C</v>
      </c>
      <c r="E300" s="199">
        <v>44046.708333333336</v>
      </c>
      <c r="F300" s="200" t="s">
        <v>95</v>
      </c>
      <c r="G300" s="201">
        <v>26562.7</v>
      </c>
      <c r="H300" s="201">
        <v>26213.03</v>
      </c>
      <c r="I300" s="202">
        <f t="shared" si="77"/>
        <v>349.67000000000189</v>
      </c>
      <c r="J300" s="201">
        <v>27961.37</v>
      </c>
      <c r="K300" s="199">
        <v>44054.442361111112</v>
      </c>
      <c r="L300" s="201">
        <v>27961.37</v>
      </c>
      <c r="M300" s="203">
        <f t="shared" si="78"/>
        <v>1398.67</v>
      </c>
      <c r="N300" s="204">
        <f t="shared" si="79"/>
        <v>4</v>
      </c>
      <c r="O300" s="205">
        <f t="shared" si="80"/>
        <v>0</v>
      </c>
      <c r="P300" s="206">
        <f t="shared" si="81"/>
        <v>4</v>
      </c>
      <c r="Q300" s="206">
        <f t="shared" si="82"/>
        <v>0</v>
      </c>
      <c r="R30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249330</v>
      </c>
      <c r="T30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249330</v>
      </c>
      <c r="U30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00" s="209">
        <f t="shared" si="83"/>
        <v>0</v>
      </c>
      <c r="W300" s="209">
        <f t="shared" si="84"/>
        <v>0</v>
      </c>
      <c r="X300" s="209">
        <f t="shared" si="85"/>
        <v>0</v>
      </c>
      <c r="Y300" s="209">
        <f t="shared" si="86"/>
        <v>0</v>
      </c>
      <c r="Z300" s="209">
        <f t="shared" si="87"/>
        <v>4</v>
      </c>
      <c r="AA300" s="205">
        <f t="shared" si="88"/>
        <v>0</v>
      </c>
      <c r="AB300" s="209">
        <f t="shared" si="89"/>
        <v>0</v>
      </c>
      <c r="AC300" s="205">
        <f t="shared" si="90"/>
        <v>0</v>
      </c>
      <c r="AD300" s="210">
        <f t="shared" si="91"/>
        <v>7.734027777776646</v>
      </c>
      <c r="AE300" s="210">
        <f t="shared" si="92"/>
        <v>7.734027777776646</v>
      </c>
      <c r="AF300" s="210">
        <f t="shared" si="93"/>
        <v>0</v>
      </c>
      <c r="AG300" s="210">
        <f t="shared" si="94"/>
        <v>0</v>
      </c>
    </row>
    <row r="301" spans="2:33" ht="15" customHeight="1" x14ac:dyDescent="0.3">
      <c r="B301" s="196" t="s">
        <v>84</v>
      </c>
      <c r="C301" s="197" t="s">
        <v>15</v>
      </c>
      <c r="D301" s="198" t="str">
        <f t="shared" si="76"/>
        <v>C</v>
      </c>
      <c r="E301" s="199">
        <v>44046.166666666664</v>
      </c>
      <c r="F301" s="200" t="s">
        <v>80</v>
      </c>
      <c r="G301" s="201">
        <v>11122.95</v>
      </c>
      <c r="H301" s="201">
        <v>10690.11</v>
      </c>
      <c r="I301" s="202">
        <f t="shared" si="77"/>
        <v>432.84000000000015</v>
      </c>
      <c r="J301" s="201">
        <v>17615.59</v>
      </c>
      <c r="K301" s="199">
        <v>44050.9</v>
      </c>
      <c r="L301" s="201">
        <v>11385.74</v>
      </c>
      <c r="M301" s="203">
        <f t="shared" si="78"/>
        <v>262.79000000000002</v>
      </c>
      <c r="N301" s="204">
        <f t="shared" si="79"/>
        <v>0.61</v>
      </c>
      <c r="O301" s="205">
        <f t="shared" si="80"/>
        <v>0</v>
      </c>
      <c r="P301" s="206">
        <f t="shared" si="81"/>
        <v>0.61</v>
      </c>
      <c r="Q301" s="206">
        <f t="shared" si="82"/>
        <v>0</v>
      </c>
      <c r="R30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245330</v>
      </c>
      <c r="T30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246110</v>
      </c>
      <c r="U301" s="208">
        <f ca="1">IF(Tabla33610673[[#This Row],[Equity]]&lt;Tabla33610673[[#This Row],[Equity Peak]],(Tabla33610673[[#This Row],[Equity Peak]]-Tabla33610673[[#This Row],[Equity]])/Tabla33610673[[#This Row],[Equity Peak]],"")</f>
        <v>3.1693145341513958E-3</v>
      </c>
      <c r="V301" s="209">
        <f t="shared" si="83"/>
        <v>0</v>
      </c>
      <c r="W301" s="209">
        <f t="shared" si="84"/>
        <v>0</v>
      </c>
      <c r="X301" s="209">
        <f t="shared" si="85"/>
        <v>0</v>
      </c>
      <c r="Y301" s="209">
        <f t="shared" si="86"/>
        <v>0</v>
      </c>
      <c r="Z301" s="209">
        <f t="shared" si="87"/>
        <v>0</v>
      </c>
      <c r="AA301" s="205">
        <f t="shared" si="88"/>
        <v>0</v>
      </c>
      <c r="AB301" s="209">
        <f t="shared" si="89"/>
        <v>0.61</v>
      </c>
      <c r="AC301" s="205">
        <f t="shared" si="90"/>
        <v>0</v>
      </c>
      <c r="AD301" s="210">
        <f t="shared" si="91"/>
        <v>4.7333333333372138</v>
      </c>
      <c r="AE301" s="210">
        <f t="shared" si="92"/>
        <v>4.7333333333372138</v>
      </c>
      <c r="AF301" s="210">
        <f t="shared" si="93"/>
        <v>0</v>
      </c>
      <c r="AG301" s="210">
        <f t="shared" si="94"/>
        <v>0</v>
      </c>
    </row>
    <row r="302" spans="2:33" ht="15" customHeight="1" x14ac:dyDescent="0.3">
      <c r="B302" s="196" t="s">
        <v>5</v>
      </c>
      <c r="C302" s="197" t="s">
        <v>15</v>
      </c>
      <c r="D302" s="198" t="str">
        <f t="shared" si="76"/>
        <v>C</v>
      </c>
      <c r="E302" s="199">
        <v>44040.333333333336</v>
      </c>
      <c r="F302" s="200" t="s">
        <v>92</v>
      </c>
      <c r="G302" s="201">
        <v>10714.8</v>
      </c>
      <c r="H302" s="201">
        <v>10440.33</v>
      </c>
      <c r="I302" s="202">
        <f t="shared" si="77"/>
        <v>274.46999999999935</v>
      </c>
      <c r="J302" s="201">
        <v>12544.62</v>
      </c>
      <c r="K302" s="199">
        <v>44050.839583333334</v>
      </c>
      <c r="L302" s="201">
        <v>11097.31</v>
      </c>
      <c r="M302" s="203">
        <f t="shared" si="78"/>
        <v>382.51</v>
      </c>
      <c r="N302" s="204">
        <f t="shared" si="79"/>
        <v>1.39</v>
      </c>
      <c r="O302" s="205">
        <f t="shared" si="80"/>
        <v>0</v>
      </c>
      <c r="P302" s="206">
        <f t="shared" si="81"/>
        <v>1.39</v>
      </c>
      <c r="Q302" s="206">
        <f t="shared" si="82"/>
        <v>0</v>
      </c>
      <c r="R30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244720</v>
      </c>
      <c r="T30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246110</v>
      </c>
      <c r="U302" s="208">
        <f ca="1">IF(Tabla33610673[[#This Row],[Equity]]&lt;Tabla33610673[[#This Row],[Equity Peak]],(Tabla33610673[[#This Row],[Equity Peak]]-Tabla33610673[[#This Row],[Equity]])/Tabla33610673[[#This Row],[Equity Peak]],"")</f>
        <v>5.6478810288082566E-3</v>
      </c>
      <c r="V302" s="209">
        <f t="shared" si="83"/>
        <v>0</v>
      </c>
      <c r="W302" s="209">
        <f t="shared" si="84"/>
        <v>0</v>
      </c>
      <c r="X302" s="209">
        <f t="shared" si="85"/>
        <v>0</v>
      </c>
      <c r="Y302" s="209">
        <f t="shared" si="86"/>
        <v>0</v>
      </c>
      <c r="Z302" s="209">
        <f t="shared" si="87"/>
        <v>1.39</v>
      </c>
      <c r="AA302" s="205">
        <f t="shared" si="88"/>
        <v>0</v>
      </c>
      <c r="AB302" s="209">
        <f t="shared" si="89"/>
        <v>0</v>
      </c>
      <c r="AC302" s="205">
        <f t="shared" si="90"/>
        <v>0</v>
      </c>
      <c r="AD302" s="210">
        <f t="shared" si="91"/>
        <v>10.506249999998545</v>
      </c>
      <c r="AE302" s="210">
        <f t="shared" si="92"/>
        <v>10.506249999998545</v>
      </c>
      <c r="AF302" s="210">
        <f t="shared" si="93"/>
        <v>0</v>
      </c>
      <c r="AG302" s="210">
        <f t="shared" si="94"/>
        <v>0</v>
      </c>
    </row>
    <row r="303" spans="2:33" ht="15" customHeight="1" x14ac:dyDescent="0.3">
      <c r="B303" s="196" t="s">
        <v>84</v>
      </c>
      <c r="C303" s="197" t="s">
        <v>15</v>
      </c>
      <c r="D303" s="198" t="str">
        <f t="shared" si="76"/>
        <v>C</v>
      </c>
      <c r="E303" s="199">
        <v>44046.166666666664</v>
      </c>
      <c r="F303" s="200" t="s">
        <v>82</v>
      </c>
      <c r="G303" s="201">
        <v>378.86</v>
      </c>
      <c r="H303" s="201">
        <v>358.79</v>
      </c>
      <c r="I303" s="202">
        <f t="shared" si="77"/>
        <v>20.069999999999993</v>
      </c>
      <c r="J303" s="201">
        <v>753.42</v>
      </c>
      <c r="K303" s="199">
        <v>44050.777083333334</v>
      </c>
      <c r="L303" s="201">
        <v>378.15</v>
      </c>
      <c r="M303" s="203">
        <f t="shared" si="78"/>
        <v>-0.71</v>
      </c>
      <c r="N303" s="204">
        <f t="shared" si="79"/>
        <v>-0.04</v>
      </c>
      <c r="O303" s="205">
        <f t="shared" si="80"/>
        <v>0</v>
      </c>
      <c r="P303" s="206">
        <f t="shared" si="81"/>
        <v>0</v>
      </c>
      <c r="Q303" s="206">
        <f t="shared" si="82"/>
        <v>-0.04</v>
      </c>
      <c r="R30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243330</v>
      </c>
      <c r="T30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246110</v>
      </c>
      <c r="U303" s="208">
        <f ca="1">IF(Tabla33610673[[#This Row],[Equity]]&lt;Tabla33610673[[#This Row],[Equity Peak]],(Tabla33610673[[#This Row],[Equity Peak]]-Tabla33610673[[#This Row],[Equity]])/Tabla33610673[[#This Row],[Equity Peak]],"")</f>
        <v>1.1295762057616513E-2</v>
      </c>
      <c r="V303" s="209">
        <f t="shared" si="83"/>
        <v>0</v>
      </c>
      <c r="W303" s="209">
        <f t="shared" si="84"/>
        <v>0</v>
      </c>
      <c r="X303" s="209">
        <f t="shared" si="85"/>
        <v>0</v>
      </c>
      <c r="Y303" s="209">
        <f t="shared" si="86"/>
        <v>0</v>
      </c>
      <c r="Z303" s="209">
        <f t="shared" si="87"/>
        <v>0</v>
      </c>
      <c r="AA303" s="205">
        <f t="shared" si="88"/>
        <v>0</v>
      </c>
      <c r="AB303" s="209">
        <f t="shared" si="89"/>
        <v>-0.04</v>
      </c>
      <c r="AC303" s="205">
        <f t="shared" si="90"/>
        <v>0</v>
      </c>
      <c r="AD303" s="210">
        <f t="shared" si="91"/>
        <v>4.6104166666700621</v>
      </c>
      <c r="AE303" s="210">
        <f t="shared" si="92"/>
        <v>0</v>
      </c>
      <c r="AF303" s="210">
        <f t="shared" si="93"/>
        <v>4.6104166666700621</v>
      </c>
      <c r="AG303" s="210">
        <f t="shared" si="94"/>
        <v>0</v>
      </c>
    </row>
    <row r="304" spans="2:33" ht="15" customHeight="1" x14ac:dyDescent="0.3">
      <c r="B304" s="196" t="s">
        <v>7</v>
      </c>
      <c r="C304" s="197" t="s">
        <v>13</v>
      </c>
      <c r="D304" s="198" t="str">
        <f t="shared" si="76"/>
        <v>C</v>
      </c>
      <c r="E304" s="199">
        <v>44048.166666666664</v>
      </c>
      <c r="F304" s="200" t="s">
        <v>113</v>
      </c>
      <c r="G304" s="201">
        <v>105.59</v>
      </c>
      <c r="H304" s="201">
        <v>106.557</v>
      </c>
      <c r="I304" s="202">
        <f t="shared" si="77"/>
        <v>0.96699999999999875</v>
      </c>
      <c r="J304" s="201">
        <v>101.07899999999999</v>
      </c>
      <c r="K304" s="199">
        <v>44050.646527777775</v>
      </c>
      <c r="L304" s="201">
        <v>105.845</v>
      </c>
      <c r="M304" s="203">
        <f t="shared" si="78"/>
        <v>-0.255</v>
      </c>
      <c r="N304" s="204">
        <f t="shared" si="79"/>
        <v>-0.26</v>
      </c>
      <c r="O304" s="205">
        <f t="shared" si="80"/>
        <v>0</v>
      </c>
      <c r="P304" s="206">
        <f t="shared" si="81"/>
        <v>0</v>
      </c>
      <c r="Q304" s="206">
        <f t="shared" si="82"/>
        <v>-0.26</v>
      </c>
      <c r="R30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243370</v>
      </c>
      <c r="T30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246110</v>
      </c>
      <c r="U304" s="208">
        <f ca="1">IF(Tabla33610673[[#This Row],[Equity]]&lt;Tabla33610673[[#This Row],[Equity Peak]],(Tabla33610673[[#This Row],[Equity Peak]]-Tabla33610673[[#This Row],[Equity]])/Tabla33610673[[#This Row],[Equity Peak]],"")</f>
        <v>1.1133233107147211E-2</v>
      </c>
      <c r="V304" s="209">
        <f t="shared" si="83"/>
        <v>-0.26</v>
      </c>
      <c r="W304" s="209">
        <f t="shared" si="84"/>
        <v>0</v>
      </c>
      <c r="X304" s="209">
        <f t="shared" si="85"/>
        <v>0</v>
      </c>
      <c r="Y304" s="209">
        <f t="shared" si="86"/>
        <v>0</v>
      </c>
      <c r="Z304" s="209">
        <f t="shared" si="87"/>
        <v>0</v>
      </c>
      <c r="AA304" s="205">
        <f t="shared" si="88"/>
        <v>0</v>
      </c>
      <c r="AB304" s="209">
        <f t="shared" si="89"/>
        <v>0</v>
      </c>
      <c r="AC304" s="205">
        <f t="shared" si="90"/>
        <v>0</v>
      </c>
      <c r="AD304" s="210">
        <f t="shared" si="91"/>
        <v>2.4798611111109494</v>
      </c>
      <c r="AE304" s="210">
        <f t="shared" si="92"/>
        <v>0</v>
      </c>
      <c r="AF304" s="210">
        <f t="shared" si="93"/>
        <v>2.4798611111109494</v>
      </c>
      <c r="AG304" s="210">
        <f t="shared" si="94"/>
        <v>0</v>
      </c>
    </row>
    <row r="305" spans="2:33" ht="15" customHeight="1" x14ac:dyDescent="0.3">
      <c r="B305" s="196" t="s">
        <v>19</v>
      </c>
      <c r="C305" s="197" t="s">
        <v>15</v>
      </c>
      <c r="D305" s="198" t="str">
        <f t="shared" si="76"/>
        <v>C</v>
      </c>
      <c r="E305" s="199">
        <v>44047.958333333336</v>
      </c>
      <c r="F305" s="200" t="s">
        <v>108</v>
      </c>
      <c r="G305" s="201">
        <v>41.680999999999997</v>
      </c>
      <c r="H305" s="201">
        <v>40.100999999999999</v>
      </c>
      <c r="I305" s="202">
        <f t="shared" si="77"/>
        <v>1.5799999999999983</v>
      </c>
      <c r="J305" s="201">
        <v>60.643000000000001</v>
      </c>
      <c r="K305" s="199">
        <v>44050.6</v>
      </c>
      <c r="L305" s="201">
        <v>41.542999999999999</v>
      </c>
      <c r="M305" s="203">
        <f t="shared" si="78"/>
        <v>-0.13800000000000001</v>
      </c>
      <c r="N305" s="204">
        <f t="shared" si="79"/>
        <v>-0.09</v>
      </c>
      <c r="O305" s="205">
        <f t="shared" si="80"/>
        <v>0</v>
      </c>
      <c r="P305" s="206">
        <f t="shared" si="81"/>
        <v>0</v>
      </c>
      <c r="Q305" s="206">
        <f t="shared" si="82"/>
        <v>-0.09</v>
      </c>
      <c r="R30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243630</v>
      </c>
      <c r="T30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246110</v>
      </c>
      <c r="U305" s="208">
        <f ca="1">IF(Tabla33610673[[#This Row],[Equity]]&lt;Tabla33610673[[#This Row],[Equity Peak]],(Tabla33610673[[#This Row],[Equity Peak]]-Tabla33610673[[#This Row],[Equity]])/Tabla33610673[[#This Row],[Equity Peak]],"")</f>
        <v>1.0076794929096746E-2</v>
      </c>
      <c r="V305" s="209">
        <f t="shared" si="83"/>
        <v>0</v>
      </c>
      <c r="W305" s="209">
        <f t="shared" si="84"/>
        <v>0</v>
      </c>
      <c r="X305" s="209">
        <f t="shared" si="85"/>
        <v>-0.09</v>
      </c>
      <c r="Y305" s="209">
        <f t="shared" si="86"/>
        <v>0</v>
      </c>
      <c r="Z305" s="209">
        <f t="shared" si="87"/>
        <v>0</v>
      </c>
      <c r="AA305" s="205">
        <f t="shared" si="88"/>
        <v>0</v>
      </c>
      <c r="AB305" s="209">
        <f t="shared" si="89"/>
        <v>0</v>
      </c>
      <c r="AC305" s="205">
        <f t="shared" si="90"/>
        <v>0</v>
      </c>
      <c r="AD305" s="210">
        <f t="shared" si="91"/>
        <v>2.6416666666627862</v>
      </c>
      <c r="AE305" s="210">
        <f t="shared" si="92"/>
        <v>0</v>
      </c>
      <c r="AF305" s="210">
        <f t="shared" si="93"/>
        <v>2.6416666666627862</v>
      </c>
      <c r="AG305" s="210">
        <f t="shared" si="94"/>
        <v>0</v>
      </c>
    </row>
    <row r="306" spans="2:33" ht="15" customHeight="1" x14ac:dyDescent="0.3">
      <c r="B306" s="196" t="s">
        <v>7</v>
      </c>
      <c r="C306" s="197" t="s">
        <v>15</v>
      </c>
      <c r="D306" s="198" t="str">
        <f t="shared" si="76"/>
        <v>C</v>
      </c>
      <c r="E306" s="199">
        <v>44048.666666666664</v>
      </c>
      <c r="F306" s="200" t="s">
        <v>121</v>
      </c>
      <c r="G306" s="201">
        <v>0.72282000000000002</v>
      </c>
      <c r="H306" s="201">
        <v>0.71809999999999996</v>
      </c>
      <c r="I306" s="202">
        <f t="shared" si="77"/>
        <v>4.7200000000000575E-3</v>
      </c>
      <c r="J306" s="201">
        <v>0.74797999999999998</v>
      </c>
      <c r="K306" s="199">
        <v>44049.469444444447</v>
      </c>
      <c r="L306" s="201">
        <v>0.71809999999999996</v>
      </c>
      <c r="M306" s="203">
        <f t="shared" si="78"/>
        <v>-4.7000000000000002E-3</v>
      </c>
      <c r="N306" s="204">
        <f t="shared" si="79"/>
        <v>-1</v>
      </c>
      <c r="O306" s="205">
        <f t="shared" si="80"/>
        <v>0</v>
      </c>
      <c r="P306" s="206">
        <f t="shared" si="81"/>
        <v>0</v>
      </c>
      <c r="Q306" s="206">
        <f t="shared" si="82"/>
        <v>-1</v>
      </c>
      <c r="R30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243720</v>
      </c>
      <c r="T30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246110</v>
      </c>
      <c r="U306" s="208">
        <f ca="1">IF(Tabla33610673[[#This Row],[Equity]]&lt;Tabla33610673[[#This Row],[Equity Peak]],(Tabla33610673[[#This Row],[Equity Peak]]-Tabla33610673[[#This Row],[Equity]])/Tabla33610673[[#This Row],[Equity Peak]],"")</f>
        <v>9.711104790540815E-3</v>
      </c>
      <c r="V306" s="209">
        <f t="shared" si="83"/>
        <v>-1</v>
      </c>
      <c r="W306" s="209">
        <f t="shared" si="84"/>
        <v>0</v>
      </c>
      <c r="X306" s="209">
        <f t="shared" si="85"/>
        <v>0</v>
      </c>
      <c r="Y306" s="209">
        <f t="shared" si="86"/>
        <v>0</v>
      </c>
      <c r="Z306" s="209">
        <f t="shared" si="87"/>
        <v>0</v>
      </c>
      <c r="AA306" s="205">
        <f t="shared" si="88"/>
        <v>0</v>
      </c>
      <c r="AB306" s="209">
        <f t="shared" si="89"/>
        <v>0</v>
      </c>
      <c r="AC306" s="205">
        <f t="shared" si="90"/>
        <v>0</v>
      </c>
      <c r="AD306" s="210">
        <f t="shared" si="91"/>
        <v>0.80277777778246673</v>
      </c>
      <c r="AE306" s="210">
        <f t="shared" si="92"/>
        <v>0</v>
      </c>
      <c r="AF306" s="210">
        <f t="shared" si="93"/>
        <v>0.80277777778246673</v>
      </c>
      <c r="AG306" s="210">
        <f t="shared" si="94"/>
        <v>0</v>
      </c>
    </row>
    <row r="307" spans="2:33" ht="15" customHeight="1" x14ac:dyDescent="0.3">
      <c r="B307" s="196" t="s">
        <v>19</v>
      </c>
      <c r="C307" s="197" t="s">
        <v>13</v>
      </c>
      <c r="D307" s="198" t="str">
        <f t="shared" si="76"/>
        <v>C</v>
      </c>
      <c r="E307" s="199">
        <v>44042.958333333336</v>
      </c>
      <c r="F307" s="200" t="s">
        <v>108</v>
      </c>
      <c r="G307" s="201">
        <v>40.259</v>
      </c>
      <c r="H307" s="201">
        <v>41.875</v>
      </c>
      <c r="I307" s="202">
        <f t="shared" si="77"/>
        <v>1.6159999999999997</v>
      </c>
      <c r="J307" s="201">
        <v>20.866</v>
      </c>
      <c r="K307" s="199">
        <v>44046.713194444441</v>
      </c>
      <c r="L307" s="201">
        <v>40.857999999999997</v>
      </c>
      <c r="M307" s="203">
        <f t="shared" si="78"/>
        <v>-0.59899999999999998</v>
      </c>
      <c r="N307" s="204">
        <f t="shared" si="79"/>
        <v>-0.37</v>
      </c>
      <c r="O307" s="205">
        <f t="shared" si="80"/>
        <v>0</v>
      </c>
      <c r="P307" s="206">
        <f t="shared" si="81"/>
        <v>0</v>
      </c>
      <c r="Q307" s="206">
        <f t="shared" si="82"/>
        <v>-0.37</v>
      </c>
      <c r="R30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244720</v>
      </c>
      <c r="T30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246110</v>
      </c>
      <c r="U307" s="208">
        <f ca="1">IF(Tabla33610673[[#This Row],[Equity]]&lt;Tabla33610673[[#This Row],[Equity Peak]],(Tabla33610673[[#This Row],[Equity Peak]]-Tabla33610673[[#This Row],[Equity]])/Tabla33610673[[#This Row],[Equity Peak]],"")</f>
        <v>5.6478810288082566E-3</v>
      </c>
      <c r="V307" s="209">
        <f t="shared" si="83"/>
        <v>0</v>
      </c>
      <c r="W307" s="209">
        <f t="shared" si="84"/>
        <v>0</v>
      </c>
      <c r="X307" s="209">
        <f t="shared" si="85"/>
        <v>-0.37</v>
      </c>
      <c r="Y307" s="209">
        <f t="shared" si="86"/>
        <v>0</v>
      </c>
      <c r="Z307" s="209">
        <f t="shared" si="87"/>
        <v>0</v>
      </c>
      <c r="AA307" s="205">
        <f t="shared" si="88"/>
        <v>0</v>
      </c>
      <c r="AB307" s="209">
        <f t="shared" si="89"/>
        <v>0</v>
      </c>
      <c r="AC307" s="205">
        <f t="shared" si="90"/>
        <v>0</v>
      </c>
      <c r="AD307" s="210">
        <f t="shared" si="91"/>
        <v>3.7548611111051287</v>
      </c>
      <c r="AE307" s="210">
        <f t="shared" si="92"/>
        <v>0</v>
      </c>
      <c r="AF307" s="210">
        <f t="shared" si="93"/>
        <v>3.7548611111051287</v>
      </c>
      <c r="AG307" s="210">
        <f t="shared" si="94"/>
        <v>0</v>
      </c>
    </row>
    <row r="308" spans="2:33" ht="15" customHeight="1" x14ac:dyDescent="0.3">
      <c r="B308" s="196" t="s">
        <v>5</v>
      </c>
      <c r="C308" s="197" t="s">
        <v>13</v>
      </c>
      <c r="D308" s="198" t="str">
        <f t="shared" si="76"/>
        <v>C</v>
      </c>
      <c r="E308" s="199">
        <v>44043.923611111109</v>
      </c>
      <c r="F308" s="200" t="s">
        <v>90</v>
      </c>
      <c r="G308" s="201">
        <v>5890.9</v>
      </c>
      <c r="H308" s="201">
        <v>5969.05</v>
      </c>
      <c r="I308" s="202">
        <f t="shared" si="77"/>
        <v>78.150000000000546</v>
      </c>
      <c r="J308" s="201">
        <v>4848.8999999999996</v>
      </c>
      <c r="K308" s="199">
        <v>44046.605555555558</v>
      </c>
      <c r="L308" s="201">
        <v>5969.05</v>
      </c>
      <c r="M308" s="203">
        <f t="shared" si="78"/>
        <v>-78.150000000000006</v>
      </c>
      <c r="N308" s="204">
        <f t="shared" si="79"/>
        <v>-1</v>
      </c>
      <c r="O308" s="205">
        <f t="shared" si="80"/>
        <v>0</v>
      </c>
      <c r="P308" s="206">
        <f t="shared" si="81"/>
        <v>0</v>
      </c>
      <c r="Q308" s="206">
        <f t="shared" si="82"/>
        <v>-1</v>
      </c>
      <c r="R30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245090</v>
      </c>
      <c r="T30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246110</v>
      </c>
      <c r="U308" s="208">
        <f ca="1">IF(Tabla33610673[[#This Row],[Equity]]&lt;Tabla33610673[[#This Row],[Equity Peak]],(Tabla33610673[[#This Row],[Equity Peak]]-Tabla33610673[[#This Row],[Equity]])/Tabla33610673[[#This Row],[Equity Peak]],"")</f>
        <v>4.1444882369672097E-3</v>
      </c>
      <c r="V308" s="209">
        <f t="shared" si="83"/>
        <v>0</v>
      </c>
      <c r="W308" s="209">
        <f t="shared" si="84"/>
        <v>0</v>
      </c>
      <c r="X308" s="209">
        <f t="shared" si="85"/>
        <v>0</v>
      </c>
      <c r="Y308" s="209">
        <f t="shared" si="86"/>
        <v>0</v>
      </c>
      <c r="Z308" s="209">
        <f t="shared" si="87"/>
        <v>-1</v>
      </c>
      <c r="AA308" s="205">
        <f t="shared" si="88"/>
        <v>0</v>
      </c>
      <c r="AB308" s="209">
        <f t="shared" si="89"/>
        <v>0</v>
      </c>
      <c r="AC308" s="205">
        <f t="shared" si="90"/>
        <v>0</v>
      </c>
      <c r="AD308" s="210">
        <f t="shared" si="91"/>
        <v>2.6819444444481633</v>
      </c>
      <c r="AE308" s="210">
        <f t="shared" si="92"/>
        <v>0</v>
      </c>
      <c r="AF308" s="210">
        <f t="shared" si="93"/>
        <v>2.6819444444481633</v>
      </c>
      <c r="AG308" s="210">
        <f t="shared" si="94"/>
        <v>0</v>
      </c>
    </row>
    <row r="309" spans="2:33" ht="15" customHeight="1" x14ac:dyDescent="0.3">
      <c r="B309" s="196" t="s">
        <v>84</v>
      </c>
      <c r="C309" s="197" t="s">
        <v>13</v>
      </c>
      <c r="D309" s="198" t="str">
        <f t="shared" si="76"/>
        <v>C</v>
      </c>
      <c r="E309" s="199">
        <v>44006.833333333336</v>
      </c>
      <c r="F309" s="200" t="s">
        <v>80</v>
      </c>
      <c r="G309" s="201">
        <v>9276.65</v>
      </c>
      <c r="H309" s="201">
        <v>9506.91</v>
      </c>
      <c r="I309" s="202">
        <f t="shared" si="77"/>
        <v>230.26000000000022</v>
      </c>
      <c r="J309" s="201">
        <v>5822.71</v>
      </c>
      <c r="K309" s="199">
        <v>44046</v>
      </c>
      <c r="L309" s="201">
        <v>9282.09</v>
      </c>
      <c r="M309" s="203">
        <f t="shared" si="78"/>
        <v>-5.44</v>
      </c>
      <c r="N309" s="204">
        <f t="shared" si="79"/>
        <v>-0.02</v>
      </c>
      <c r="O309" s="205">
        <f t="shared" si="80"/>
        <v>0</v>
      </c>
      <c r="P309" s="206">
        <f t="shared" si="81"/>
        <v>0</v>
      </c>
      <c r="Q309" s="206">
        <f t="shared" si="82"/>
        <v>-0.02</v>
      </c>
      <c r="R30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246090</v>
      </c>
      <c r="T30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246110</v>
      </c>
      <c r="U309" s="208">
        <f ca="1">IF(Tabla33610673[[#This Row],[Equity]]&lt;Tabla33610673[[#This Row],[Equity Peak]],(Tabla33610673[[#This Row],[Equity Peak]]-Tabla33610673[[#This Row],[Equity]])/Tabla33610673[[#This Row],[Equity Peak]],"")</f>
        <v>8.1264475234651178E-5</v>
      </c>
      <c r="V309" s="209">
        <f t="shared" si="83"/>
        <v>0</v>
      </c>
      <c r="W309" s="209">
        <f t="shared" si="84"/>
        <v>0</v>
      </c>
      <c r="X309" s="209">
        <f t="shared" si="85"/>
        <v>0</v>
      </c>
      <c r="Y309" s="209">
        <f t="shared" si="86"/>
        <v>0</v>
      </c>
      <c r="Z309" s="209">
        <f t="shared" si="87"/>
        <v>0</v>
      </c>
      <c r="AA309" s="205">
        <f t="shared" si="88"/>
        <v>0</v>
      </c>
      <c r="AB309" s="209">
        <f t="shared" si="89"/>
        <v>-0.02</v>
      </c>
      <c r="AC309" s="205">
        <f t="shared" si="90"/>
        <v>0</v>
      </c>
      <c r="AD309" s="210">
        <f t="shared" si="91"/>
        <v>39.166666666664241</v>
      </c>
      <c r="AE309" s="210">
        <f t="shared" si="92"/>
        <v>0</v>
      </c>
      <c r="AF309" s="210">
        <f t="shared" si="93"/>
        <v>39.166666666664241</v>
      </c>
      <c r="AG309" s="210">
        <f t="shared" si="94"/>
        <v>0</v>
      </c>
    </row>
    <row r="310" spans="2:33" ht="15" customHeight="1" x14ac:dyDescent="0.3">
      <c r="B310" s="196" t="s">
        <v>7</v>
      </c>
      <c r="C310" s="197" t="s">
        <v>15</v>
      </c>
      <c r="D310" s="198" t="str">
        <f t="shared" si="76"/>
        <v>C</v>
      </c>
      <c r="E310" s="199">
        <v>44027.5</v>
      </c>
      <c r="F310" s="200" t="s">
        <v>117</v>
      </c>
      <c r="G310" s="201">
        <v>1.14368</v>
      </c>
      <c r="H310" s="201">
        <v>1.1358600000000001</v>
      </c>
      <c r="I310" s="202">
        <f t="shared" si="77"/>
        <v>7.8199999999999381E-3</v>
      </c>
      <c r="J310" s="201">
        <v>1.1937</v>
      </c>
      <c r="K310" s="199">
        <v>44043.683333333334</v>
      </c>
      <c r="L310" s="201">
        <v>1.18259</v>
      </c>
      <c r="M310" s="203">
        <f t="shared" si="78"/>
        <v>3.8899999999999997E-2</v>
      </c>
      <c r="N310" s="204">
        <f t="shared" si="79"/>
        <v>4.97</v>
      </c>
      <c r="O310" s="205">
        <f t="shared" si="80"/>
        <v>0</v>
      </c>
      <c r="P310" s="206">
        <f t="shared" si="81"/>
        <v>4.97</v>
      </c>
      <c r="Q310" s="206">
        <f t="shared" si="82"/>
        <v>0</v>
      </c>
      <c r="R31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246110</v>
      </c>
      <c r="T31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246110</v>
      </c>
      <c r="U31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10" s="209">
        <f t="shared" si="83"/>
        <v>4.97</v>
      </c>
      <c r="W310" s="209">
        <f t="shared" si="84"/>
        <v>0</v>
      </c>
      <c r="X310" s="209">
        <f t="shared" si="85"/>
        <v>0</v>
      </c>
      <c r="Y310" s="209">
        <f t="shared" si="86"/>
        <v>0</v>
      </c>
      <c r="Z310" s="209">
        <f t="shared" si="87"/>
        <v>0</v>
      </c>
      <c r="AA310" s="205">
        <f t="shared" si="88"/>
        <v>0</v>
      </c>
      <c r="AB310" s="209">
        <f t="shared" si="89"/>
        <v>0</v>
      </c>
      <c r="AC310" s="205">
        <f t="shared" si="90"/>
        <v>0</v>
      </c>
      <c r="AD310" s="210">
        <f t="shared" si="91"/>
        <v>16.183333333334303</v>
      </c>
      <c r="AE310" s="210">
        <f t="shared" si="92"/>
        <v>16.183333333334303</v>
      </c>
      <c r="AF310" s="210">
        <f t="shared" si="93"/>
        <v>0</v>
      </c>
      <c r="AG310" s="210">
        <f t="shared" si="94"/>
        <v>0</v>
      </c>
    </row>
    <row r="311" spans="2:33" ht="15" customHeight="1" x14ac:dyDescent="0.3">
      <c r="B311" s="196" t="s">
        <v>19</v>
      </c>
      <c r="C311" s="197" t="s">
        <v>15</v>
      </c>
      <c r="D311" s="198" t="str">
        <f t="shared" si="76"/>
        <v>C</v>
      </c>
      <c r="E311" s="199">
        <v>43955.458333333336</v>
      </c>
      <c r="F311" s="200" t="s">
        <v>108</v>
      </c>
      <c r="G311" s="201">
        <v>20.016999999999999</v>
      </c>
      <c r="H311" s="201">
        <v>16.492999999999999</v>
      </c>
      <c r="I311" s="202">
        <f t="shared" si="77"/>
        <v>3.5240000000000009</v>
      </c>
      <c r="J311" s="201">
        <v>62.304000000000002</v>
      </c>
      <c r="K311" s="199">
        <v>44042.958333333336</v>
      </c>
      <c r="L311" s="201">
        <v>40.259</v>
      </c>
      <c r="M311" s="203">
        <f t="shared" si="78"/>
        <v>20.242000000000001</v>
      </c>
      <c r="N311" s="204">
        <f t="shared" si="79"/>
        <v>5.74</v>
      </c>
      <c r="O311" s="205">
        <f t="shared" si="80"/>
        <v>0</v>
      </c>
      <c r="P311" s="206">
        <f t="shared" si="81"/>
        <v>5.74</v>
      </c>
      <c r="Q311" s="206">
        <f t="shared" si="82"/>
        <v>0</v>
      </c>
      <c r="R31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241140</v>
      </c>
      <c r="T31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11" s="208">
        <f ca="1">IF(Tabla33610673[[#This Row],[Equity]]&lt;Tabla33610673[[#This Row],[Equity Peak]],(Tabla33610673[[#This Row],[Equity Peak]]-Tabla33610673[[#This Row],[Equity]])/Tabla33610673[[#This Row],[Equity Peak]],"")</f>
        <v>1.3217661742439744E-2</v>
      </c>
      <c r="V311" s="209">
        <f t="shared" si="83"/>
        <v>0</v>
      </c>
      <c r="W311" s="209">
        <f t="shared" si="84"/>
        <v>0</v>
      </c>
      <c r="X311" s="209">
        <f t="shared" si="85"/>
        <v>5.74</v>
      </c>
      <c r="Y311" s="209">
        <f t="shared" si="86"/>
        <v>0</v>
      </c>
      <c r="Z311" s="209">
        <f t="shared" si="87"/>
        <v>0</v>
      </c>
      <c r="AA311" s="205">
        <f t="shared" si="88"/>
        <v>0</v>
      </c>
      <c r="AB311" s="209">
        <f t="shared" si="89"/>
        <v>0</v>
      </c>
      <c r="AC311" s="205">
        <f t="shared" si="90"/>
        <v>0</v>
      </c>
      <c r="AD311" s="210">
        <f t="shared" si="91"/>
        <v>87.5</v>
      </c>
      <c r="AE311" s="210">
        <f t="shared" si="92"/>
        <v>87.5</v>
      </c>
      <c r="AF311" s="210">
        <f t="shared" si="93"/>
        <v>0</v>
      </c>
      <c r="AG311" s="210">
        <f t="shared" si="94"/>
        <v>0</v>
      </c>
    </row>
    <row r="312" spans="2:33" ht="15" customHeight="1" x14ac:dyDescent="0.3">
      <c r="B312" s="196" t="s">
        <v>5</v>
      </c>
      <c r="C312" s="197" t="s">
        <v>15</v>
      </c>
      <c r="D312" s="198" t="str">
        <f t="shared" si="76"/>
        <v>C</v>
      </c>
      <c r="E312" s="199">
        <v>44025.041666666664</v>
      </c>
      <c r="F312" s="200" t="s">
        <v>95</v>
      </c>
      <c r="G312" s="201">
        <v>26235</v>
      </c>
      <c r="H312" s="201">
        <v>25853.63</v>
      </c>
      <c r="I312" s="202">
        <f t="shared" si="77"/>
        <v>381.36999999999898</v>
      </c>
      <c r="J312" s="201">
        <v>27760.49</v>
      </c>
      <c r="K312" s="199">
        <v>44042.577777777777</v>
      </c>
      <c r="L312" s="201">
        <v>26233.89</v>
      </c>
      <c r="M312" s="203">
        <f t="shared" si="78"/>
        <v>-1.1100000000000001</v>
      </c>
      <c r="N312" s="204">
        <f t="shared" si="79"/>
        <v>0</v>
      </c>
      <c r="O312" s="205">
        <f t="shared" si="80"/>
        <v>0</v>
      </c>
      <c r="P312" s="206">
        <f t="shared" si="81"/>
        <v>0</v>
      </c>
      <c r="Q312" s="206">
        <f t="shared" si="82"/>
        <v>0</v>
      </c>
      <c r="R31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235400</v>
      </c>
      <c r="T31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12" s="208">
        <f ca="1">IF(Tabla33610673[[#This Row],[Equity]]&lt;Tabla33610673[[#This Row],[Equity Peak]],(Tabla33610673[[#This Row],[Equity Peak]]-Tabla33610673[[#This Row],[Equity]])/Tabla33610673[[#This Row],[Equity Peak]],"")</f>
        <v>3.6706633383803249E-2</v>
      </c>
      <c r="V312" s="209">
        <f t="shared" si="83"/>
        <v>0</v>
      </c>
      <c r="W312" s="209">
        <f t="shared" si="84"/>
        <v>0</v>
      </c>
      <c r="X312" s="209">
        <f t="shared" si="85"/>
        <v>0</v>
      </c>
      <c r="Y312" s="209">
        <f t="shared" si="86"/>
        <v>0</v>
      </c>
      <c r="Z312" s="209">
        <f t="shared" si="87"/>
        <v>0</v>
      </c>
      <c r="AA312" s="205">
        <f t="shared" si="88"/>
        <v>0</v>
      </c>
      <c r="AB312" s="209">
        <f t="shared" si="89"/>
        <v>0</v>
      </c>
      <c r="AC312" s="205">
        <f t="shared" si="90"/>
        <v>0</v>
      </c>
      <c r="AD312" s="210">
        <f t="shared" si="91"/>
        <v>17.536111111112405</v>
      </c>
      <c r="AE312" s="210">
        <f t="shared" si="92"/>
        <v>0</v>
      </c>
      <c r="AF312" s="210">
        <f t="shared" si="93"/>
        <v>0</v>
      </c>
      <c r="AG312" s="210">
        <f t="shared" si="94"/>
        <v>17.536111111112405</v>
      </c>
    </row>
    <row r="313" spans="2:33" ht="15" customHeight="1" x14ac:dyDescent="0.3">
      <c r="B313" s="196" t="s">
        <v>7</v>
      </c>
      <c r="C313" s="197" t="s">
        <v>15</v>
      </c>
      <c r="D313" s="198" t="str">
        <f t="shared" si="76"/>
        <v>C</v>
      </c>
      <c r="E313" s="199">
        <v>44036.017361111109</v>
      </c>
      <c r="F313" s="200" t="s">
        <v>120</v>
      </c>
      <c r="G313" s="201">
        <v>1.6335</v>
      </c>
      <c r="H313" s="201">
        <v>1.62608</v>
      </c>
      <c r="I313" s="202">
        <f t="shared" si="77"/>
        <v>7.4199999999999822E-3</v>
      </c>
      <c r="J313" s="201">
        <v>1.71269</v>
      </c>
      <c r="K313" s="199">
        <v>44040.756249999999</v>
      </c>
      <c r="L313" s="201">
        <v>1.63584</v>
      </c>
      <c r="M313" s="203">
        <f t="shared" si="78"/>
        <v>2.3E-3</v>
      </c>
      <c r="N313" s="204">
        <f t="shared" si="79"/>
        <v>0.31</v>
      </c>
      <c r="O313" s="205">
        <f t="shared" si="80"/>
        <v>0</v>
      </c>
      <c r="P313" s="206">
        <f t="shared" si="81"/>
        <v>0.31</v>
      </c>
      <c r="Q313" s="206">
        <f t="shared" si="82"/>
        <v>0</v>
      </c>
      <c r="R31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235400</v>
      </c>
      <c r="T31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13" s="208">
        <f ca="1">IF(Tabla33610673[[#This Row],[Equity]]&lt;Tabla33610673[[#This Row],[Equity Peak]],(Tabla33610673[[#This Row],[Equity Peak]]-Tabla33610673[[#This Row],[Equity]])/Tabla33610673[[#This Row],[Equity Peak]],"")</f>
        <v>3.6706633383803249E-2</v>
      </c>
      <c r="V313" s="209">
        <f t="shared" si="83"/>
        <v>0.31</v>
      </c>
      <c r="W313" s="209">
        <f t="shared" si="84"/>
        <v>0</v>
      </c>
      <c r="X313" s="209">
        <f t="shared" si="85"/>
        <v>0</v>
      </c>
      <c r="Y313" s="209">
        <f t="shared" si="86"/>
        <v>0</v>
      </c>
      <c r="Z313" s="209">
        <f t="shared" si="87"/>
        <v>0</v>
      </c>
      <c r="AA313" s="205">
        <f t="shared" si="88"/>
        <v>0</v>
      </c>
      <c r="AB313" s="209">
        <f t="shared" si="89"/>
        <v>0</v>
      </c>
      <c r="AC313" s="205">
        <f t="shared" si="90"/>
        <v>0</v>
      </c>
      <c r="AD313" s="210">
        <f t="shared" si="91"/>
        <v>4.7388888888890506</v>
      </c>
      <c r="AE313" s="210">
        <f t="shared" si="92"/>
        <v>4.7388888888890506</v>
      </c>
      <c r="AF313" s="210">
        <f t="shared" si="93"/>
        <v>0</v>
      </c>
      <c r="AG313" s="210">
        <f t="shared" si="94"/>
        <v>0</v>
      </c>
    </row>
    <row r="314" spans="2:33" ht="15" customHeight="1" x14ac:dyDescent="0.3">
      <c r="B314" s="196" t="s">
        <v>5</v>
      </c>
      <c r="C314" s="197" t="s">
        <v>15</v>
      </c>
      <c r="D314" s="198" t="str">
        <f t="shared" si="76"/>
        <v>C</v>
      </c>
      <c r="E314" s="199">
        <v>44027.666666666664</v>
      </c>
      <c r="F314" s="200" t="s">
        <v>93</v>
      </c>
      <c r="G314" s="201">
        <v>3240.58</v>
      </c>
      <c r="H314" s="201">
        <v>3197.01</v>
      </c>
      <c r="I314" s="202">
        <f t="shared" si="77"/>
        <v>43.569999999999709</v>
      </c>
      <c r="J314" s="201">
        <v>3356.76</v>
      </c>
      <c r="K314" s="199">
        <v>44035.886111111111</v>
      </c>
      <c r="L314" s="201">
        <v>3223.59</v>
      </c>
      <c r="M314" s="203">
        <f t="shared" si="78"/>
        <v>-16.989999999999998</v>
      </c>
      <c r="N314" s="204">
        <f t="shared" si="79"/>
        <v>-0.39</v>
      </c>
      <c r="O314" s="205">
        <f t="shared" si="80"/>
        <v>0</v>
      </c>
      <c r="P314" s="206">
        <f t="shared" si="81"/>
        <v>0</v>
      </c>
      <c r="Q314" s="206">
        <f t="shared" si="82"/>
        <v>-0.39</v>
      </c>
      <c r="R31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235090</v>
      </c>
      <c r="T31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14" s="208">
        <f ca="1">IF(Tabla33610673[[#This Row],[Equity]]&lt;Tabla33610673[[#This Row],[Equity Peak]],(Tabla33610673[[#This Row],[Equity Peak]]-Tabla33610673[[#This Row],[Equity]])/Tabla33610673[[#This Row],[Equity Peak]],"")</f>
        <v>3.7975201538650409E-2</v>
      </c>
      <c r="V314" s="209">
        <f t="shared" si="83"/>
        <v>0</v>
      </c>
      <c r="W314" s="209">
        <f t="shared" si="84"/>
        <v>0</v>
      </c>
      <c r="X314" s="209">
        <f t="shared" si="85"/>
        <v>0</v>
      </c>
      <c r="Y314" s="209">
        <f t="shared" si="86"/>
        <v>0</v>
      </c>
      <c r="Z314" s="209">
        <f t="shared" si="87"/>
        <v>-0.39</v>
      </c>
      <c r="AA314" s="205">
        <f t="shared" si="88"/>
        <v>0</v>
      </c>
      <c r="AB314" s="209">
        <f t="shared" si="89"/>
        <v>0</v>
      </c>
      <c r="AC314" s="205">
        <f t="shared" si="90"/>
        <v>0</v>
      </c>
      <c r="AD314" s="210">
        <f t="shared" si="91"/>
        <v>8.2194444444467081</v>
      </c>
      <c r="AE314" s="210">
        <f t="shared" si="92"/>
        <v>0</v>
      </c>
      <c r="AF314" s="210">
        <f t="shared" si="93"/>
        <v>8.2194444444467081</v>
      </c>
      <c r="AG314" s="210">
        <f t="shared" si="94"/>
        <v>0</v>
      </c>
    </row>
    <row r="315" spans="2:33" ht="15" customHeight="1" x14ac:dyDescent="0.3">
      <c r="B315" s="196" t="s">
        <v>5</v>
      </c>
      <c r="C315" s="197" t="s">
        <v>13</v>
      </c>
      <c r="D315" s="198" t="str">
        <f t="shared" si="76"/>
        <v>C</v>
      </c>
      <c r="E315" s="199">
        <v>44034.833333333336</v>
      </c>
      <c r="F315" s="200" t="s">
        <v>94</v>
      </c>
      <c r="G315" s="201">
        <v>6205.19</v>
      </c>
      <c r="H315" s="201">
        <v>6277.89</v>
      </c>
      <c r="I315" s="202">
        <f t="shared" si="77"/>
        <v>72.700000000000728</v>
      </c>
      <c r="J315" s="201">
        <v>5841.67</v>
      </c>
      <c r="K315" s="199">
        <v>44035.418749999997</v>
      </c>
      <c r="L315" s="201">
        <v>6245.29</v>
      </c>
      <c r="M315" s="203">
        <f t="shared" si="78"/>
        <v>-40.1</v>
      </c>
      <c r="N315" s="204">
        <f t="shared" si="79"/>
        <v>-0.55000000000000004</v>
      </c>
      <c r="O315" s="205">
        <f t="shared" si="80"/>
        <v>0</v>
      </c>
      <c r="P315" s="206">
        <f t="shared" si="81"/>
        <v>0</v>
      </c>
      <c r="Q315" s="206">
        <f t="shared" si="82"/>
        <v>-0.55000000000000004</v>
      </c>
      <c r="R31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235480</v>
      </c>
      <c r="T31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15" s="208">
        <f ca="1">IF(Tabla33610673[[#This Row],[Equity]]&lt;Tabla33610673[[#This Row],[Equity Peak]],(Tabla33610673[[#This Row],[Equity Peak]]-Tabla33610673[[#This Row],[Equity]])/Tabla33610673[[#This Row],[Equity Peak]],"")</f>
        <v>3.6379260956745915E-2</v>
      </c>
      <c r="V315" s="209">
        <f t="shared" si="83"/>
        <v>0</v>
      </c>
      <c r="W315" s="209">
        <f t="shared" si="84"/>
        <v>0</v>
      </c>
      <c r="X315" s="209">
        <f t="shared" si="85"/>
        <v>0</v>
      </c>
      <c r="Y315" s="209">
        <f t="shared" si="86"/>
        <v>0</v>
      </c>
      <c r="Z315" s="209">
        <f t="shared" si="87"/>
        <v>-0.55000000000000004</v>
      </c>
      <c r="AA315" s="205">
        <f t="shared" si="88"/>
        <v>0</v>
      </c>
      <c r="AB315" s="209">
        <f t="shared" si="89"/>
        <v>0</v>
      </c>
      <c r="AC315" s="205">
        <f t="shared" si="90"/>
        <v>0</v>
      </c>
      <c r="AD315" s="210">
        <f t="shared" si="91"/>
        <v>0.58541666666133096</v>
      </c>
      <c r="AE315" s="210">
        <f t="shared" si="92"/>
        <v>0</v>
      </c>
      <c r="AF315" s="210">
        <f t="shared" si="93"/>
        <v>0.58541666666133096</v>
      </c>
      <c r="AG315" s="210">
        <f t="shared" si="94"/>
        <v>0</v>
      </c>
    </row>
    <row r="316" spans="2:33" ht="15" customHeight="1" x14ac:dyDescent="0.3">
      <c r="B316" s="196" t="s">
        <v>7</v>
      </c>
      <c r="C316" s="197" t="s">
        <v>13</v>
      </c>
      <c r="D316" s="198" t="str">
        <f t="shared" si="76"/>
        <v>C</v>
      </c>
      <c r="E316" s="199">
        <v>44033.5</v>
      </c>
      <c r="F316" s="200" t="s">
        <v>120</v>
      </c>
      <c r="G316" s="201">
        <v>1.62201</v>
      </c>
      <c r="H316" s="201">
        <v>1.62836</v>
      </c>
      <c r="I316" s="202">
        <f t="shared" si="77"/>
        <v>6.3500000000000778E-3</v>
      </c>
      <c r="J316" s="201">
        <v>1.5542499999999999</v>
      </c>
      <c r="K316" s="199">
        <v>44034.712500000001</v>
      </c>
      <c r="L316" s="201">
        <v>1.62209</v>
      </c>
      <c r="M316" s="203">
        <f t="shared" si="78"/>
        <v>-1E-4</v>
      </c>
      <c r="N316" s="204">
        <f t="shared" si="79"/>
        <v>-0.02</v>
      </c>
      <c r="O316" s="205">
        <f t="shared" si="80"/>
        <v>0</v>
      </c>
      <c r="P316" s="206">
        <f t="shared" si="81"/>
        <v>0</v>
      </c>
      <c r="Q316" s="206">
        <f t="shared" si="82"/>
        <v>-0.02</v>
      </c>
      <c r="R31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236030</v>
      </c>
      <c r="T31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16" s="208">
        <f ca="1">IF(Tabla33610673[[#This Row],[Equity]]&lt;Tabla33610673[[#This Row],[Equity Peak]],(Tabla33610673[[#This Row],[Equity Peak]]-Tabla33610673[[#This Row],[Equity]])/Tabla33610673[[#This Row],[Equity Peak]],"")</f>
        <v>3.4128575520726769E-2</v>
      </c>
      <c r="V316" s="209">
        <f t="shared" si="83"/>
        <v>-0.02</v>
      </c>
      <c r="W316" s="209">
        <f t="shared" si="84"/>
        <v>0</v>
      </c>
      <c r="X316" s="209">
        <f t="shared" si="85"/>
        <v>0</v>
      </c>
      <c r="Y316" s="209">
        <f t="shared" si="86"/>
        <v>0</v>
      </c>
      <c r="Z316" s="209">
        <f t="shared" si="87"/>
        <v>0</v>
      </c>
      <c r="AA316" s="205">
        <f t="shared" si="88"/>
        <v>0</v>
      </c>
      <c r="AB316" s="209">
        <f t="shared" si="89"/>
        <v>0</v>
      </c>
      <c r="AC316" s="205">
        <f t="shared" si="90"/>
        <v>0</v>
      </c>
      <c r="AD316" s="210">
        <f t="shared" si="91"/>
        <v>1.2125000000014552</v>
      </c>
      <c r="AE316" s="210">
        <f t="shared" si="92"/>
        <v>0</v>
      </c>
      <c r="AF316" s="210">
        <f t="shared" si="93"/>
        <v>1.2125000000014552</v>
      </c>
      <c r="AG316" s="210">
        <f t="shared" si="94"/>
        <v>0</v>
      </c>
    </row>
    <row r="317" spans="2:33" ht="15" customHeight="1" x14ac:dyDescent="0.3">
      <c r="B317" s="196" t="s">
        <v>7</v>
      </c>
      <c r="C317" s="197" t="s">
        <v>13</v>
      </c>
      <c r="D317" s="198" t="str">
        <f t="shared" si="76"/>
        <v>C</v>
      </c>
      <c r="E317" s="199">
        <v>44033.833333333336</v>
      </c>
      <c r="F317" s="200" t="s">
        <v>113</v>
      </c>
      <c r="G317" s="201">
        <v>106.742</v>
      </c>
      <c r="H317" s="201">
        <v>107.345</v>
      </c>
      <c r="I317" s="202">
        <f t="shared" si="77"/>
        <v>0.60299999999999443</v>
      </c>
      <c r="J317" s="201">
        <v>103.92700000000001</v>
      </c>
      <c r="K317" s="199">
        <v>44034.494444444441</v>
      </c>
      <c r="L317" s="201">
        <v>107.04300000000001</v>
      </c>
      <c r="M317" s="203">
        <f t="shared" si="78"/>
        <v>-0.30099999999999999</v>
      </c>
      <c r="N317" s="204">
        <f t="shared" si="79"/>
        <v>-0.5</v>
      </c>
      <c r="O317" s="205">
        <f t="shared" si="80"/>
        <v>0</v>
      </c>
      <c r="P317" s="206">
        <f t="shared" si="81"/>
        <v>0</v>
      </c>
      <c r="Q317" s="206">
        <f t="shared" si="82"/>
        <v>-0.5</v>
      </c>
      <c r="R3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236050</v>
      </c>
      <c r="T3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17" s="208">
        <f ca="1">IF(Tabla33610673[[#This Row],[Equity]]&lt;Tabla33610673[[#This Row],[Equity Peak]],(Tabla33610673[[#This Row],[Equity Peak]]-Tabla33610673[[#This Row],[Equity]])/Tabla33610673[[#This Row],[Equity Peak]],"")</f>
        <v>3.4046732413962437E-2</v>
      </c>
      <c r="V317" s="209">
        <f t="shared" si="83"/>
        <v>-0.5</v>
      </c>
      <c r="W317" s="209">
        <f t="shared" si="84"/>
        <v>0</v>
      </c>
      <c r="X317" s="209">
        <f t="shared" si="85"/>
        <v>0</v>
      </c>
      <c r="Y317" s="209">
        <f t="shared" si="86"/>
        <v>0</v>
      </c>
      <c r="Z317" s="209">
        <f t="shared" si="87"/>
        <v>0</v>
      </c>
      <c r="AA317" s="205">
        <f t="shared" si="88"/>
        <v>0</v>
      </c>
      <c r="AB317" s="209">
        <f t="shared" si="89"/>
        <v>0</v>
      </c>
      <c r="AC317" s="205">
        <f t="shared" si="90"/>
        <v>0</v>
      </c>
      <c r="AD317" s="210">
        <f t="shared" si="91"/>
        <v>0.66111111110512866</v>
      </c>
      <c r="AE317" s="210">
        <f t="shared" si="92"/>
        <v>0</v>
      </c>
      <c r="AF317" s="210">
        <f t="shared" si="93"/>
        <v>0.66111111110512866</v>
      </c>
      <c r="AG317" s="210">
        <f t="shared" si="94"/>
        <v>0</v>
      </c>
    </row>
    <row r="318" spans="2:33" ht="15" customHeight="1" x14ac:dyDescent="0.3">
      <c r="B318" s="196" t="s">
        <v>19</v>
      </c>
      <c r="C318" s="197" t="s">
        <v>15</v>
      </c>
      <c r="D318" s="198" t="str">
        <f t="shared" si="76"/>
        <v>C</v>
      </c>
      <c r="E318" s="199">
        <v>44025.708333333336</v>
      </c>
      <c r="F318" s="200" t="s">
        <v>89</v>
      </c>
      <c r="G318" s="201">
        <v>19.184999999999999</v>
      </c>
      <c r="H318" s="201">
        <v>18.742999999999999</v>
      </c>
      <c r="I318" s="202">
        <f t="shared" si="77"/>
        <v>0.44200000000000017</v>
      </c>
      <c r="J318" s="201">
        <v>21.305</v>
      </c>
      <c r="K318" s="199">
        <v>44033.92291666667</v>
      </c>
      <c r="L318" s="201">
        <v>21.305</v>
      </c>
      <c r="M318" s="203">
        <f t="shared" si="78"/>
        <v>2.12</v>
      </c>
      <c r="N318" s="204">
        <f t="shared" si="79"/>
        <v>4.8</v>
      </c>
      <c r="O318" s="205">
        <f t="shared" si="80"/>
        <v>0</v>
      </c>
      <c r="P318" s="206">
        <f t="shared" si="81"/>
        <v>4.8</v>
      </c>
      <c r="Q318" s="206">
        <f t="shared" si="82"/>
        <v>0</v>
      </c>
      <c r="R3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236550</v>
      </c>
      <c r="T3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18" s="208">
        <f ca="1">IF(Tabla33610673[[#This Row],[Equity]]&lt;Tabla33610673[[#This Row],[Equity Peak]],(Tabla33610673[[#This Row],[Equity Peak]]-Tabla33610673[[#This Row],[Equity]])/Tabla33610673[[#This Row],[Equity Peak]],"")</f>
        <v>3.2000654744854112E-2</v>
      </c>
      <c r="V318" s="209">
        <f t="shared" si="83"/>
        <v>0</v>
      </c>
      <c r="W318" s="209">
        <f t="shared" si="84"/>
        <v>0</v>
      </c>
      <c r="X318" s="209">
        <f t="shared" si="85"/>
        <v>4.8</v>
      </c>
      <c r="Y318" s="209">
        <f t="shared" si="86"/>
        <v>0</v>
      </c>
      <c r="Z318" s="209">
        <f t="shared" si="87"/>
        <v>0</v>
      </c>
      <c r="AA318" s="205">
        <f t="shared" si="88"/>
        <v>0</v>
      </c>
      <c r="AB318" s="209">
        <f t="shared" si="89"/>
        <v>0</v>
      </c>
      <c r="AC318" s="205">
        <f t="shared" si="90"/>
        <v>0</v>
      </c>
      <c r="AD318" s="210">
        <f t="shared" si="91"/>
        <v>8.2145833333343035</v>
      </c>
      <c r="AE318" s="210">
        <f t="shared" si="92"/>
        <v>8.2145833333343035</v>
      </c>
      <c r="AF318" s="210">
        <f t="shared" si="93"/>
        <v>0</v>
      </c>
      <c r="AG318" s="210">
        <f t="shared" si="94"/>
        <v>0</v>
      </c>
    </row>
    <row r="319" spans="2:33" ht="15" customHeight="1" x14ac:dyDescent="0.3">
      <c r="B319" s="196" t="s">
        <v>7</v>
      </c>
      <c r="C319" s="197" t="s">
        <v>15</v>
      </c>
      <c r="D319" s="198" t="str">
        <f t="shared" si="76"/>
        <v>C</v>
      </c>
      <c r="E319" s="199">
        <v>44013.5</v>
      </c>
      <c r="F319" s="200" t="s">
        <v>121</v>
      </c>
      <c r="G319" s="201">
        <v>0.69133</v>
      </c>
      <c r="H319" s="201">
        <v>0.68723999999999996</v>
      </c>
      <c r="I319" s="202">
        <f t="shared" si="77"/>
        <v>4.090000000000038E-3</v>
      </c>
      <c r="J319" s="201">
        <v>0.71314</v>
      </c>
      <c r="K319" s="199">
        <v>44033.86041666667</v>
      </c>
      <c r="L319" s="201">
        <v>0.71314</v>
      </c>
      <c r="M319" s="203">
        <f t="shared" si="78"/>
        <v>2.18E-2</v>
      </c>
      <c r="N319" s="204">
        <f t="shared" si="79"/>
        <v>5.33</v>
      </c>
      <c r="O319" s="205">
        <f t="shared" si="80"/>
        <v>0</v>
      </c>
      <c r="P319" s="206">
        <f t="shared" si="81"/>
        <v>5.33</v>
      </c>
      <c r="Q319" s="206">
        <f t="shared" si="82"/>
        <v>0</v>
      </c>
      <c r="R3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231750</v>
      </c>
      <c r="T3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19" s="208">
        <f ca="1">IF(Tabla33610673[[#This Row],[Equity]]&lt;Tabla33610673[[#This Row],[Equity Peak]],(Tabla33610673[[#This Row],[Equity Peak]]-Tabla33610673[[#This Row],[Equity]])/Tabla33610673[[#This Row],[Equity Peak]],"")</f>
        <v>5.164300036829398E-2</v>
      </c>
      <c r="V319" s="209">
        <f t="shared" si="83"/>
        <v>5.33</v>
      </c>
      <c r="W319" s="209">
        <f t="shared" si="84"/>
        <v>0</v>
      </c>
      <c r="X319" s="209">
        <f t="shared" si="85"/>
        <v>0</v>
      </c>
      <c r="Y319" s="209">
        <f t="shared" si="86"/>
        <v>0</v>
      </c>
      <c r="Z319" s="209">
        <f t="shared" si="87"/>
        <v>0</v>
      </c>
      <c r="AA319" s="205">
        <f t="shared" si="88"/>
        <v>0</v>
      </c>
      <c r="AB319" s="209">
        <f t="shared" si="89"/>
        <v>0</v>
      </c>
      <c r="AC319" s="205">
        <f t="shared" si="90"/>
        <v>0</v>
      </c>
      <c r="AD319" s="210">
        <f t="shared" si="91"/>
        <v>20.360416666670062</v>
      </c>
      <c r="AE319" s="210">
        <f t="shared" si="92"/>
        <v>20.360416666670062</v>
      </c>
      <c r="AF319" s="210">
        <f t="shared" si="93"/>
        <v>0</v>
      </c>
      <c r="AG319" s="210">
        <f t="shared" si="94"/>
        <v>0</v>
      </c>
    </row>
    <row r="320" spans="2:33" ht="15" customHeight="1" x14ac:dyDescent="0.3">
      <c r="B320" s="196" t="s">
        <v>7</v>
      </c>
      <c r="C320" s="197" t="s">
        <v>15</v>
      </c>
      <c r="D320" s="198" t="str">
        <f t="shared" si="76"/>
        <v>C</v>
      </c>
      <c r="E320" s="199">
        <v>44027.017361111109</v>
      </c>
      <c r="F320" s="200" t="s">
        <v>119</v>
      </c>
      <c r="G320" s="201">
        <v>0.90708999999999995</v>
      </c>
      <c r="H320" s="201">
        <v>0.90363000000000004</v>
      </c>
      <c r="I320" s="202">
        <f t="shared" si="77"/>
        <v>3.4599999999999076E-3</v>
      </c>
      <c r="J320" s="201">
        <v>0.91630999999999996</v>
      </c>
      <c r="K320" s="199">
        <v>44032.660416666666</v>
      </c>
      <c r="L320" s="201">
        <v>0.90530999999999995</v>
      </c>
      <c r="M320" s="203">
        <f t="shared" si="78"/>
        <v>-1.8E-3</v>
      </c>
      <c r="N320" s="204">
        <f t="shared" si="79"/>
        <v>-0.52</v>
      </c>
      <c r="O320" s="205">
        <f t="shared" si="80"/>
        <v>0</v>
      </c>
      <c r="P320" s="206">
        <f t="shared" si="81"/>
        <v>0</v>
      </c>
      <c r="Q320" s="206">
        <f t="shared" si="82"/>
        <v>-0.52</v>
      </c>
      <c r="R3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226420</v>
      </c>
      <c r="T3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20" s="208">
        <f ca="1">IF(Tabla33610673[[#This Row],[Equity]]&lt;Tabla33610673[[#This Row],[Equity Peak]],(Tabla33610673[[#This Row],[Equity Peak]]-Tabla33610673[[#This Row],[Equity]])/Tabla33610673[[#This Row],[Equity Peak]],"")</f>
        <v>7.345418832098867E-2</v>
      </c>
      <c r="V320" s="209">
        <f t="shared" si="83"/>
        <v>-0.52</v>
      </c>
      <c r="W320" s="209">
        <f t="shared" si="84"/>
        <v>0</v>
      </c>
      <c r="X320" s="209">
        <f t="shared" si="85"/>
        <v>0</v>
      </c>
      <c r="Y320" s="209">
        <f t="shared" si="86"/>
        <v>0</v>
      </c>
      <c r="Z320" s="209">
        <f t="shared" si="87"/>
        <v>0</v>
      </c>
      <c r="AA320" s="205">
        <f t="shared" si="88"/>
        <v>0</v>
      </c>
      <c r="AB320" s="209">
        <f t="shared" si="89"/>
        <v>0</v>
      </c>
      <c r="AC320" s="205">
        <f t="shared" si="90"/>
        <v>0</v>
      </c>
      <c r="AD320" s="210">
        <f t="shared" si="91"/>
        <v>5.6430555555562023</v>
      </c>
      <c r="AE320" s="210">
        <f t="shared" si="92"/>
        <v>0</v>
      </c>
      <c r="AF320" s="210">
        <f t="shared" si="93"/>
        <v>5.6430555555562023</v>
      </c>
      <c r="AG320" s="210">
        <f t="shared" si="94"/>
        <v>0</v>
      </c>
    </row>
    <row r="321" spans="2:33" ht="15" customHeight="1" x14ac:dyDescent="0.3">
      <c r="B321" s="196" t="s">
        <v>7</v>
      </c>
      <c r="C321" s="197" t="s">
        <v>13</v>
      </c>
      <c r="D321" s="198" t="str">
        <f t="shared" si="76"/>
        <v>C</v>
      </c>
      <c r="E321" s="199">
        <v>44027.333333333336</v>
      </c>
      <c r="F321" s="200" t="s">
        <v>116</v>
      </c>
      <c r="G321" s="201">
        <v>1.7972699999999999</v>
      </c>
      <c r="H321" s="201">
        <v>1.8136000000000001</v>
      </c>
      <c r="I321" s="202">
        <f t="shared" si="77"/>
        <v>1.6330000000000178E-2</v>
      </c>
      <c r="J321" s="201">
        <v>1.7428399999999999</v>
      </c>
      <c r="K321" s="199">
        <v>44032.542361111111</v>
      </c>
      <c r="L321" s="201">
        <v>1.80036</v>
      </c>
      <c r="M321" s="203">
        <f t="shared" si="78"/>
        <v>-3.0999999999999999E-3</v>
      </c>
      <c r="N321" s="204">
        <f t="shared" si="79"/>
        <v>-0.19</v>
      </c>
      <c r="O321" s="205">
        <f t="shared" si="80"/>
        <v>0</v>
      </c>
      <c r="P321" s="206">
        <f t="shared" si="81"/>
        <v>0</v>
      </c>
      <c r="Q321" s="206">
        <f t="shared" si="82"/>
        <v>-0.19</v>
      </c>
      <c r="R3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226940</v>
      </c>
      <c r="T3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21" s="208">
        <f ca="1">IF(Tabla33610673[[#This Row],[Equity]]&lt;Tabla33610673[[#This Row],[Equity Peak]],(Tabla33610673[[#This Row],[Equity Peak]]-Tabla33610673[[#This Row],[Equity]])/Tabla33610673[[#This Row],[Equity Peak]],"")</f>
        <v>7.1326267545116007E-2</v>
      </c>
      <c r="V321" s="209">
        <f t="shared" si="83"/>
        <v>-0.19</v>
      </c>
      <c r="W321" s="209">
        <f t="shared" si="84"/>
        <v>0</v>
      </c>
      <c r="X321" s="209">
        <f t="shared" si="85"/>
        <v>0</v>
      </c>
      <c r="Y321" s="209">
        <f t="shared" si="86"/>
        <v>0</v>
      </c>
      <c r="Z321" s="209">
        <f t="shared" si="87"/>
        <v>0</v>
      </c>
      <c r="AA321" s="205">
        <f t="shared" si="88"/>
        <v>0</v>
      </c>
      <c r="AB321" s="209">
        <f t="shared" si="89"/>
        <v>0</v>
      </c>
      <c r="AC321" s="205">
        <f t="shared" si="90"/>
        <v>0</v>
      </c>
      <c r="AD321" s="210">
        <f t="shared" si="91"/>
        <v>5.2090277777751908</v>
      </c>
      <c r="AE321" s="210">
        <f t="shared" si="92"/>
        <v>0</v>
      </c>
      <c r="AF321" s="210">
        <f t="shared" si="93"/>
        <v>5.2090277777751908</v>
      </c>
      <c r="AG321" s="210">
        <f t="shared" si="94"/>
        <v>0</v>
      </c>
    </row>
    <row r="322" spans="2:33" ht="15" customHeight="1" x14ac:dyDescent="0.3">
      <c r="B322" s="196" t="s">
        <v>5</v>
      </c>
      <c r="C322" s="197" t="s">
        <v>15</v>
      </c>
      <c r="D322" s="198" t="str">
        <f t="shared" si="76"/>
        <v>C</v>
      </c>
      <c r="E322" s="199">
        <v>44027.166666666664</v>
      </c>
      <c r="F322" s="200" t="s">
        <v>94</v>
      </c>
      <c r="G322" s="201">
        <v>6239.82</v>
      </c>
      <c r="H322" s="201">
        <v>6144.78</v>
      </c>
      <c r="I322" s="202">
        <f t="shared" si="77"/>
        <v>95.039999999999964</v>
      </c>
      <c r="J322" s="201">
        <v>6715</v>
      </c>
      <c r="K322" s="199">
        <v>44032.431250000001</v>
      </c>
      <c r="L322" s="201">
        <v>6236.85</v>
      </c>
      <c r="M322" s="203">
        <f t="shared" si="78"/>
        <v>-2.97</v>
      </c>
      <c r="N322" s="204">
        <f t="shared" si="79"/>
        <v>-0.03</v>
      </c>
      <c r="O322" s="205">
        <f t="shared" si="80"/>
        <v>0</v>
      </c>
      <c r="P322" s="206">
        <f t="shared" si="81"/>
        <v>0</v>
      </c>
      <c r="Q322" s="206">
        <f t="shared" si="82"/>
        <v>-0.03</v>
      </c>
      <c r="R3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227130</v>
      </c>
      <c r="T3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22" s="208">
        <f ca="1">IF(Tabla33610673[[#This Row],[Equity]]&lt;Tabla33610673[[#This Row],[Equity Peak]],(Tabla33610673[[#This Row],[Equity Peak]]-Tabla33610673[[#This Row],[Equity]])/Tabla33610673[[#This Row],[Equity Peak]],"")</f>
        <v>7.054875803085485E-2</v>
      </c>
      <c r="V322" s="209">
        <f t="shared" si="83"/>
        <v>0</v>
      </c>
      <c r="W322" s="209">
        <f t="shared" si="84"/>
        <v>0</v>
      </c>
      <c r="X322" s="209">
        <f t="shared" si="85"/>
        <v>0</v>
      </c>
      <c r="Y322" s="209">
        <f t="shared" si="86"/>
        <v>0</v>
      </c>
      <c r="Z322" s="209">
        <f t="shared" si="87"/>
        <v>-0.03</v>
      </c>
      <c r="AA322" s="205">
        <f t="shared" si="88"/>
        <v>0</v>
      </c>
      <c r="AB322" s="209">
        <f t="shared" si="89"/>
        <v>0</v>
      </c>
      <c r="AC322" s="205">
        <f t="shared" si="90"/>
        <v>0</v>
      </c>
      <c r="AD322" s="210">
        <f t="shared" si="91"/>
        <v>5.2645833333372138</v>
      </c>
      <c r="AE322" s="210">
        <f t="shared" si="92"/>
        <v>0</v>
      </c>
      <c r="AF322" s="210">
        <f t="shared" si="93"/>
        <v>5.2645833333372138</v>
      </c>
      <c r="AG322" s="210">
        <f t="shared" si="94"/>
        <v>0</v>
      </c>
    </row>
    <row r="323" spans="2:33" ht="15" customHeight="1" x14ac:dyDescent="0.3">
      <c r="B323" s="196" t="s">
        <v>7</v>
      </c>
      <c r="C323" s="197" t="s">
        <v>15</v>
      </c>
      <c r="D323" s="198" t="str">
        <f t="shared" si="76"/>
        <v>C</v>
      </c>
      <c r="E323" s="199">
        <v>44025.166666666664</v>
      </c>
      <c r="F323" s="200" t="s">
        <v>118</v>
      </c>
      <c r="G323" s="201">
        <v>120.908</v>
      </c>
      <c r="H323" s="201">
        <v>120.129</v>
      </c>
      <c r="I323" s="202">
        <f t="shared" si="77"/>
        <v>0.77899999999999636</v>
      </c>
      <c r="J323" s="201">
        <v>124.024</v>
      </c>
      <c r="K323" s="199">
        <v>44027.724999999999</v>
      </c>
      <c r="L323" s="201">
        <v>121.836</v>
      </c>
      <c r="M323" s="203">
        <f t="shared" si="78"/>
        <v>0.92800000000000005</v>
      </c>
      <c r="N323" s="204">
        <f t="shared" si="79"/>
        <v>1.19</v>
      </c>
      <c r="O323" s="205">
        <f t="shared" si="80"/>
        <v>0</v>
      </c>
      <c r="P323" s="206">
        <f t="shared" si="81"/>
        <v>1.19</v>
      </c>
      <c r="Q323" s="206">
        <f t="shared" si="82"/>
        <v>0</v>
      </c>
      <c r="R3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227160</v>
      </c>
      <c r="T3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23" s="208">
        <f ca="1">IF(Tabla33610673[[#This Row],[Equity]]&lt;Tabla33610673[[#This Row],[Equity Peak]],(Tabla33610673[[#This Row],[Equity Peak]]-Tabla33610673[[#This Row],[Equity]])/Tabla33610673[[#This Row],[Equity Peak]],"")</f>
        <v>7.0425993370708345E-2</v>
      </c>
      <c r="V323" s="209">
        <f t="shared" si="83"/>
        <v>1.19</v>
      </c>
      <c r="W323" s="209">
        <f t="shared" si="84"/>
        <v>0</v>
      </c>
      <c r="X323" s="209">
        <f t="shared" si="85"/>
        <v>0</v>
      </c>
      <c r="Y323" s="209">
        <f t="shared" si="86"/>
        <v>0</v>
      </c>
      <c r="Z323" s="209">
        <f t="shared" si="87"/>
        <v>0</v>
      </c>
      <c r="AA323" s="205">
        <f t="shared" si="88"/>
        <v>0</v>
      </c>
      <c r="AB323" s="209">
        <f t="shared" si="89"/>
        <v>0</v>
      </c>
      <c r="AC323" s="205">
        <f t="shared" si="90"/>
        <v>0</v>
      </c>
      <c r="AD323" s="210">
        <f t="shared" si="91"/>
        <v>2.5583333333343035</v>
      </c>
      <c r="AE323" s="210">
        <f t="shared" si="92"/>
        <v>2.5583333333343035</v>
      </c>
      <c r="AF323" s="210">
        <f t="shared" si="93"/>
        <v>0</v>
      </c>
      <c r="AG323" s="210">
        <f t="shared" si="94"/>
        <v>0</v>
      </c>
    </row>
    <row r="324" spans="2:33" ht="15" customHeight="1" x14ac:dyDescent="0.3">
      <c r="B324" s="196" t="s">
        <v>7</v>
      </c>
      <c r="C324" s="197" t="s">
        <v>15</v>
      </c>
      <c r="D324" s="198" t="str">
        <f t="shared" si="76"/>
        <v>C</v>
      </c>
      <c r="E324" s="199">
        <v>44026.017361111109</v>
      </c>
      <c r="F324" s="200" t="s">
        <v>120</v>
      </c>
      <c r="G324" s="201">
        <v>1.63385</v>
      </c>
      <c r="H324" s="201">
        <v>1.62748</v>
      </c>
      <c r="I324" s="202">
        <f t="shared" si="77"/>
        <v>6.3699999999999868E-3</v>
      </c>
      <c r="J324" s="201">
        <v>1.7017899999999999</v>
      </c>
      <c r="K324" s="199">
        <v>44027.177777777775</v>
      </c>
      <c r="L324" s="201">
        <v>1.63005</v>
      </c>
      <c r="M324" s="203">
        <f t="shared" si="78"/>
        <v>-3.8E-3</v>
      </c>
      <c r="N324" s="204">
        <f t="shared" si="79"/>
        <v>-0.6</v>
      </c>
      <c r="O324" s="205">
        <f t="shared" si="80"/>
        <v>0</v>
      </c>
      <c r="P324" s="206">
        <f t="shared" si="81"/>
        <v>0</v>
      </c>
      <c r="Q324" s="206">
        <f t="shared" si="82"/>
        <v>-0.6</v>
      </c>
      <c r="R3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225970</v>
      </c>
      <c r="T3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24" s="208">
        <f ca="1">IF(Tabla33610673[[#This Row],[Equity]]&lt;Tabla33610673[[#This Row],[Equity Peak]],(Tabla33610673[[#This Row],[Equity Peak]]-Tabla33610673[[#This Row],[Equity]])/Tabla33610673[[#This Row],[Equity Peak]],"")</f>
        <v>7.5295658223186152E-2</v>
      </c>
      <c r="V324" s="209">
        <f t="shared" si="83"/>
        <v>-0.6</v>
      </c>
      <c r="W324" s="209">
        <f t="shared" si="84"/>
        <v>0</v>
      </c>
      <c r="X324" s="209">
        <f t="shared" si="85"/>
        <v>0</v>
      </c>
      <c r="Y324" s="209">
        <f t="shared" si="86"/>
        <v>0</v>
      </c>
      <c r="Z324" s="209">
        <f t="shared" si="87"/>
        <v>0</v>
      </c>
      <c r="AA324" s="205">
        <f t="shared" si="88"/>
        <v>0</v>
      </c>
      <c r="AB324" s="209">
        <f t="shared" si="89"/>
        <v>0</v>
      </c>
      <c r="AC324" s="205">
        <f t="shared" si="90"/>
        <v>0</v>
      </c>
      <c r="AD324" s="210">
        <f t="shared" si="91"/>
        <v>1.1604166666656965</v>
      </c>
      <c r="AE324" s="210">
        <f t="shared" si="92"/>
        <v>0</v>
      </c>
      <c r="AF324" s="210">
        <f t="shared" si="93"/>
        <v>1.1604166666656965</v>
      </c>
      <c r="AG324" s="210">
        <f t="shared" si="94"/>
        <v>0</v>
      </c>
    </row>
    <row r="325" spans="2:33" ht="15" customHeight="1" x14ac:dyDescent="0.3">
      <c r="B325" s="196" t="s">
        <v>5</v>
      </c>
      <c r="C325" s="197" t="s">
        <v>15</v>
      </c>
      <c r="D325" s="198" t="str">
        <f t="shared" si="76"/>
        <v>C</v>
      </c>
      <c r="E325" s="199">
        <v>44025.208333333336</v>
      </c>
      <c r="F325" s="200" t="s">
        <v>93</v>
      </c>
      <c r="G325" s="201">
        <v>3204.04</v>
      </c>
      <c r="H325" s="201">
        <v>3169.43</v>
      </c>
      <c r="I325" s="202">
        <f t="shared" si="77"/>
        <v>34.610000000000127</v>
      </c>
      <c r="J325" s="201">
        <v>3296.33</v>
      </c>
      <c r="K325" s="199">
        <v>44025.942361111112</v>
      </c>
      <c r="L325" s="201">
        <v>3169.43</v>
      </c>
      <c r="M325" s="203">
        <f t="shared" si="78"/>
        <v>-34.61</v>
      </c>
      <c r="N325" s="204">
        <f t="shared" si="79"/>
        <v>-1</v>
      </c>
      <c r="O325" s="205">
        <f t="shared" si="80"/>
        <v>0</v>
      </c>
      <c r="P325" s="206">
        <f t="shared" si="81"/>
        <v>0</v>
      </c>
      <c r="Q325" s="206">
        <f t="shared" si="82"/>
        <v>-1</v>
      </c>
      <c r="R3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226570</v>
      </c>
      <c r="T3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25" s="208">
        <f ca="1">IF(Tabla33610673[[#This Row],[Equity]]&lt;Tabla33610673[[#This Row],[Equity Peak]],(Tabla33610673[[#This Row],[Equity Peak]]-Tabla33610673[[#This Row],[Equity]])/Tabla33610673[[#This Row],[Equity Peak]],"")</f>
        <v>7.2840365020256162E-2</v>
      </c>
      <c r="V325" s="209">
        <f t="shared" si="83"/>
        <v>0</v>
      </c>
      <c r="W325" s="209">
        <f t="shared" si="84"/>
        <v>0</v>
      </c>
      <c r="X325" s="209">
        <f t="shared" si="85"/>
        <v>0</v>
      </c>
      <c r="Y325" s="209">
        <f t="shared" si="86"/>
        <v>0</v>
      </c>
      <c r="Z325" s="209">
        <f t="shared" si="87"/>
        <v>-1</v>
      </c>
      <c r="AA325" s="205">
        <f t="shared" si="88"/>
        <v>0</v>
      </c>
      <c r="AB325" s="209">
        <f t="shared" si="89"/>
        <v>0</v>
      </c>
      <c r="AC325" s="205">
        <f t="shared" si="90"/>
        <v>0</v>
      </c>
      <c r="AD325" s="210">
        <f t="shared" si="91"/>
        <v>0.73402777777664596</v>
      </c>
      <c r="AE325" s="210">
        <f t="shared" si="92"/>
        <v>0</v>
      </c>
      <c r="AF325" s="210">
        <f t="shared" si="93"/>
        <v>0.73402777777664596</v>
      </c>
      <c r="AG325" s="210">
        <f t="shared" si="94"/>
        <v>0</v>
      </c>
    </row>
    <row r="326" spans="2:33" ht="15" customHeight="1" x14ac:dyDescent="0.3">
      <c r="B326" s="196" t="s">
        <v>5</v>
      </c>
      <c r="C326" s="197" t="s">
        <v>15</v>
      </c>
      <c r="D326" s="198" t="str">
        <f t="shared" si="76"/>
        <v>C</v>
      </c>
      <c r="E326" s="199">
        <v>43998.166666666664</v>
      </c>
      <c r="F326" s="200" t="s">
        <v>92</v>
      </c>
      <c r="G326" s="201">
        <v>9870.2999999999993</v>
      </c>
      <c r="H326" s="201">
        <v>9470.6</v>
      </c>
      <c r="I326" s="202">
        <f t="shared" si="77"/>
        <v>399.69999999999891</v>
      </c>
      <c r="J326" s="201">
        <v>12534.94</v>
      </c>
      <c r="K326" s="199">
        <v>44025.92291666667</v>
      </c>
      <c r="L326" s="201">
        <v>10789.49</v>
      </c>
      <c r="M326" s="203">
        <f t="shared" si="78"/>
        <v>919.19</v>
      </c>
      <c r="N326" s="204">
        <f t="shared" si="79"/>
        <v>2.2999999999999998</v>
      </c>
      <c r="O326" s="205">
        <f t="shared" si="80"/>
        <v>0</v>
      </c>
      <c r="P326" s="206">
        <f t="shared" si="81"/>
        <v>2.2999999999999998</v>
      </c>
      <c r="Q326" s="206">
        <f t="shared" si="82"/>
        <v>0</v>
      </c>
      <c r="R3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227570</v>
      </c>
      <c r="T3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26" s="208">
        <f ca="1">IF(Tabla33610673[[#This Row],[Equity]]&lt;Tabla33610673[[#This Row],[Equity Peak]],(Tabla33610673[[#This Row],[Equity Peak]]-Tabla33610673[[#This Row],[Equity]])/Tabla33610673[[#This Row],[Equity Peak]],"")</f>
        <v>6.8748209682039527E-2</v>
      </c>
      <c r="V326" s="209">
        <f t="shared" si="83"/>
        <v>0</v>
      </c>
      <c r="W326" s="209">
        <f t="shared" si="84"/>
        <v>0</v>
      </c>
      <c r="X326" s="209">
        <f t="shared" si="85"/>
        <v>0</v>
      </c>
      <c r="Y326" s="209">
        <f t="shared" si="86"/>
        <v>0</v>
      </c>
      <c r="Z326" s="209">
        <f t="shared" si="87"/>
        <v>2.2999999999999998</v>
      </c>
      <c r="AA326" s="205">
        <f t="shared" si="88"/>
        <v>0</v>
      </c>
      <c r="AB326" s="209">
        <f t="shared" si="89"/>
        <v>0</v>
      </c>
      <c r="AC326" s="205">
        <f t="shared" si="90"/>
        <v>0</v>
      </c>
      <c r="AD326" s="210">
        <f t="shared" si="91"/>
        <v>27.756250000005821</v>
      </c>
      <c r="AE326" s="210">
        <f t="shared" si="92"/>
        <v>27.756250000005821</v>
      </c>
      <c r="AF326" s="210">
        <f t="shared" si="93"/>
        <v>0</v>
      </c>
      <c r="AG326" s="210">
        <f t="shared" si="94"/>
        <v>0</v>
      </c>
    </row>
    <row r="327" spans="2:33" ht="15" customHeight="1" x14ac:dyDescent="0.3">
      <c r="B327" s="196" t="s">
        <v>7</v>
      </c>
      <c r="C327" s="197" t="s">
        <v>13</v>
      </c>
      <c r="D327" s="198" t="str">
        <f t="shared" si="76"/>
        <v>C</v>
      </c>
      <c r="E327" s="199">
        <v>44021.166666666664</v>
      </c>
      <c r="F327" s="200" t="s">
        <v>113</v>
      </c>
      <c r="G327" s="201">
        <v>107.291</v>
      </c>
      <c r="H327" s="201">
        <v>107.791</v>
      </c>
      <c r="I327" s="202">
        <f t="shared" si="77"/>
        <v>0.5</v>
      </c>
      <c r="J327" s="201">
        <v>104.956</v>
      </c>
      <c r="K327" s="199">
        <v>44025.5625</v>
      </c>
      <c r="L327" s="201">
        <v>107.10299999999999</v>
      </c>
      <c r="M327" s="203">
        <f t="shared" si="78"/>
        <v>0.188</v>
      </c>
      <c r="N327" s="204">
        <f t="shared" si="79"/>
        <v>0.38</v>
      </c>
      <c r="O327" s="205">
        <f t="shared" si="80"/>
        <v>0</v>
      </c>
      <c r="P327" s="206">
        <f t="shared" si="81"/>
        <v>0.38</v>
      </c>
      <c r="Q327" s="206">
        <f t="shared" si="82"/>
        <v>0</v>
      </c>
      <c r="R3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225270</v>
      </c>
      <c r="T3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27" s="208">
        <f ca="1">IF(Tabla33610673[[#This Row],[Equity]]&lt;Tabla33610673[[#This Row],[Equity Peak]],(Tabla33610673[[#This Row],[Equity Peak]]-Tabla33610673[[#This Row],[Equity]])/Tabla33610673[[#This Row],[Equity Peak]],"")</f>
        <v>7.8160166959937799E-2</v>
      </c>
      <c r="V327" s="209">
        <f t="shared" si="83"/>
        <v>0.38</v>
      </c>
      <c r="W327" s="209">
        <f t="shared" si="84"/>
        <v>0</v>
      </c>
      <c r="X327" s="209">
        <f t="shared" si="85"/>
        <v>0</v>
      </c>
      <c r="Y327" s="209">
        <f t="shared" si="86"/>
        <v>0</v>
      </c>
      <c r="Z327" s="209">
        <f t="shared" si="87"/>
        <v>0</v>
      </c>
      <c r="AA327" s="205">
        <f t="shared" si="88"/>
        <v>0</v>
      </c>
      <c r="AB327" s="209">
        <f t="shared" si="89"/>
        <v>0</v>
      </c>
      <c r="AC327" s="205">
        <f t="shared" si="90"/>
        <v>0</v>
      </c>
      <c r="AD327" s="210">
        <f t="shared" si="91"/>
        <v>4.3958333333357587</v>
      </c>
      <c r="AE327" s="210">
        <f t="shared" si="92"/>
        <v>4.3958333333357587</v>
      </c>
      <c r="AF327" s="210">
        <f t="shared" si="93"/>
        <v>0</v>
      </c>
      <c r="AG327" s="210">
        <f t="shared" si="94"/>
        <v>0</v>
      </c>
    </row>
    <row r="328" spans="2:33" ht="15" customHeight="1" x14ac:dyDescent="0.3">
      <c r="B328" s="196" t="s">
        <v>7</v>
      </c>
      <c r="C328" s="197" t="s">
        <v>13</v>
      </c>
      <c r="D328" s="198" t="str">
        <f t="shared" si="76"/>
        <v>C</v>
      </c>
      <c r="E328" s="199">
        <v>44022.5</v>
      </c>
      <c r="F328" s="200" t="s">
        <v>118</v>
      </c>
      <c r="G328" s="201">
        <v>120.48399999999999</v>
      </c>
      <c r="H328" s="201">
        <v>121.30800000000001</v>
      </c>
      <c r="I328" s="202">
        <f t="shared" si="77"/>
        <v>0.82400000000001228</v>
      </c>
      <c r="J328" s="201">
        <v>117.188</v>
      </c>
      <c r="K328" s="199">
        <v>44025.166666666664</v>
      </c>
      <c r="L328" s="201">
        <v>120.908</v>
      </c>
      <c r="M328" s="203">
        <f t="shared" si="78"/>
        <v>-0.42399999999999999</v>
      </c>
      <c r="N328" s="204">
        <f t="shared" si="79"/>
        <v>-0.51</v>
      </c>
      <c r="O328" s="205">
        <f t="shared" si="80"/>
        <v>0</v>
      </c>
      <c r="P328" s="206">
        <f t="shared" si="81"/>
        <v>0</v>
      </c>
      <c r="Q328" s="206">
        <f t="shared" si="82"/>
        <v>-0.51</v>
      </c>
      <c r="R3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224890</v>
      </c>
      <c r="T3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28" s="208">
        <f ca="1">IF(Tabla33610673[[#This Row],[Equity]]&lt;Tabla33610673[[#This Row],[Equity Peak]],(Tabla33610673[[#This Row],[Equity Peak]]-Tabla33610673[[#This Row],[Equity]])/Tabla33610673[[#This Row],[Equity Peak]],"")</f>
        <v>7.9715185988460127E-2</v>
      </c>
      <c r="V328" s="209">
        <f t="shared" si="83"/>
        <v>-0.51</v>
      </c>
      <c r="W328" s="209">
        <f t="shared" si="84"/>
        <v>0</v>
      </c>
      <c r="X328" s="209">
        <f t="shared" si="85"/>
        <v>0</v>
      </c>
      <c r="Y328" s="209">
        <f t="shared" si="86"/>
        <v>0</v>
      </c>
      <c r="Z328" s="209">
        <f t="shared" si="87"/>
        <v>0</v>
      </c>
      <c r="AA328" s="205">
        <f t="shared" si="88"/>
        <v>0</v>
      </c>
      <c r="AB328" s="209">
        <f t="shared" si="89"/>
        <v>0</v>
      </c>
      <c r="AC328" s="205">
        <f t="shared" si="90"/>
        <v>0</v>
      </c>
      <c r="AD328" s="210">
        <f t="shared" si="91"/>
        <v>2.6666666666642413</v>
      </c>
      <c r="AE328" s="210">
        <f t="shared" si="92"/>
        <v>0</v>
      </c>
      <c r="AF328" s="210">
        <f t="shared" si="93"/>
        <v>2.6666666666642413</v>
      </c>
      <c r="AG328" s="210">
        <f t="shared" si="94"/>
        <v>0</v>
      </c>
    </row>
    <row r="329" spans="2:33" ht="15" customHeight="1" x14ac:dyDescent="0.3">
      <c r="B329" s="196" t="s">
        <v>5</v>
      </c>
      <c r="C329" s="197" t="s">
        <v>15</v>
      </c>
      <c r="D329" s="198" t="str">
        <f t="shared" si="76"/>
        <v>C</v>
      </c>
      <c r="E329" s="199">
        <v>44013.666666666664</v>
      </c>
      <c r="F329" s="200" t="s">
        <v>95</v>
      </c>
      <c r="G329" s="201">
        <v>25832.6</v>
      </c>
      <c r="H329" s="201">
        <v>25414.39</v>
      </c>
      <c r="I329" s="202">
        <f t="shared" si="77"/>
        <v>418.20999999999913</v>
      </c>
      <c r="J329" s="201">
        <v>27505.43</v>
      </c>
      <c r="K329" s="199">
        <v>44022.359722222223</v>
      </c>
      <c r="L329" s="201">
        <v>25443.89</v>
      </c>
      <c r="M329" s="203">
        <f t="shared" si="78"/>
        <v>-388.71</v>
      </c>
      <c r="N329" s="204">
        <f t="shared" si="79"/>
        <v>-0.93</v>
      </c>
      <c r="O329" s="205">
        <f t="shared" si="80"/>
        <v>0</v>
      </c>
      <c r="P329" s="206">
        <f t="shared" si="81"/>
        <v>0</v>
      </c>
      <c r="Q329" s="206">
        <f t="shared" si="82"/>
        <v>-0.93</v>
      </c>
      <c r="R3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225400</v>
      </c>
      <c r="T3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29" s="208">
        <f ca="1">IF(Tabla33610673[[#This Row],[Equity]]&lt;Tabla33610673[[#This Row],[Equity Peak]],(Tabla33610673[[#This Row],[Equity Peak]]-Tabla33610673[[#This Row],[Equity]])/Tabla33610673[[#This Row],[Equity Peak]],"")</f>
        <v>7.7628186765969637E-2</v>
      </c>
      <c r="V329" s="209">
        <f t="shared" si="83"/>
        <v>0</v>
      </c>
      <c r="W329" s="209">
        <f t="shared" si="84"/>
        <v>0</v>
      </c>
      <c r="X329" s="209">
        <f t="shared" si="85"/>
        <v>0</v>
      </c>
      <c r="Y329" s="209">
        <f t="shared" si="86"/>
        <v>0</v>
      </c>
      <c r="Z329" s="209">
        <f t="shared" si="87"/>
        <v>-0.93</v>
      </c>
      <c r="AA329" s="205">
        <f t="shared" si="88"/>
        <v>0</v>
      </c>
      <c r="AB329" s="209">
        <f t="shared" si="89"/>
        <v>0</v>
      </c>
      <c r="AC329" s="205">
        <f t="shared" si="90"/>
        <v>0</v>
      </c>
      <c r="AD329" s="210">
        <f t="shared" si="91"/>
        <v>8.6930555555591127</v>
      </c>
      <c r="AE329" s="210">
        <f t="shared" si="92"/>
        <v>0</v>
      </c>
      <c r="AF329" s="210">
        <f t="shared" si="93"/>
        <v>8.6930555555591127</v>
      </c>
      <c r="AG329" s="210">
        <f t="shared" si="94"/>
        <v>0</v>
      </c>
    </row>
    <row r="330" spans="2:33" ht="15" customHeight="1" x14ac:dyDescent="0.3">
      <c r="B330" s="196" t="s">
        <v>7</v>
      </c>
      <c r="C330" s="197" t="s">
        <v>15</v>
      </c>
      <c r="D330" s="198" t="str">
        <f t="shared" si="76"/>
        <v>C</v>
      </c>
      <c r="E330" s="199">
        <v>44015.833333333336</v>
      </c>
      <c r="F330" s="200" t="s">
        <v>115</v>
      </c>
      <c r="G330" s="201">
        <v>134.06700000000001</v>
      </c>
      <c r="H330" s="201">
        <v>133.268</v>
      </c>
      <c r="I330" s="202">
        <f t="shared" si="77"/>
        <v>0.79900000000000659</v>
      </c>
      <c r="J330" s="201">
        <v>138.53899999999999</v>
      </c>
      <c r="K330" s="199">
        <v>44022.161111111112</v>
      </c>
      <c r="L330" s="201">
        <v>134.81899999999999</v>
      </c>
      <c r="M330" s="203">
        <f t="shared" si="78"/>
        <v>0.752</v>
      </c>
      <c r="N330" s="204">
        <f t="shared" si="79"/>
        <v>0.94</v>
      </c>
      <c r="O330" s="205">
        <f t="shared" si="80"/>
        <v>0</v>
      </c>
      <c r="P330" s="206">
        <f t="shared" si="81"/>
        <v>0.94</v>
      </c>
      <c r="Q330" s="206">
        <f t="shared" si="82"/>
        <v>0</v>
      </c>
      <c r="R3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226330</v>
      </c>
      <c r="T3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30" s="208">
        <f ca="1">IF(Tabla33610673[[#This Row],[Equity]]&lt;Tabla33610673[[#This Row],[Equity Peak]],(Tabla33610673[[#This Row],[Equity Peak]]-Tabla33610673[[#This Row],[Equity]])/Tabla33610673[[#This Row],[Equity Peak]],"")</f>
        <v>7.3822482301428169E-2</v>
      </c>
      <c r="V330" s="209">
        <f t="shared" si="83"/>
        <v>0.94</v>
      </c>
      <c r="W330" s="209">
        <f t="shared" si="84"/>
        <v>0</v>
      </c>
      <c r="X330" s="209">
        <f t="shared" si="85"/>
        <v>0</v>
      </c>
      <c r="Y330" s="209">
        <f t="shared" si="86"/>
        <v>0</v>
      </c>
      <c r="Z330" s="209">
        <f t="shared" si="87"/>
        <v>0</v>
      </c>
      <c r="AA330" s="205">
        <f t="shared" si="88"/>
        <v>0</v>
      </c>
      <c r="AB330" s="209">
        <f t="shared" si="89"/>
        <v>0</v>
      </c>
      <c r="AC330" s="205">
        <f t="shared" si="90"/>
        <v>0</v>
      </c>
      <c r="AD330" s="210">
        <f t="shared" si="91"/>
        <v>6.327777777776646</v>
      </c>
      <c r="AE330" s="210">
        <f t="shared" si="92"/>
        <v>6.327777777776646</v>
      </c>
      <c r="AF330" s="210">
        <f t="shared" si="93"/>
        <v>0</v>
      </c>
      <c r="AG330" s="210">
        <f t="shared" si="94"/>
        <v>0</v>
      </c>
    </row>
    <row r="331" spans="2:33" ht="15" customHeight="1" x14ac:dyDescent="0.3">
      <c r="B331" s="196" t="s">
        <v>19</v>
      </c>
      <c r="C331" s="197" t="s">
        <v>15</v>
      </c>
      <c r="D331" s="198" t="str">
        <f t="shared" si="76"/>
        <v>C</v>
      </c>
      <c r="E331" s="199">
        <v>44021.541666666664</v>
      </c>
      <c r="F331" s="200" t="s">
        <v>89</v>
      </c>
      <c r="G331" s="201">
        <v>19</v>
      </c>
      <c r="H331" s="201">
        <v>18.582999999999998</v>
      </c>
      <c r="I331" s="202">
        <f t="shared" si="77"/>
        <v>0.41700000000000159</v>
      </c>
      <c r="J331" s="201">
        <v>21.004000000000001</v>
      </c>
      <c r="K331" s="199">
        <v>44021.754861111112</v>
      </c>
      <c r="L331" s="201">
        <v>18.582999999999998</v>
      </c>
      <c r="M331" s="203">
        <f t="shared" si="78"/>
        <v>-0.41699999999999998</v>
      </c>
      <c r="N331" s="204">
        <f t="shared" si="79"/>
        <v>-1</v>
      </c>
      <c r="O331" s="205">
        <f t="shared" si="80"/>
        <v>0</v>
      </c>
      <c r="P331" s="206">
        <f t="shared" si="81"/>
        <v>0</v>
      </c>
      <c r="Q331" s="206">
        <f t="shared" si="82"/>
        <v>-1</v>
      </c>
      <c r="R3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225390</v>
      </c>
      <c r="T3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31" s="208">
        <f ca="1">IF(Tabla33610673[[#This Row],[Equity]]&lt;Tabla33610673[[#This Row],[Equity Peak]],(Tabla33610673[[#This Row],[Equity Peak]]-Tabla33610673[[#This Row],[Equity]])/Tabla33610673[[#This Row],[Equity Peak]],"")</f>
        <v>7.7669108319351809E-2</v>
      </c>
      <c r="V331" s="209">
        <f t="shared" si="83"/>
        <v>0</v>
      </c>
      <c r="W331" s="209">
        <f t="shared" si="84"/>
        <v>0</v>
      </c>
      <c r="X331" s="209">
        <f t="shared" si="85"/>
        <v>-1</v>
      </c>
      <c r="Y331" s="209">
        <f t="shared" si="86"/>
        <v>0</v>
      </c>
      <c r="Z331" s="209">
        <f t="shared" si="87"/>
        <v>0</v>
      </c>
      <c r="AA331" s="205">
        <f t="shared" si="88"/>
        <v>0</v>
      </c>
      <c r="AB331" s="209">
        <f t="shared" si="89"/>
        <v>0</v>
      </c>
      <c r="AC331" s="205">
        <f t="shared" si="90"/>
        <v>0</v>
      </c>
      <c r="AD331" s="210">
        <f t="shared" si="91"/>
        <v>0.21319444444816327</v>
      </c>
      <c r="AE331" s="210">
        <f t="shared" si="92"/>
        <v>0</v>
      </c>
      <c r="AF331" s="210">
        <f t="shared" si="93"/>
        <v>0.21319444444816327</v>
      </c>
      <c r="AG331" s="210">
        <f t="shared" si="94"/>
        <v>0</v>
      </c>
    </row>
    <row r="332" spans="2:33" ht="15" customHeight="1" x14ac:dyDescent="0.3">
      <c r="B332" s="196" t="s">
        <v>5</v>
      </c>
      <c r="C332" s="197" t="s">
        <v>15</v>
      </c>
      <c r="D332" s="198" t="str">
        <f t="shared" si="76"/>
        <v>C</v>
      </c>
      <c r="E332" s="199">
        <v>44014.5</v>
      </c>
      <c r="F332" s="200" t="s">
        <v>93</v>
      </c>
      <c r="G332" s="201">
        <v>3134.28</v>
      </c>
      <c r="H332" s="201">
        <v>3101.42</v>
      </c>
      <c r="I332" s="202">
        <f t="shared" si="77"/>
        <v>32.860000000000127</v>
      </c>
      <c r="J332" s="201">
        <v>3221.91</v>
      </c>
      <c r="K332" s="199">
        <v>44021.745833333334</v>
      </c>
      <c r="L332" s="201">
        <v>3132.72</v>
      </c>
      <c r="M332" s="203">
        <f t="shared" si="78"/>
        <v>-1.56</v>
      </c>
      <c r="N332" s="204">
        <f t="shared" si="79"/>
        <v>-0.05</v>
      </c>
      <c r="O332" s="205">
        <f t="shared" si="80"/>
        <v>0</v>
      </c>
      <c r="P332" s="206">
        <f t="shared" si="81"/>
        <v>0</v>
      </c>
      <c r="Q332" s="206">
        <f t="shared" si="82"/>
        <v>-0.05</v>
      </c>
      <c r="R3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226390</v>
      </c>
      <c r="T3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32" s="208">
        <f ca="1">IF(Tabla33610673[[#This Row],[Equity]]&lt;Tabla33610673[[#This Row],[Equity Peak]],(Tabla33610673[[#This Row],[Equity Peak]]-Tabla33610673[[#This Row],[Equity]])/Tabla33610673[[#This Row],[Equity Peak]],"")</f>
        <v>7.357695298113516E-2</v>
      </c>
      <c r="V332" s="209">
        <f t="shared" si="83"/>
        <v>0</v>
      </c>
      <c r="W332" s="209">
        <f t="shared" si="84"/>
        <v>0</v>
      </c>
      <c r="X332" s="209">
        <f t="shared" si="85"/>
        <v>0</v>
      </c>
      <c r="Y332" s="209">
        <f t="shared" si="86"/>
        <v>0</v>
      </c>
      <c r="Z332" s="209">
        <f t="shared" si="87"/>
        <v>-0.05</v>
      </c>
      <c r="AA332" s="205">
        <f t="shared" si="88"/>
        <v>0</v>
      </c>
      <c r="AB332" s="209">
        <f t="shared" si="89"/>
        <v>0</v>
      </c>
      <c r="AC332" s="205">
        <f t="shared" si="90"/>
        <v>0</v>
      </c>
      <c r="AD332" s="210">
        <f t="shared" si="91"/>
        <v>7.2458333333343035</v>
      </c>
      <c r="AE332" s="210">
        <f t="shared" si="92"/>
        <v>0</v>
      </c>
      <c r="AF332" s="210">
        <f t="shared" si="93"/>
        <v>7.2458333333343035</v>
      </c>
      <c r="AG332" s="210">
        <f t="shared" si="94"/>
        <v>0</v>
      </c>
    </row>
    <row r="333" spans="2:33" ht="15" customHeight="1" x14ac:dyDescent="0.3">
      <c r="B333" s="196" t="s">
        <v>5</v>
      </c>
      <c r="C333" s="197" t="s">
        <v>13</v>
      </c>
      <c r="D333" s="198" t="str">
        <f t="shared" si="76"/>
        <v>C</v>
      </c>
      <c r="E333" s="199">
        <v>44020.017361111109</v>
      </c>
      <c r="F333" s="200" t="s">
        <v>94</v>
      </c>
      <c r="G333" s="201">
        <v>6160.37</v>
      </c>
      <c r="H333" s="201">
        <v>6245.25</v>
      </c>
      <c r="I333" s="202">
        <f t="shared" si="77"/>
        <v>84.880000000000109</v>
      </c>
      <c r="J333" s="201">
        <v>5735.97</v>
      </c>
      <c r="K333" s="199">
        <v>44020.48541666667</v>
      </c>
      <c r="L333" s="201">
        <v>6209.44</v>
      </c>
      <c r="M333" s="203">
        <f t="shared" si="78"/>
        <v>-49.07</v>
      </c>
      <c r="N333" s="204">
        <f t="shared" si="79"/>
        <v>-0.57999999999999996</v>
      </c>
      <c r="O333" s="205">
        <f t="shared" si="80"/>
        <v>0</v>
      </c>
      <c r="P333" s="206">
        <f t="shared" si="81"/>
        <v>0</v>
      </c>
      <c r="Q333" s="206">
        <f t="shared" si="82"/>
        <v>-0.57999999999999996</v>
      </c>
      <c r="R3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226440</v>
      </c>
      <c r="T3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33" s="208">
        <f ca="1">IF(Tabla33610673[[#This Row],[Equity]]&lt;Tabla33610673[[#This Row],[Equity Peak]],(Tabla33610673[[#This Row],[Equity Peak]]-Tabla33610673[[#This Row],[Equity]])/Tabla33610673[[#This Row],[Equity Peak]],"")</f>
        <v>7.3372345214224338E-2</v>
      </c>
      <c r="V333" s="209">
        <f t="shared" si="83"/>
        <v>0</v>
      </c>
      <c r="W333" s="209">
        <f t="shared" si="84"/>
        <v>0</v>
      </c>
      <c r="X333" s="209">
        <f t="shared" si="85"/>
        <v>0</v>
      </c>
      <c r="Y333" s="209">
        <f t="shared" si="86"/>
        <v>0</v>
      </c>
      <c r="Z333" s="209">
        <f t="shared" si="87"/>
        <v>-0.57999999999999996</v>
      </c>
      <c r="AA333" s="205">
        <f t="shared" si="88"/>
        <v>0</v>
      </c>
      <c r="AB333" s="209">
        <f t="shared" si="89"/>
        <v>0</v>
      </c>
      <c r="AC333" s="205">
        <f t="shared" si="90"/>
        <v>0</v>
      </c>
      <c r="AD333" s="210">
        <f t="shared" si="91"/>
        <v>0.46805555556056788</v>
      </c>
      <c r="AE333" s="210">
        <f t="shared" si="92"/>
        <v>0</v>
      </c>
      <c r="AF333" s="210">
        <f t="shared" si="93"/>
        <v>0.46805555556056788</v>
      </c>
      <c r="AG333" s="210">
        <f t="shared" si="94"/>
        <v>0</v>
      </c>
    </row>
    <row r="334" spans="2:33" ht="15" customHeight="1" x14ac:dyDescent="0.3">
      <c r="B334" s="196" t="s">
        <v>7</v>
      </c>
      <c r="C334" s="197" t="s">
        <v>13</v>
      </c>
      <c r="D334" s="198" t="str">
        <f t="shared" si="76"/>
        <v>C</v>
      </c>
      <c r="E334" s="199">
        <v>44012.833333333336</v>
      </c>
      <c r="F334" s="200" t="s">
        <v>120</v>
      </c>
      <c r="G334" s="201">
        <v>1.6317900000000001</v>
      </c>
      <c r="H334" s="201">
        <v>1.6394299999999999</v>
      </c>
      <c r="I334" s="202">
        <f t="shared" si="77"/>
        <v>7.6399999999998691E-3</v>
      </c>
      <c r="J334" s="201">
        <v>1.5502499999999999</v>
      </c>
      <c r="K334" s="199">
        <v>44019.443749999999</v>
      </c>
      <c r="L334" s="201">
        <v>1.6270100000000001</v>
      </c>
      <c r="M334" s="203">
        <f t="shared" si="78"/>
        <v>4.7999999999999996E-3</v>
      </c>
      <c r="N334" s="204">
        <f t="shared" si="79"/>
        <v>0.63</v>
      </c>
      <c r="O334" s="205">
        <f t="shared" si="80"/>
        <v>0</v>
      </c>
      <c r="P334" s="206">
        <f t="shared" si="81"/>
        <v>0.63</v>
      </c>
      <c r="Q334" s="206">
        <f t="shared" si="82"/>
        <v>0</v>
      </c>
      <c r="R3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227020</v>
      </c>
      <c r="T3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34" s="208">
        <f ca="1">IF(Tabla33610673[[#This Row],[Equity]]&lt;Tabla33610673[[#This Row],[Equity Peak]],(Tabla33610673[[#This Row],[Equity Peak]]-Tabla33610673[[#This Row],[Equity]])/Tabla33610673[[#This Row],[Equity Peak]],"")</f>
        <v>7.099889511805868E-2</v>
      </c>
      <c r="V334" s="209">
        <f t="shared" si="83"/>
        <v>0.63</v>
      </c>
      <c r="W334" s="209">
        <f t="shared" si="84"/>
        <v>0</v>
      </c>
      <c r="X334" s="209">
        <f t="shared" si="85"/>
        <v>0</v>
      </c>
      <c r="Y334" s="209">
        <f t="shared" si="86"/>
        <v>0</v>
      </c>
      <c r="Z334" s="209">
        <f t="shared" si="87"/>
        <v>0</v>
      </c>
      <c r="AA334" s="205">
        <f t="shared" si="88"/>
        <v>0</v>
      </c>
      <c r="AB334" s="209">
        <f t="shared" si="89"/>
        <v>0</v>
      </c>
      <c r="AC334" s="205">
        <f t="shared" si="90"/>
        <v>0</v>
      </c>
      <c r="AD334" s="210">
        <f t="shared" si="91"/>
        <v>6.6104166666627862</v>
      </c>
      <c r="AE334" s="210">
        <f t="shared" si="92"/>
        <v>6.6104166666627862</v>
      </c>
      <c r="AF334" s="210">
        <f t="shared" si="93"/>
        <v>0</v>
      </c>
      <c r="AG334" s="210">
        <f t="shared" si="94"/>
        <v>0</v>
      </c>
    </row>
    <row r="335" spans="2:33" ht="15" customHeight="1" x14ac:dyDescent="0.3">
      <c r="B335" s="196" t="s">
        <v>5</v>
      </c>
      <c r="C335" s="197" t="s">
        <v>15</v>
      </c>
      <c r="D335" s="198" t="str">
        <f t="shared" si="76"/>
        <v>C</v>
      </c>
      <c r="E335" s="199">
        <v>44018.375</v>
      </c>
      <c r="F335" s="200" t="s">
        <v>94</v>
      </c>
      <c r="G335" s="201">
        <v>6240.61</v>
      </c>
      <c r="H335" s="201">
        <v>6154.19</v>
      </c>
      <c r="I335" s="202">
        <f t="shared" si="77"/>
        <v>86.420000000000073</v>
      </c>
      <c r="J335" s="201">
        <v>6672.7</v>
      </c>
      <c r="K335" s="199">
        <v>44019.423611111109</v>
      </c>
      <c r="L335" s="201">
        <v>6228.07</v>
      </c>
      <c r="M335" s="203">
        <f t="shared" si="78"/>
        <v>-12.54</v>
      </c>
      <c r="N335" s="204">
        <f t="shared" si="79"/>
        <v>-0.15</v>
      </c>
      <c r="O335" s="205">
        <f t="shared" si="80"/>
        <v>0</v>
      </c>
      <c r="P335" s="206">
        <f t="shared" si="81"/>
        <v>0</v>
      </c>
      <c r="Q335" s="206">
        <f t="shared" si="82"/>
        <v>-0.15</v>
      </c>
      <c r="R3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226390</v>
      </c>
      <c r="T3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35" s="208">
        <f ca="1">IF(Tabla33610673[[#This Row],[Equity]]&lt;Tabla33610673[[#This Row],[Equity Peak]],(Tabla33610673[[#This Row],[Equity Peak]]-Tabla33610673[[#This Row],[Equity]])/Tabla33610673[[#This Row],[Equity Peak]],"")</f>
        <v>7.357695298113516E-2</v>
      </c>
      <c r="V335" s="209">
        <f t="shared" si="83"/>
        <v>0</v>
      </c>
      <c r="W335" s="209">
        <f t="shared" si="84"/>
        <v>0</v>
      </c>
      <c r="X335" s="209">
        <f t="shared" si="85"/>
        <v>0</v>
      </c>
      <c r="Y335" s="209">
        <f t="shared" si="86"/>
        <v>0</v>
      </c>
      <c r="Z335" s="209">
        <f t="shared" si="87"/>
        <v>-0.15</v>
      </c>
      <c r="AA335" s="205">
        <f t="shared" si="88"/>
        <v>0</v>
      </c>
      <c r="AB335" s="209">
        <f t="shared" si="89"/>
        <v>0</v>
      </c>
      <c r="AC335" s="205">
        <f t="shared" si="90"/>
        <v>0</v>
      </c>
      <c r="AD335" s="210">
        <f t="shared" si="91"/>
        <v>1.0486111111094942</v>
      </c>
      <c r="AE335" s="210">
        <f t="shared" si="92"/>
        <v>0</v>
      </c>
      <c r="AF335" s="210">
        <f t="shared" si="93"/>
        <v>1.0486111111094942</v>
      </c>
      <c r="AG335" s="210">
        <f t="shared" si="94"/>
        <v>0</v>
      </c>
    </row>
    <row r="336" spans="2:33" ht="15" customHeight="1" x14ac:dyDescent="0.3">
      <c r="B336" s="196" t="s">
        <v>5</v>
      </c>
      <c r="C336" s="197" t="s">
        <v>13</v>
      </c>
      <c r="D336" s="198" t="str">
        <f t="shared" si="76"/>
        <v>C</v>
      </c>
      <c r="E336" s="199">
        <v>44015.666666666664</v>
      </c>
      <c r="F336" s="200" t="s">
        <v>94</v>
      </c>
      <c r="G336" s="201">
        <v>6161.28</v>
      </c>
      <c r="H336" s="201">
        <v>6257.46</v>
      </c>
      <c r="I336" s="202">
        <f t="shared" si="77"/>
        <v>96.180000000000291</v>
      </c>
      <c r="J336" s="201">
        <v>5680.4</v>
      </c>
      <c r="K336" s="199">
        <v>44018.188194444447</v>
      </c>
      <c r="L336" s="201">
        <v>6232.91</v>
      </c>
      <c r="M336" s="203">
        <f t="shared" si="78"/>
        <v>-71.63</v>
      </c>
      <c r="N336" s="204">
        <f t="shared" si="79"/>
        <v>-0.74</v>
      </c>
      <c r="O336" s="205">
        <f t="shared" si="80"/>
        <v>0</v>
      </c>
      <c r="P336" s="206">
        <f t="shared" si="81"/>
        <v>0</v>
      </c>
      <c r="Q336" s="206">
        <f t="shared" si="82"/>
        <v>-0.74</v>
      </c>
      <c r="R3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226540</v>
      </c>
      <c r="T3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36" s="208">
        <f ca="1">IF(Tabla33610673[[#This Row],[Equity]]&lt;Tabla33610673[[#This Row],[Equity Peak]],(Tabla33610673[[#This Row],[Equity Peak]]-Tabla33610673[[#This Row],[Equity]])/Tabla33610673[[#This Row],[Equity Peak]],"")</f>
        <v>7.2963129680402666E-2</v>
      </c>
      <c r="V336" s="209">
        <f t="shared" si="83"/>
        <v>0</v>
      </c>
      <c r="W336" s="209">
        <f t="shared" si="84"/>
        <v>0</v>
      </c>
      <c r="X336" s="209">
        <f t="shared" si="85"/>
        <v>0</v>
      </c>
      <c r="Y336" s="209">
        <f t="shared" si="86"/>
        <v>0</v>
      </c>
      <c r="Z336" s="209">
        <f t="shared" si="87"/>
        <v>-0.74</v>
      </c>
      <c r="AA336" s="205">
        <f t="shared" si="88"/>
        <v>0</v>
      </c>
      <c r="AB336" s="209">
        <f t="shared" si="89"/>
        <v>0</v>
      </c>
      <c r="AC336" s="205">
        <f t="shared" si="90"/>
        <v>0</v>
      </c>
      <c r="AD336" s="210">
        <f t="shared" si="91"/>
        <v>2.5215277777824667</v>
      </c>
      <c r="AE336" s="210">
        <f t="shared" si="92"/>
        <v>0</v>
      </c>
      <c r="AF336" s="210">
        <f t="shared" si="93"/>
        <v>2.5215277777824667</v>
      </c>
      <c r="AG336" s="210">
        <f t="shared" si="94"/>
        <v>0</v>
      </c>
    </row>
    <row r="337" spans="2:33" ht="15" customHeight="1" x14ac:dyDescent="0.3">
      <c r="B337" s="196" t="s">
        <v>5</v>
      </c>
      <c r="C337" s="197" t="s">
        <v>15</v>
      </c>
      <c r="D337" s="198" t="str">
        <f t="shared" ref="D337:D400" si="95">IF(E337&lt;&gt;"",IF(K337&lt;&gt;"","C","O"),"")</f>
        <v>C</v>
      </c>
      <c r="E337" s="199">
        <v>44014.666666666664</v>
      </c>
      <c r="F337" s="200" t="s">
        <v>94</v>
      </c>
      <c r="G337" s="201">
        <v>6255.74</v>
      </c>
      <c r="H337" s="201">
        <v>6152.24</v>
      </c>
      <c r="I337" s="202">
        <f t="shared" ref="I337:I400" si="96">ABS(G337-H337)</f>
        <v>103.5</v>
      </c>
      <c r="J337" s="201">
        <v>6773.23</v>
      </c>
      <c r="K337" s="199">
        <v>44015.53402777778</v>
      </c>
      <c r="L337" s="201">
        <v>6178.48</v>
      </c>
      <c r="M337" s="203">
        <f t="shared" ref="M337:M400" si="97">ROUND(IF(C337="L",(L337-G337),(G337-L337)),4)</f>
        <v>-77.260000000000005</v>
      </c>
      <c r="N337" s="204">
        <f t="shared" ref="N337:N400" si="98">IFERROR(ROUND((M337/I337),2),"")</f>
        <v>-0.75</v>
      </c>
      <c r="O337" s="205">
        <f t="shared" ref="O337:O400" si="99">IF(D337="O",IF(N337&lt;0,N337,0),0)</f>
        <v>0</v>
      </c>
      <c r="P337" s="206">
        <f t="shared" ref="P337:P400" si="100">IF(N337&gt;= 0,N337,0)</f>
        <v>0</v>
      </c>
      <c r="Q337" s="206">
        <f t="shared" ref="Q337:Q400" si="101">IF(N337&lt;0,N337,0)</f>
        <v>-0.75</v>
      </c>
      <c r="R3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227280</v>
      </c>
      <c r="T3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37" s="208">
        <f ca="1">IF(Tabla33610673[[#This Row],[Equity]]&lt;Tabla33610673[[#This Row],[Equity Peak]],(Tabla33610673[[#This Row],[Equity Peak]]-Tabla33610673[[#This Row],[Equity]])/Tabla33610673[[#This Row],[Equity Peak]],"")</f>
        <v>6.9934934730122356E-2</v>
      </c>
      <c r="V337" s="209">
        <f t="shared" ref="V337:V400" si="102">IF(B337="FX",N337,0)</f>
        <v>0</v>
      </c>
      <c r="W337" s="209">
        <f t="shared" ref="W337:W400" si="103">IF(D337="O",IF(V337&lt;0,V337,0),0)</f>
        <v>0</v>
      </c>
      <c r="X337" s="209">
        <f t="shared" ref="X337:X400" si="104">IF(B337="COM",N337,0)</f>
        <v>0</v>
      </c>
      <c r="Y337" s="209">
        <f t="shared" ref="Y337:Y400" si="105">IF(D337="O",IF(X337&lt;0,X337,0),0)</f>
        <v>0</v>
      </c>
      <c r="Z337" s="209">
        <f t="shared" ref="Z337:Z400" si="106">IF(B337="IND",N337,0)</f>
        <v>-0.75</v>
      </c>
      <c r="AA337" s="205">
        <f t="shared" ref="AA337:AA400" si="107">IF(D337="O",IF(Z337&lt;0,Z337,0),0)</f>
        <v>0</v>
      </c>
      <c r="AB337" s="209">
        <f t="shared" ref="AB337:AB400" si="108">IF(B337="CRYPTO",N337,0)</f>
        <v>0</v>
      </c>
      <c r="AC337" s="205">
        <f t="shared" ref="AC337:AC400" si="109">IF(D337="O",IF(AB337&lt;0,AB337,0),0)</f>
        <v>0</v>
      </c>
      <c r="AD337" s="210">
        <f t="shared" ref="AD337:AD400" si="110">IF(K337&lt;&gt;"",K337-E337,0)</f>
        <v>0.867361111115315</v>
      </c>
      <c r="AE337" s="210">
        <f t="shared" ref="AE337:AE400" si="111">IF(N337&gt;0,AD337,0)</f>
        <v>0</v>
      </c>
      <c r="AF337" s="210">
        <f t="shared" ref="AF337:AF400" si="112">IF(N337&lt;0,AD337,0)</f>
        <v>0.867361111115315</v>
      </c>
      <c r="AG337" s="210">
        <f t="shared" ref="AG337:AG400" si="113">IF(N337=0,AD337,0)</f>
        <v>0</v>
      </c>
    </row>
    <row r="338" spans="2:33" ht="15" customHeight="1" x14ac:dyDescent="0.3">
      <c r="B338" s="196" t="s">
        <v>5</v>
      </c>
      <c r="C338" s="197" t="s">
        <v>13</v>
      </c>
      <c r="D338" s="198" t="str">
        <f t="shared" si="95"/>
        <v>C</v>
      </c>
      <c r="E338" s="199">
        <v>44012.5</v>
      </c>
      <c r="F338" s="200" t="s">
        <v>94</v>
      </c>
      <c r="G338" s="201">
        <v>6165.96</v>
      </c>
      <c r="H338" s="201">
        <v>6274.99</v>
      </c>
      <c r="I338" s="202">
        <f t="shared" si="96"/>
        <v>109.02999999999975</v>
      </c>
      <c r="J338" s="201">
        <v>5620.8</v>
      </c>
      <c r="K338" s="199">
        <v>44014.654861111114</v>
      </c>
      <c r="L338" s="201">
        <v>6230.72</v>
      </c>
      <c r="M338" s="203">
        <f t="shared" si="97"/>
        <v>-64.760000000000005</v>
      </c>
      <c r="N338" s="204">
        <f t="shared" si="98"/>
        <v>-0.59</v>
      </c>
      <c r="O338" s="205">
        <f t="shared" si="99"/>
        <v>0</v>
      </c>
      <c r="P338" s="206">
        <f t="shared" si="100"/>
        <v>0</v>
      </c>
      <c r="Q338" s="206">
        <f t="shared" si="101"/>
        <v>-0.59</v>
      </c>
      <c r="R3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228030</v>
      </c>
      <c r="T3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38" s="208">
        <f ca="1">IF(Tabla33610673[[#This Row],[Equity]]&lt;Tabla33610673[[#This Row],[Equity Peak]],(Tabla33610673[[#This Row],[Equity Peak]]-Tabla33610673[[#This Row],[Equity]])/Tabla33610673[[#This Row],[Equity Peak]],"")</f>
        <v>6.6865818226459872E-2</v>
      </c>
      <c r="V338" s="209">
        <f t="shared" si="102"/>
        <v>0</v>
      </c>
      <c r="W338" s="209">
        <f t="shared" si="103"/>
        <v>0</v>
      </c>
      <c r="X338" s="209">
        <f t="shared" si="104"/>
        <v>0</v>
      </c>
      <c r="Y338" s="209">
        <f t="shared" si="105"/>
        <v>0</v>
      </c>
      <c r="Z338" s="209">
        <f t="shared" si="106"/>
        <v>-0.59</v>
      </c>
      <c r="AA338" s="205">
        <f t="shared" si="107"/>
        <v>0</v>
      </c>
      <c r="AB338" s="209">
        <f t="shared" si="108"/>
        <v>0</v>
      </c>
      <c r="AC338" s="205">
        <f t="shared" si="109"/>
        <v>0</v>
      </c>
      <c r="AD338" s="210">
        <f t="shared" si="110"/>
        <v>2.1548611111138598</v>
      </c>
      <c r="AE338" s="210">
        <f t="shared" si="111"/>
        <v>0</v>
      </c>
      <c r="AF338" s="210">
        <f t="shared" si="112"/>
        <v>2.1548611111138598</v>
      </c>
      <c r="AG338" s="210">
        <f t="shared" si="113"/>
        <v>0</v>
      </c>
    </row>
    <row r="339" spans="2:33" ht="15" customHeight="1" x14ac:dyDescent="0.3">
      <c r="B339" s="196" t="s">
        <v>84</v>
      </c>
      <c r="C339" s="197" t="s">
        <v>13</v>
      </c>
      <c r="D339" s="198" t="str">
        <f t="shared" si="95"/>
        <v>C</v>
      </c>
      <c r="E339" s="199">
        <v>44008.166666666664</v>
      </c>
      <c r="F339" s="200" t="s">
        <v>82</v>
      </c>
      <c r="G339" s="201">
        <v>232.19</v>
      </c>
      <c r="H339" s="201">
        <v>238.93</v>
      </c>
      <c r="I339" s="202">
        <f t="shared" si="96"/>
        <v>6.7400000000000091</v>
      </c>
      <c r="J339" s="201">
        <v>106.29</v>
      </c>
      <c r="K339" s="199">
        <v>44013.747916666667</v>
      </c>
      <c r="L339" s="201">
        <v>232.27</v>
      </c>
      <c r="M339" s="203">
        <f t="shared" si="97"/>
        <v>-0.08</v>
      </c>
      <c r="N339" s="204">
        <f t="shared" si="98"/>
        <v>-0.01</v>
      </c>
      <c r="O339" s="205">
        <f t="shared" si="99"/>
        <v>0</v>
      </c>
      <c r="P339" s="206">
        <f t="shared" si="100"/>
        <v>0</v>
      </c>
      <c r="Q339" s="206">
        <f t="shared" si="101"/>
        <v>-0.01</v>
      </c>
      <c r="R3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228620</v>
      </c>
      <c r="T3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39" s="208">
        <f ca="1">IF(Tabla33610673[[#This Row],[Equity]]&lt;Tabla33610673[[#This Row],[Equity Peak]],(Tabla33610673[[#This Row],[Equity Peak]]-Tabla33610673[[#This Row],[Equity]])/Tabla33610673[[#This Row],[Equity Peak]],"")</f>
        <v>6.4451446576912055E-2</v>
      </c>
      <c r="V339" s="209">
        <f t="shared" si="102"/>
        <v>0</v>
      </c>
      <c r="W339" s="209">
        <f t="shared" si="103"/>
        <v>0</v>
      </c>
      <c r="X339" s="209">
        <f t="shared" si="104"/>
        <v>0</v>
      </c>
      <c r="Y339" s="209">
        <f t="shared" si="105"/>
        <v>0</v>
      </c>
      <c r="Z339" s="209">
        <f t="shared" si="106"/>
        <v>0</v>
      </c>
      <c r="AA339" s="205">
        <f t="shared" si="107"/>
        <v>0</v>
      </c>
      <c r="AB339" s="209">
        <f t="shared" si="108"/>
        <v>-0.01</v>
      </c>
      <c r="AC339" s="205">
        <f t="shared" si="109"/>
        <v>0</v>
      </c>
      <c r="AD339" s="210">
        <f t="shared" si="110"/>
        <v>5.5812500000029104</v>
      </c>
      <c r="AE339" s="210">
        <f t="shared" si="111"/>
        <v>0</v>
      </c>
      <c r="AF339" s="210">
        <f t="shared" si="112"/>
        <v>5.5812500000029104</v>
      </c>
      <c r="AG339" s="210">
        <f t="shared" si="113"/>
        <v>0</v>
      </c>
    </row>
    <row r="340" spans="2:33" ht="15" customHeight="1" x14ac:dyDescent="0.3">
      <c r="B340" s="196" t="s">
        <v>7</v>
      </c>
      <c r="C340" s="197" t="s">
        <v>15</v>
      </c>
      <c r="D340" s="198" t="str">
        <f t="shared" si="95"/>
        <v>C</v>
      </c>
      <c r="E340" s="199">
        <v>44011.166666666664</v>
      </c>
      <c r="F340" s="200" t="s">
        <v>118</v>
      </c>
      <c r="G340" s="201">
        <v>120.465</v>
      </c>
      <c r="H340" s="201">
        <v>119.82299999999999</v>
      </c>
      <c r="I340" s="202">
        <f t="shared" si="96"/>
        <v>0.64200000000001012</v>
      </c>
      <c r="J340" s="201">
        <v>123.03100000000001</v>
      </c>
      <c r="K340" s="199">
        <v>44013.509722222225</v>
      </c>
      <c r="L340" s="201">
        <v>120.71299999999999</v>
      </c>
      <c r="M340" s="203">
        <f t="shared" si="97"/>
        <v>0.248</v>
      </c>
      <c r="N340" s="204">
        <f t="shared" si="98"/>
        <v>0.39</v>
      </c>
      <c r="O340" s="205">
        <f t="shared" si="99"/>
        <v>0</v>
      </c>
      <c r="P340" s="206">
        <f t="shared" si="100"/>
        <v>0.39</v>
      </c>
      <c r="Q340" s="206">
        <f t="shared" si="101"/>
        <v>0</v>
      </c>
      <c r="R3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228630</v>
      </c>
      <c r="T3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40" s="208">
        <f ca="1">IF(Tabla33610673[[#This Row],[Equity]]&lt;Tabla33610673[[#This Row],[Equity Peak]],(Tabla33610673[[#This Row],[Equity Peak]]-Tabla33610673[[#This Row],[Equity]])/Tabla33610673[[#This Row],[Equity Peak]],"")</f>
        <v>6.4410525023529897E-2</v>
      </c>
      <c r="V340" s="209">
        <f t="shared" si="102"/>
        <v>0.39</v>
      </c>
      <c r="W340" s="209">
        <f t="shared" si="103"/>
        <v>0</v>
      </c>
      <c r="X340" s="209">
        <f t="shared" si="104"/>
        <v>0</v>
      </c>
      <c r="Y340" s="209">
        <f t="shared" si="105"/>
        <v>0</v>
      </c>
      <c r="Z340" s="209">
        <f t="shared" si="106"/>
        <v>0</v>
      </c>
      <c r="AA340" s="205">
        <f t="shared" si="107"/>
        <v>0</v>
      </c>
      <c r="AB340" s="209">
        <f t="shared" si="108"/>
        <v>0</v>
      </c>
      <c r="AC340" s="205">
        <f t="shared" si="109"/>
        <v>0</v>
      </c>
      <c r="AD340" s="210">
        <f t="shared" si="110"/>
        <v>2.3430555555605679</v>
      </c>
      <c r="AE340" s="210">
        <f t="shared" si="111"/>
        <v>2.3430555555605679</v>
      </c>
      <c r="AF340" s="210">
        <f t="shared" si="112"/>
        <v>0</v>
      </c>
      <c r="AG340" s="210">
        <f t="shared" si="113"/>
        <v>0</v>
      </c>
    </row>
    <row r="341" spans="2:33" ht="15" customHeight="1" x14ac:dyDescent="0.3">
      <c r="B341" s="196" t="s">
        <v>5</v>
      </c>
      <c r="C341" s="197" t="s">
        <v>15</v>
      </c>
      <c r="D341" s="198" t="str">
        <f t="shared" si="95"/>
        <v>C</v>
      </c>
      <c r="E341" s="199">
        <v>44012.166666666664</v>
      </c>
      <c r="F341" s="200" t="s">
        <v>94</v>
      </c>
      <c r="G341" s="201">
        <v>6240.02</v>
      </c>
      <c r="H341" s="201">
        <v>6136</v>
      </c>
      <c r="I341" s="202">
        <f t="shared" si="96"/>
        <v>104.02000000000044</v>
      </c>
      <c r="J341" s="201">
        <v>6760.13</v>
      </c>
      <c r="K341" s="199">
        <v>44012.47152777778</v>
      </c>
      <c r="L341" s="201">
        <v>6171.75</v>
      </c>
      <c r="M341" s="203">
        <f t="shared" si="97"/>
        <v>-68.27</v>
      </c>
      <c r="N341" s="204">
        <f t="shared" si="98"/>
        <v>-0.66</v>
      </c>
      <c r="O341" s="205">
        <f t="shared" si="99"/>
        <v>0</v>
      </c>
      <c r="P341" s="206">
        <f t="shared" si="100"/>
        <v>0</v>
      </c>
      <c r="Q341" s="206">
        <f t="shared" si="101"/>
        <v>-0.66</v>
      </c>
      <c r="R3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228240</v>
      </c>
      <c r="T3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41" s="208">
        <f ca="1">IF(Tabla33610673[[#This Row],[Equity]]&lt;Tabla33610673[[#This Row],[Equity Peak]],(Tabla33610673[[#This Row],[Equity Peak]]-Tabla33610673[[#This Row],[Equity]])/Tabla33610673[[#This Row],[Equity Peak]],"")</f>
        <v>6.6006465605434383E-2</v>
      </c>
      <c r="V341" s="209">
        <f t="shared" si="102"/>
        <v>0</v>
      </c>
      <c r="W341" s="209">
        <f t="shared" si="103"/>
        <v>0</v>
      </c>
      <c r="X341" s="209">
        <f t="shared" si="104"/>
        <v>0</v>
      </c>
      <c r="Y341" s="209">
        <f t="shared" si="105"/>
        <v>0</v>
      </c>
      <c r="Z341" s="209">
        <f t="shared" si="106"/>
        <v>-0.66</v>
      </c>
      <c r="AA341" s="205">
        <f t="shared" si="107"/>
        <v>0</v>
      </c>
      <c r="AB341" s="209">
        <f t="shared" si="108"/>
        <v>0</v>
      </c>
      <c r="AC341" s="205">
        <f t="shared" si="109"/>
        <v>0</v>
      </c>
      <c r="AD341" s="210">
        <f t="shared" si="110"/>
        <v>0.304861111115315</v>
      </c>
      <c r="AE341" s="210">
        <f t="shared" si="111"/>
        <v>0</v>
      </c>
      <c r="AF341" s="210">
        <f t="shared" si="112"/>
        <v>0.304861111115315</v>
      </c>
      <c r="AG341" s="210">
        <f t="shared" si="113"/>
        <v>0</v>
      </c>
    </row>
    <row r="342" spans="2:33" ht="15" customHeight="1" x14ac:dyDescent="0.3">
      <c r="B342" s="196" t="s">
        <v>5</v>
      </c>
      <c r="C342" s="197" t="s">
        <v>13</v>
      </c>
      <c r="D342" s="198" t="str">
        <f t="shared" si="95"/>
        <v>C</v>
      </c>
      <c r="E342" s="199">
        <v>44011.041666666664</v>
      </c>
      <c r="F342" s="200" t="s">
        <v>95</v>
      </c>
      <c r="G342" s="201">
        <v>24926.3</v>
      </c>
      <c r="H342" s="201">
        <v>25357.439999999999</v>
      </c>
      <c r="I342" s="202">
        <f t="shared" si="96"/>
        <v>431.13999999999942</v>
      </c>
      <c r="J342" s="201">
        <v>23201.73</v>
      </c>
      <c r="K342" s="199">
        <v>44011.720833333333</v>
      </c>
      <c r="L342" s="201">
        <v>25357.439999999999</v>
      </c>
      <c r="M342" s="203">
        <f t="shared" si="97"/>
        <v>-431.14</v>
      </c>
      <c r="N342" s="204">
        <f t="shared" si="98"/>
        <v>-1</v>
      </c>
      <c r="O342" s="205">
        <f t="shared" si="99"/>
        <v>0</v>
      </c>
      <c r="P342" s="206">
        <f t="shared" si="100"/>
        <v>0</v>
      </c>
      <c r="Q342" s="206">
        <f t="shared" si="101"/>
        <v>-1</v>
      </c>
      <c r="R3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228900</v>
      </c>
      <c r="T3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42" s="208">
        <f ca="1">IF(Tabla33610673[[#This Row],[Equity]]&lt;Tabla33610673[[#This Row],[Equity Peak]],(Tabla33610673[[#This Row],[Equity Peak]]-Tabla33610673[[#This Row],[Equity]])/Tabla33610673[[#This Row],[Equity Peak]],"")</f>
        <v>6.3305643082211399E-2</v>
      </c>
      <c r="V342" s="209">
        <f t="shared" si="102"/>
        <v>0</v>
      </c>
      <c r="W342" s="209">
        <f t="shared" si="103"/>
        <v>0</v>
      </c>
      <c r="X342" s="209">
        <f t="shared" si="104"/>
        <v>0</v>
      </c>
      <c r="Y342" s="209">
        <f t="shared" si="105"/>
        <v>0</v>
      </c>
      <c r="Z342" s="209">
        <f t="shared" si="106"/>
        <v>-1</v>
      </c>
      <c r="AA342" s="205">
        <f t="shared" si="107"/>
        <v>0</v>
      </c>
      <c r="AB342" s="209">
        <f t="shared" si="108"/>
        <v>0</v>
      </c>
      <c r="AC342" s="205">
        <f t="shared" si="109"/>
        <v>0</v>
      </c>
      <c r="AD342" s="210">
        <f t="shared" si="110"/>
        <v>0.67916666666860692</v>
      </c>
      <c r="AE342" s="210">
        <f t="shared" si="111"/>
        <v>0</v>
      </c>
      <c r="AF342" s="210">
        <f t="shared" si="112"/>
        <v>0.67916666666860692</v>
      </c>
      <c r="AG342" s="210">
        <f t="shared" si="113"/>
        <v>0</v>
      </c>
    </row>
    <row r="343" spans="2:33" ht="15" customHeight="1" x14ac:dyDescent="0.3">
      <c r="B343" s="196" t="s">
        <v>7</v>
      </c>
      <c r="C343" s="197" t="s">
        <v>13</v>
      </c>
      <c r="D343" s="198" t="str">
        <f t="shared" si="95"/>
        <v>C</v>
      </c>
      <c r="E343" s="199">
        <v>44008.333333333336</v>
      </c>
      <c r="F343" s="200" t="s">
        <v>118</v>
      </c>
      <c r="G343" s="201">
        <v>120.184</v>
      </c>
      <c r="H343" s="201">
        <v>120.917</v>
      </c>
      <c r="I343" s="202">
        <f t="shared" si="96"/>
        <v>0.73300000000000409</v>
      </c>
      <c r="J343" s="201">
        <v>117.251</v>
      </c>
      <c r="K343" s="199">
        <v>44011.166666666664</v>
      </c>
      <c r="L343" s="201">
        <v>120.465</v>
      </c>
      <c r="M343" s="203">
        <f t="shared" si="97"/>
        <v>-0.28100000000000003</v>
      </c>
      <c r="N343" s="204">
        <f t="shared" si="98"/>
        <v>-0.38</v>
      </c>
      <c r="O343" s="205">
        <f t="shared" si="99"/>
        <v>0</v>
      </c>
      <c r="P343" s="206">
        <f t="shared" si="100"/>
        <v>0</v>
      </c>
      <c r="Q343" s="206">
        <f t="shared" si="101"/>
        <v>-0.38</v>
      </c>
      <c r="R3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229900</v>
      </c>
      <c r="T3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43" s="208">
        <f ca="1">IF(Tabla33610673[[#This Row],[Equity]]&lt;Tabla33610673[[#This Row],[Equity Peak]],(Tabla33610673[[#This Row],[Equity Peak]]-Tabla33610673[[#This Row],[Equity]])/Tabla33610673[[#This Row],[Equity Peak]],"")</f>
        <v>5.9213487743994764E-2</v>
      </c>
      <c r="V343" s="209">
        <f t="shared" si="102"/>
        <v>-0.38</v>
      </c>
      <c r="W343" s="209">
        <f t="shared" si="103"/>
        <v>0</v>
      </c>
      <c r="X343" s="209">
        <f t="shared" si="104"/>
        <v>0</v>
      </c>
      <c r="Y343" s="209">
        <f t="shared" si="105"/>
        <v>0</v>
      </c>
      <c r="Z343" s="209">
        <f t="shared" si="106"/>
        <v>0</v>
      </c>
      <c r="AA343" s="205">
        <f t="shared" si="107"/>
        <v>0</v>
      </c>
      <c r="AB343" s="209">
        <f t="shared" si="108"/>
        <v>0</v>
      </c>
      <c r="AC343" s="205">
        <f t="shared" si="109"/>
        <v>0</v>
      </c>
      <c r="AD343" s="210">
        <f t="shared" si="110"/>
        <v>2.8333333333284827</v>
      </c>
      <c r="AE343" s="210">
        <f t="shared" si="111"/>
        <v>0</v>
      </c>
      <c r="AF343" s="210">
        <f t="shared" si="112"/>
        <v>2.8333333333284827</v>
      </c>
      <c r="AG343" s="210">
        <f t="shared" si="113"/>
        <v>0</v>
      </c>
    </row>
    <row r="344" spans="2:33" ht="15" customHeight="1" x14ac:dyDescent="0.3">
      <c r="B344" s="196" t="s">
        <v>7</v>
      </c>
      <c r="C344" s="197" t="s">
        <v>13</v>
      </c>
      <c r="D344" s="198" t="str">
        <f t="shared" si="95"/>
        <v>C</v>
      </c>
      <c r="E344" s="199">
        <v>44007.5</v>
      </c>
      <c r="F344" s="200" t="s">
        <v>120</v>
      </c>
      <c r="G344" s="201">
        <v>1.6316999999999999</v>
      </c>
      <c r="H344" s="201">
        <v>1.6409800000000001</v>
      </c>
      <c r="I344" s="202">
        <f t="shared" si="96"/>
        <v>9.280000000000177E-3</v>
      </c>
      <c r="J344" s="201">
        <v>1.53271</v>
      </c>
      <c r="K344" s="199">
        <v>44008.804861111108</v>
      </c>
      <c r="L344" s="201">
        <v>1.6369800000000001</v>
      </c>
      <c r="M344" s="203">
        <f t="shared" si="97"/>
        <v>-5.3E-3</v>
      </c>
      <c r="N344" s="204">
        <f t="shared" si="98"/>
        <v>-0.56999999999999995</v>
      </c>
      <c r="O344" s="205">
        <f t="shared" si="99"/>
        <v>0</v>
      </c>
      <c r="P344" s="206">
        <f t="shared" si="100"/>
        <v>0</v>
      </c>
      <c r="Q344" s="206">
        <f t="shared" si="101"/>
        <v>-0.56999999999999995</v>
      </c>
      <c r="R3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230280</v>
      </c>
      <c r="T3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44" s="208">
        <f ca="1">IF(Tabla33610673[[#This Row],[Equity]]&lt;Tabla33610673[[#This Row],[Equity Peak]],(Tabla33610673[[#This Row],[Equity Peak]]-Tabla33610673[[#This Row],[Equity]])/Tabla33610673[[#This Row],[Equity Peak]],"")</f>
        <v>5.7658468715472443E-2</v>
      </c>
      <c r="V344" s="209">
        <f t="shared" si="102"/>
        <v>-0.56999999999999995</v>
      </c>
      <c r="W344" s="209">
        <f t="shared" si="103"/>
        <v>0</v>
      </c>
      <c r="X344" s="209">
        <f t="shared" si="104"/>
        <v>0</v>
      </c>
      <c r="Y344" s="209">
        <f t="shared" si="105"/>
        <v>0</v>
      </c>
      <c r="Z344" s="209">
        <f t="shared" si="106"/>
        <v>0</v>
      </c>
      <c r="AA344" s="205">
        <f t="shared" si="107"/>
        <v>0</v>
      </c>
      <c r="AB344" s="209">
        <f t="shared" si="108"/>
        <v>0</v>
      </c>
      <c r="AC344" s="205">
        <f t="shared" si="109"/>
        <v>0</v>
      </c>
      <c r="AD344" s="210">
        <f t="shared" si="110"/>
        <v>1.304861111108039</v>
      </c>
      <c r="AE344" s="210">
        <f t="shared" si="111"/>
        <v>0</v>
      </c>
      <c r="AF344" s="210">
        <f t="shared" si="112"/>
        <v>1.304861111108039</v>
      </c>
      <c r="AG344" s="210">
        <f t="shared" si="113"/>
        <v>0</v>
      </c>
    </row>
    <row r="345" spans="2:33" ht="15" customHeight="1" x14ac:dyDescent="0.3">
      <c r="B345" s="196" t="s">
        <v>7</v>
      </c>
      <c r="C345" s="197" t="s">
        <v>15</v>
      </c>
      <c r="D345" s="198" t="str">
        <f t="shared" si="95"/>
        <v>C</v>
      </c>
      <c r="E345" s="199">
        <v>44005.166666666664</v>
      </c>
      <c r="F345" s="200" t="s">
        <v>118</v>
      </c>
      <c r="G345" s="201">
        <v>120.512</v>
      </c>
      <c r="H345" s="201">
        <v>119.637</v>
      </c>
      <c r="I345" s="202">
        <f t="shared" si="96"/>
        <v>0.875</v>
      </c>
      <c r="J345" s="201">
        <v>124.01300000000001</v>
      </c>
      <c r="K345" s="199">
        <v>44008.333333333336</v>
      </c>
      <c r="L345" s="201">
        <v>120.184</v>
      </c>
      <c r="M345" s="203">
        <f t="shared" si="97"/>
        <v>-0.32800000000000001</v>
      </c>
      <c r="N345" s="204">
        <f t="shared" si="98"/>
        <v>-0.37</v>
      </c>
      <c r="O345" s="205">
        <f t="shared" si="99"/>
        <v>0</v>
      </c>
      <c r="P345" s="206">
        <f t="shared" si="100"/>
        <v>0</v>
      </c>
      <c r="Q345" s="206">
        <f t="shared" si="101"/>
        <v>-0.37</v>
      </c>
      <c r="R3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230850</v>
      </c>
      <c r="T3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45" s="208">
        <f ca="1">IF(Tabla33610673[[#This Row],[Equity]]&lt;Tabla33610673[[#This Row],[Equity Peak]],(Tabla33610673[[#This Row],[Equity Peak]]-Tabla33610673[[#This Row],[Equity]])/Tabla33610673[[#This Row],[Equity Peak]],"")</f>
        <v>5.5325940172688957E-2</v>
      </c>
      <c r="V345" s="209">
        <f t="shared" si="102"/>
        <v>-0.37</v>
      </c>
      <c r="W345" s="209">
        <f t="shared" si="103"/>
        <v>0</v>
      </c>
      <c r="X345" s="209">
        <f t="shared" si="104"/>
        <v>0</v>
      </c>
      <c r="Y345" s="209">
        <f t="shared" si="105"/>
        <v>0</v>
      </c>
      <c r="Z345" s="209">
        <f t="shared" si="106"/>
        <v>0</v>
      </c>
      <c r="AA345" s="205">
        <f t="shared" si="107"/>
        <v>0</v>
      </c>
      <c r="AB345" s="209">
        <f t="shared" si="108"/>
        <v>0</v>
      </c>
      <c r="AC345" s="205">
        <f t="shared" si="109"/>
        <v>0</v>
      </c>
      <c r="AD345" s="210">
        <f t="shared" si="110"/>
        <v>3.1666666666715173</v>
      </c>
      <c r="AE345" s="210">
        <f t="shared" si="111"/>
        <v>0</v>
      </c>
      <c r="AF345" s="210">
        <f t="shared" si="112"/>
        <v>3.1666666666715173</v>
      </c>
      <c r="AG345" s="210">
        <f t="shared" si="113"/>
        <v>0</v>
      </c>
    </row>
    <row r="346" spans="2:33" ht="15" customHeight="1" x14ac:dyDescent="0.3">
      <c r="B346" s="196" t="s">
        <v>84</v>
      </c>
      <c r="C346" s="197" t="s">
        <v>15</v>
      </c>
      <c r="D346" s="198" t="str">
        <f t="shared" si="95"/>
        <v>C</v>
      </c>
      <c r="E346" s="199">
        <v>44007.833333333336</v>
      </c>
      <c r="F346" s="200" t="s">
        <v>82</v>
      </c>
      <c r="G346" s="201">
        <v>235.52</v>
      </c>
      <c r="H346" s="201">
        <v>228.79</v>
      </c>
      <c r="I346" s="202">
        <f t="shared" si="96"/>
        <v>6.7300000000000182</v>
      </c>
      <c r="J346" s="201">
        <v>361.18</v>
      </c>
      <c r="K346" s="199">
        <v>44008.166666666664</v>
      </c>
      <c r="L346" s="201">
        <v>232.19</v>
      </c>
      <c r="M346" s="203">
        <f t="shared" si="97"/>
        <v>-3.33</v>
      </c>
      <c r="N346" s="204">
        <f t="shared" si="98"/>
        <v>-0.49</v>
      </c>
      <c r="O346" s="205">
        <f t="shared" si="99"/>
        <v>0</v>
      </c>
      <c r="P346" s="206">
        <f t="shared" si="100"/>
        <v>0</v>
      </c>
      <c r="Q346" s="206">
        <f t="shared" si="101"/>
        <v>-0.49</v>
      </c>
      <c r="R3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231220</v>
      </c>
      <c r="T3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46" s="208">
        <f ca="1">IF(Tabla33610673[[#This Row],[Equity]]&lt;Tabla33610673[[#This Row],[Equity Peak]],(Tabla33610673[[#This Row],[Equity Peak]]-Tabla33610673[[#This Row],[Equity]])/Tabla33610673[[#This Row],[Equity Peak]],"")</f>
        <v>5.3811842697548802E-2</v>
      </c>
      <c r="V346" s="209">
        <f t="shared" si="102"/>
        <v>0</v>
      </c>
      <c r="W346" s="209">
        <f t="shared" si="103"/>
        <v>0</v>
      </c>
      <c r="X346" s="209">
        <f t="shared" si="104"/>
        <v>0</v>
      </c>
      <c r="Y346" s="209">
        <f t="shared" si="105"/>
        <v>0</v>
      </c>
      <c r="Z346" s="209">
        <f t="shared" si="106"/>
        <v>0</v>
      </c>
      <c r="AA346" s="205">
        <f t="shared" si="107"/>
        <v>0</v>
      </c>
      <c r="AB346" s="209">
        <f t="shared" si="108"/>
        <v>-0.49</v>
      </c>
      <c r="AC346" s="205">
        <f t="shared" si="109"/>
        <v>0</v>
      </c>
      <c r="AD346" s="210">
        <f t="shared" si="110"/>
        <v>0.33333333332848269</v>
      </c>
      <c r="AE346" s="210">
        <f t="shared" si="111"/>
        <v>0</v>
      </c>
      <c r="AF346" s="210">
        <f t="shared" si="112"/>
        <v>0.33333333332848269</v>
      </c>
      <c r="AG346" s="210">
        <f t="shared" si="113"/>
        <v>0</v>
      </c>
    </row>
    <row r="347" spans="2:33" ht="15" customHeight="1" x14ac:dyDescent="0.3">
      <c r="B347" s="196" t="s">
        <v>5</v>
      </c>
      <c r="C347" s="197" t="s">
        <v>13</v>
      </c>
      <c r="D347" s="198" t="str">
        <f t="shared" si="95"/>
        <v>C</v>
      </c>
      <c r="E347" s="199">
        <v>44006.833333333336</v>
      </c>
      <c r="F347" s="200" t="s">
        <v>94</v>
      </c>
      <c r="G347" s="201">
        <v>6138.51</v>
      </c>
      <c r="H347" s="201">
        <v>6253.87</v>
      </c>
      <c r="I347" s="202">
        <f t="shared" si="96"/>
        <v>115.35999999999967</v>
      </c>
      <c r="J347" s="201">
        <v>5561.73</v>
      </c>
      <c r="K347" s="199">
        <v>44007.926388888889</v>
      </c>
      <c r="L347" s="201">
        <v>6191.02</v>
      </c>
      <c r="M347" s="203">
        <f t="shared" si="97"/>
        <v>-52.51</v>
      </c>
      <c r="N347" s="204">
        <f t="shared" si="98"/>
        <v>-0.46</v>
      </c>
      <c r="O347" s="205">
        <f t="shared" si="99"/>
        <v>0</v>
      </c>
      <c r="P347" s="206">
        <f t="shared" si="100"/>
        <v>0</v>
      </c>
      <c r="Q347" s="206">
        <f t="shared" si="101"/>
        <v>-0.46</v>
      </c>
      <c r="R3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231710</v>
      </c>
      <c r="T3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47" s="208">
        <f ca="1">IF(Tabla33610673[[#This Row],[Equity]]&lt;Tabla33610673[[#This Row],[Equity Peak]],(Tabla33610673[[#This Row],[Equity Peak]]-Tabla33610673[[#This Row],[Equity]])/Tabla33610673[[#This Row],[Equity Peak]],"")</f>
        <v>5.1806686581822643E-2</v>
      </c>
      <c r="V347" s="209">
        <f t="shared" si="102"/>
        <v>0</v>
      </c>
      <c r="W347" s="209">
        <f t="shared" si="103"/>
        <v>0</v>
      </c>
      <c r="X347" s="209">
        <f t="shared" si="104"/>
        <v>0</v>
      </c>
      <c r="Y347" s="209">
        <f t="shared" si="105"/>
        <v>0</v>
      </c>
      <c r="Z347" s="209">
        <f t="shared" si="106"/>
        <v>-0.46</v>
      </c>
      <c r="AA347" s="205">
        <f t="shared" si="107"/>
        <v>0</v>
      </c>
      <c r="AB347" s="209">
        <f t="shared" si="108"/>
        <v>0</v>
      </c>
      <c r="AC347" s="205">
        <f t="shared" si="109"/>
        <v>0</v>
      </c>
      <c r="AD347" s="210">
        <f t="shared" si="110"/>
        <v>1.0930555555532919</v>
      </c>
      <c r="AE347" s="210">
        <f t="shared" si="111"/>
        <v>0</v>
      </c>
      <c r="AF347" s="210">
        <f t="shared" si="112"/>
        <v>1.0930555555532919</v>
      </c>
      <c r="AG347" s="210">
        <f t="shared" si="113"/>
        <v>0</v>
      </c>
    </row>
    <row r="348" spans="2:33" ht="15" customHeight="1" x14ac:dyDescent="0.3">
      <c r="B348" s="196" t="s">
        <v>84</v>
      </c>
      <c r="C348" s="197" t="s">
        <v>13</v>
      </c>
      <c r="D348" s="198" t="str">
        <f t="shared" si="95"/>
        <v>C</v>
      </c>
      <c r="E348" s="199">
        <v>44007.666666666664</v>
      </c>
      <c r="F348" s="200" t="s">
        <v>82</v>
      </c>
      <c r="G348" s="201">
        <v>231.35</v>
      </c>
      <c r="H348" s="201">
        <v>238.1</v>
      </c>
      <c r="I348" s="202">
        <f t="shared" si="96"/>
        <v>6.75</v>
      </c>
      <c r="J348" s="201">
        <v>105.43</v>
      </c>
      <c r="K348" s="199">
        <v>44007.833333333336</v>
      </c>
      <c r="L348" s="201">
        <v>235.52</v>
      </c>
      <c r="M348" s="203">
        <f t="shared" si="97"/>
        <v>-4.17</v>
      </c>
      <c r="N348" s="204">
        <f t="shared" si="98"/>
        <v>-0.62</v>
      </c>
      <c r="O348" s="205">
        <f t="shared" si="99"/>
        <v>0</v>
      </c>
      <c r="P348" s="206">
        <f t="shared" si="100"/>
        <v>0</v>
      </c>
      <c r="Q348" s="206">
        <f t="shared" si="101"/>
        <v>-0.62</v>
      </c>
      <c r="R3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232170</v>
      </c>
      <c r="T3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48" s="208">
        <f ca="1">IF(Tabla33610673[[#This Row],[Equity]]&lt;Tabla33610673[[#This Row],[Equity Peak]],(Tabla33610673[[#This Row],[Equity Peak]]-Tabla33610673[[#This Row],[Equity]])/Tabla33610673[[#This Row],[Equity Peak]],"")</f>
        <v>4.9924295126242989E-2</v>
      </c>
      <c r="V348" s="209">
        <f t="shared" si="102"/>
        <v>0</v>
      </c>
      <c r="W348" s="209">
        <f t="shared" si="103"/>
        <v>0</v>
      </c>
      <c r="X348" s="209">
        <f t="shared" si="104"/>
        <v>0</v>
      </c>
      <c r="Y348" s="209">
        <f t="shared" si="105"/>
        <v>0</v>
      </c>
      <c r="Z348" s="209">
        <f t="shared" si="106"/>
        <v>0</v>
      </c>
      <c r="AA348" s="205">
        <f t="shared" si="107"/>
        <v>0</v>
      </c>
      <c r="AB348" s="209">
        <f t="shared" si="108"/>
        <v>-0.62</v>
      </c>
      <c r="AC348" s="205">
        <f t="shared" si="109"/>
        <v>0</v>
      </c>
      <c r="AD348" s="210">
        <f t="shared" si="110"/>
        <v>0.16666666667151731</v>
      </c>
      <c r="AE348" s="210">
        <f t="shared" si="111"/>
        <v>0</v>
      </c>
      <c r="AF348" s="210">
        <f t="shared" si="112"/>
        <v>0.16666666667151731</v>
      </c>
      <c r="AG348" s="210">
        <f t="shared" si="113"/>
        <v>0</v>
      </c>
    </row>
    <row r="349" spans="2:33" ht="15" customHeight="1" x14ac:dyDescent="0.3">
      <c r="B349" s="196" t="s">
        <v>7</v>
      </c>
      <c r="C349" s="197" t="s">
        <v>15</v>
      </c>
      <c r="D349" s="198" t="str">
        <f t="shared" si="95"/>
        <v>C</v>
      </c>
      <c r="E349" s="199">
        <v>44005.017361111109</v>
      </c>
      <c r="F349" s="200" t="s">
        <v>121</v>
      </c>
      <c r="G349" s="201">
        <v>0.69016</v>
      </c>
      <c r="H349" s="201">
        <v>0.68506999999999996</v>
      </c>
      <c r="I349" s="202">
        <f t="shared" si="96"/>
        <v>5.0900000000000389E-3</v>
      </c>
      <c r="J349" s="201">
        <v>0.71728999999999998</v>
      </c>
      <c r="K349" s="199">
        <v>44007.129861111112</v>
      </c>
      <c r="L349" s="201">
        <v>0.68506999999999996</v>
      </c>
      <c r="M349" s="203">
        <f t="shared" si="97"/>
        <v>-5.1000000000000004E-3</v>
      </c>
      <c r="N349" s="204">
        <f t="shared" si="98"/>
        <v>-1</v>
      </c>
      <c r="O349" s="205">
        <f t="shared" si="99"/>
        <v>0</v>
      </c>
      <c r="P349" s="206">
        <f t="shared" si="100"/>
        <v>0</v>
      </c>
      <c r="Q349" s="206">
        <f t="shared" si="101"/>
        <v>-1</v>
      </c>
      <c r="R3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232790</v>
      </c>
      <c r="T3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49" s="208">
        <f ca="1">IF(Tabla33610673[[#This Row],[Equity]]&lt;Tabla33610673[[#This Row],[Equity Peak]],(Tabla33610673[[#This Row],[Equity Peak]]-Tabla33610673[[#This Row],[Equity]])/Tabla33610673[[#This Row],[Equity Peak]],"")</f>
        <v>4.7387158816548675E-2</v>
      </c>
      <c r="V349" s="209">
        <f t="shared" si="102"/>
        <v>-1</v>
      </c>
      <c r="W349" s="209">
        <f t="shared" si="103"/>
        <v>0</v>
      </c>
      <c r="X349" s="209">
        <f t="shared" si="104"/>
        <v>0</v>
      </c>
      <c r="Y349" s="209">
        <f t="shared" si="105"/>
        <v>0</v>
      </c>
      <c r="Z349" s="209">
        <f t="shared" si="106"/>
        <v>0</v>
      </c>
      <c r="AA349" s="205">
        <f t="shared" si="107"/>
        <v>0</v>
      </c>
      <c r="AB349" s="209">
        <f t="shared" si="108"/>
        <v>0</v>
      </c>
      <c r="AC349" s="205">
        <f t="shared" si="109"/>
        <v>0</v>
      </c>
      <c r="AD349" s="210">
        <f t="shared" si="110"/>
        <v>2.1125000000029104</v>
      </c>
      <c r="AE349" s="210">
        <f t="shared" si="111"/>
        <v>0</v>
      </c>
      <c r="AF349" s="210">
        <f t="shared" si="112"/>
        <v>2.1125000000029104</v>
      </c>
      <c r="AG349" s="210">
        <f t="shared" si="113"/>
        <v>0</v>
      </c>
    </row>
    <row r="350" spans="2:33" ht="15" customHeight="1" x14ac:dyDescent="0.3">
      <c r="B350" s="196" t="s">
        <v>84</v>
      </c>
      <c r="C350" s="197" t="s">
        <v>15</v>
      </c>
      <c r="D350" s="198" t="str">
        <f t="shared" si="95"/>
        <v>C</v>
      </c>
      <c r="E350" s="199">
        <v>44004.333333333336</v>
      </c>
      <c r="F350" s="200" t="s">
        <v>82</v>
      </c>
      <c r="G350" s="201">
        <v>236.5</v>
      </c>
      <c r="H350" s="201">
        <v>231.9</v>
      </c>
      <c r="I350" s="202">
        <f t="shared" si="96"/>
        <v>4.5999999999999943</v>
      </c>
      <c r="J350" s="201">
        <v>322.27999999999997</v>
      </c>
      <c r="K350" s="199">
        <v>44006.739583333336</v>
      </c>
      <c r="L350" s="201">
        <v>236.39</v>
      </c>
      <c r="M350" s="203">
        <f t="shared" si="97"/>
        <v>-0.11</v>
      </c>
      <c r="N350" s="204">
        <f t="shared" si="98"/>
        <v>-0.02</v>
      </c>
      <c r="O350" s="205">
        <f t="shared" si="99"/>
        <v>0</v>
      </c>
      <c r="P350" s="206">
        <f t="shared" si="100"/>
        <v>0</v>
      </c>
      <c r="Q350" s="206">
        <f t="shared" si="101"/>
        <v>-0.02</v>
      </c>
      <c r="R3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233790</v>
      </c>
      <c r="T3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50" s="208">
        <f ca="1">IF(Tabla33610673[[#This Row],[Equity]]&lt;Tabla33610673[[#This Row],[Equity Peak]],(Tabla33610673[[#This Row],[Equity Peak]]-Tabla33610673[[#This Row],[Equity]])/Tabla33610673[[#This Row],[Equity Peak]],"")</f>
        <v>4.3295003478332039E-2</v>
      </c>
      <c r="V350" s="209">
        <f t="shared" si="102"/>
        <v>0</v>
      </c>
      <c r="W350" s="209">
        <f t="shared" si="103"/>
        <v>0</v>
      </c>
      <c r="X350" s="209">
        <f t="shared" si="104"/>
        <v>0</v>
      </c>
      <c r="Y350" s="209">
        <f t="shared" si="105"/>
        <v>0</v>
      </c>
      <c r="Z350" s="209">
        <f t="shared" si="106"/>
        <v>0</v>
      </c>
      <c r="AA350" s="205">
        <f t="shared" si="107"/>
        <v>0</v>
      </c>
      <c r="AB350" s="209">
        <f t="shared" si="108"/>
        <v>-0.02</v>
      </c>
      <c r="AC350" s="205">
        <f t="shared" si="109"/>
        <v>0</v>
      </c>
      <c r="AD350" s="210">
        <f t="shared" si="110"/>
        <v>2.40625</v>
      </c>
      <c r="AE350" s="210">
        <f t="shared" si="111"/>
        <v>0</v>
      </c>
      <c r="AF350" s="210">
        <f t="shared" si="112"/>
        <v>2.40625</v>
      </c>
      <c r="AG350" s="210">
        <f t="shared" si="113"/>
        <v>0</v>
      </c>
    </row>
    <row r="351" spans="2:33" ht="15" customHeight="1" x14ac:dyDescent="0.3">
      <c r="B351" s="196" t="s">
        <v>84</v>
      </c>
      <c r="C351" s="197" t="s">
        <v>15</v>
      </c>
      <c r="D351" s="198" t="str">
        <f t="shared" si="95"/>
        <v>C</v>
      </c>
      <c r="E351" s="199">
        <v>44004.833333333336</v>
      </c>
      <c r="F351" s="200" t="s">
        <v>80</v>
      </c>
      <c r="G351" s="201">
        <v>9588.17</v>
      </c>
      <c r="H351" s="201">
        <v>9399.76</v>
      </c>
      <c r="I351" s="202">
        <f t="shared" si="96"/>
        <v>188.40999999999985</v>
      </c>
      <c r="J351" s="201">
        <v>12414.38</v>
      </c>
      <c r="K351" s="199">
        <v>44006.443055555559</v>
      </c>
      <c r="L351" s="201">
        <v>9507.82</v>
      </c>
      <c r="M351" s="203">
        <f t="shared" si="97"/>
        <v>-80.349999999999994</v>
      </c>
      <c r="N351" s="204">
        <f t="shared" si="98"/>
        <v>-0.43</v>
      </c>
      <c r="O351" s="205">
        <f t="shared" si="99"/>
        <v>0</v>
      </c>
      <c r="P351" s="206">
        <f t="shared" si="100"/>
        <v>0</v>
      </c>
      <c r="Q351" s="206">
        <f t="shared" si="101"/>
        <v>-0.43</v>
      </c>
      <c r="R3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233810</v>
      </c>
      <c r="T3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51" s="208">
        <f ca="1">IF(Tabla33610673[[#This Row],[Equity]]&lt;Tabla33610673[[#This Row],[Equity Peak]],(Tabla33610673[[#This Row],[Equity Peak]]-Tabla33610673[[#This Row],[Equity]])/Tabla33610673[[#This Row],[Equity Peak]],"")</f>
        <v>4.3213160371567708E-2</v>
      </c>
      <c r="V351" s="209">
        <f t="shared" si="102"/>
        <v>0</v>
      </c>
      <c r="W351" s="209">
        <f t="shared" si="103"/>
        <v>0</v>
      </c>
      <c r="X351" s="209">
        <f t="shared" si="104"/>
        <v>0</v>
      </c>
      <c r="Y351" s="209">
        <f t="shared" si="105"/>
        <v>0</v>
      </c>
      <c r="Z351" s="209">
        <f t="shared" si="106"/>
        <v>0</v>
      </c>
      <c r="AA351" s="205">
        <f t="shared" si="107"/>
        <v>0</v>
      </c>
      <c r="AB351" s="209">
        <f t="shared" si="108"/>
        <v>-0.43</v>
      </c>
      <c r="AC351" s="205">
        <f t="shared" si="109"/>
        <v>0</v>
      </c>
      <c r="AD351" s="210">
        <f t="shared" si="110"/>
        <v>1.609722222223354</v>
      </c>
      <c r="AE351" s="210">
        <f t="shared" si="111"/>
        <v>0</v>
      </c>
      <c r="AF351" s="210">
        <f t="shared" si="112"/>
        <v>1.609722222223354</v>
      </c>
      <c r="AG351" s="210">
        <f t="shared" si="113"/>
        <v>0</v>
      </c>
    </row>
    <row r="352" spans="2:33" ht="15" customHeight="1" x14ac:dyDescent="0.3">
      <c r="B352" s="196" t="s">
        <v>7</v>
      </c>
      <c r="C352" s="197" t="s">
        <v>15</v>
      </c>
      <c r="D352" s="198" t="str">
        <f t="shared" si="95"/>
        <v>C</v>
      </c>
      <c r="E352" s="199">
        <v>44004.833333333336</v>
      </c>
      <c r="F352" s="200" t="s">
        <v>122</v>
      </c>
      <c r="G352" s="201">
        <v>73.936000000000007</v>
      </c>
      <c r="H352" s="201">
        <v>73.295000000000002</v>
      </c>
      <c r="I352" s="202">
        <f t="shared" si="96"/>
        <v>0.64100000000000534</v>
      </c>
      <c r="J352" s="201">
        <v>85.051000000000002</v>
      </c>
      <c r="K352" s="199">
        <v>44005.179861111108</v>
      </c>
      <c r="L352" s="201">
        <v>73.295000000000002</v>
      </c>
      <c r="M352" s="203">
        <f t="shared" si="97"/>
        <v>-0.64100000000000001</v>
      </c>
      <c r="N352" s="204">
        <f t="shared" si="98"/>
        <v>-1</v>
      </c>
      <c r="O352" s="205">
        <f t="shared" si="99"/>
        <v>0</v>
      </c>
      <c r="P352" s="206">
        <f t="shared" si="100"/>
        <v>0</v>
      </c>
      <c r="Q352" s="206">
        <f t="shared" si="101"/>
        <v>-1</v>
      </c>
      <c r="R3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234240</v>
      </c>
      <c r="T3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52" s="208">
        <f ca="1">IF(Tabla33610673[[#This Row],[Equity]]&lt;Tabla33610673[[#This Row],[Equity Peak]],(Tabla33610673[[#This Row],[Equity Peak]]-Tabla33610673[[#This Row],[Equity]])/Tabla33610673[[#This Row],[Equity Peak]],"")</f>
        <v>4.1453533576134551E-2</v>
      </c>
      <c r="V352" s="209">
        <f t="shared" si="102"/>
        <v>-1</v>
      </c>
      <c r="W352" s="209">
        <f t="shared" si="103"/>
        <v>0</v>
      </c>
      <c r="X352" s="209">
        <f t="shared" si="104"/>
        <v>0</v>
      </c>
      <c r="Y352" s="209">
        <f t="shared" si="105"/>
        <v>0</v>
      </c>
      <c r="Z352" s="209">
        <f t="shared" si="106"/>
        <v>0</v>
      </c>
      <c r="AA352" s="205">
        <f t="shared" si="107"/>
        <v>0</v>
      </c>
      <c r="AB352" s="209">
        <f t="shared" si="108"/>
        <v>0</v>
      </c>
      <c r="AC352" s="205">
        <f t="shared" si="109"/>
        <v>0</v>
      </c>
      <c r="AD352" s="210">
        <f t="shared" si="110"/>
        <v>0.34652777777228039</v>
      </c>
      <c r="AE352" s="210">
        <f t="shared" si="111"/>
        <v>0</v>
      </c>
      <c r="AF352" s="210">
        <f t="shared" si="112"/>
        <v>0.34652777777228039</v>
      </c>
      <c r="AG352" s="210">
        <f t="shared" si="113"/>
        <v>0</v>
      </c>
    </row>
    <row r="353" spans="2:33" ht="15" customHeight="1" x14ac:dyDescent="0.3">
      <c r="B353" s="196" t="s">
        <v>7</v>
      </c>
      <c r="C353" s="197" t="s">
        <v>13</v>
      </c>
      <c r="D353" s="198" t="str">
        <f t="shared" si="95"/>
        <v>C</v>
      </c>
      <c r="E353" s="199">
        <v>44000.666666666664</v>
      </c>
      <c r="F353" s="200" t="s">
        <v>115</v>
      </c>
      <c r="G353" s="201">
        <v>132.93100000000001</v>
      </c>
      <c r="H353" s="201">
        <v>134.608</v>
      </c>
      <c r="I353" s="202">
        <f t="shared" si="96"/>
        <v>1.6769999999999925</v>
      </c>
      <c r="J353" s="201">
        <v>123.541</v>
      </c>
      <c r="K353" s="199">
        <v>44005.09652777778</v>
      </c>
      <c r="L353" s="201">
        <v>133.614</v>
      </c>
      <c r="M353" s="203">
        <f t="shared" si="97"/>
        <v>-0.68300000000000005</v>
      </c>
      <c r="N353" s="204">
        <f t="shared" si="98"/>
        <v>-0.41</v>
      </c>
      <c r="O353" s="205">
        <f t="shared" si="99"/>
        <v>0</v>
      </c>
      <c r="P353" s="206">
        <f t="shared" si="100"/>
        <v>0</v>
      </c>
      <c r="Q353" s="206">
        <f t="shared" si="101"/>
        <v>-0.41</v>
      </c>
      <c r="R3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235240</v>
      </c>
      <c r="T3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53" s="208">
        <f ca="1">IF(Tabla33610673[[#This Row],[Equity]]&lt;Tabla33610673[[#This Row],[Equity Peak]],(Tabla33610673[[#This Row],[Equity Peak]]-Tabla33610673[[#This Row],[Equity]])/Tabla33610673[[#This Row],[Equity Peak]],"")</f>
        <v>3.7361378237917908E-2</v>
      </c>
      <c r="V353" s="209">
        <f t="shared" si="102"/>
        <v>-0.41</v>
      </c>
      <c r="W353" s="209">
        <f t="shared" si="103"/>
        <v>0</v>
      </c>
      <c r="X353" s="209">
        <f t="shared" si="104"/>
        <v>0</v>
      </c>
      <c r="Y353" s="209">
        <f t="shared" si="105"/>
        <v>0</v>
      </c>
      <c r="Z353" s="209">
        <f t="shared" si="106"/>
        <v>0</v>
      </c>
      <c r="AA353" s="205">
        <f t="shared" si="107"/>
        <v>0</v>
      </c>
      <c r="AB353" s="209">
        <f t="shared" si="108"/>
        <v>0</v>
      </c>
      <c r="AC353" s="205">
        <f t="shared" si="109"/>
        <v>0</v>
      </c>
      <c r="AD353" s="210">
        <f t="shared" si="110"/>
        <v>4.429861111115315</v>
      </c>
      <c r="AE353" s="210">
        <f t="shared" si="111"/>
        <v>0</v>
      </c>
      <c r="AF353" s="210">
        <f t="shared" si="112"/>
        <v>4.429861111115315</v>
      </c>
      <c r="AG353" s="210">
        <f t="shared" si="113"/>
        <v>0</v>
      </c>
    </row>
    <row r="354" spans="2:33" ht="15" customHeight="1" x14ac:dyDescent="0.3">
      <c r="B354" s="196" t="s">
        <v>7</v>
      </c>
      <c r="C354" s="197" t="s">
        <v>13</v>
      </c>
      <c r="D354" s="198" t="str">
        <f t="shared" si="95"/>
        <v>C</v>
      </c>
      <c r="E354" s="199">
        <v>44000.666666666664</v>
      </c>
      <c r="F354" s="200" t="s">
        <v>118</v>
      </c>
      <c r="G354" s="201">
        <v>119.905</v>
      </c>
      <c r="H354" s="201">
        <v>121.121</v>
      </c>
      <c r="I354" s="202">
        <f t="shared" si="96"/>
        <v>1.215999999999994</v>
      </c>
      <c r="J354" s="201">
        <v>115.04</v>
      </c>
      <c r="K354" s="199">
        <v>44004.742361111108</v>
      </c>
      <c r="L354" s="201">
        <v>120.405</v>
      </c>
      <c r="M354" s="203">
        <f t="shared" si="97"/>
        <v>-0.5</v>
      </c>
      <c r="N354" s="204">
        <f t="shared" si="98"/>
        <v>-0.41</v>
      </c>
      <c r="O354" s="205">
        <f t="shared" si="99"/>
        <v>0</v>
      </c>
      <c r="P354" s="206">
        <f t="shared" si="100"/>
        <v>0</v>
      </c>
      <c r="Q354" s="206">
        <f t="shared" si="101"/>
        <v>-0.41</v>
      </c>
      <c r="R3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235650</v>
      </c>
      <c r="T3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54" s="208">
        <f ca="1">IF(Tabla33610673[[#This Row],[Equity]]&lt;Tabla33610673[[#This Row],[Equity Peak]],(Tabla33610673[[#This Row],[Equity Peak]]-Tabla33610673[[#This Row],[Equity]])/Tabla33610673[[#This Row],[Equity Peak]],"")</f>
        <v>3.568359454924909E-2</v>
      </c>
      <c r="V354" s="209">
        <f t="shared" si="102"/>
        <v>-0.41</v>
      </c>
      <c r="W354" s="209">
        <f t="shared" si="103"/>
        <v>0</v>
      </c>
      <c r="X354" s="209">
        <f t="shared" si="104"/>
        <v>0</v>
      </c>
      <c r="Y354" s="209">
        <f t="shared" si="105"/>
        <v>0</v>
      </c>
      <c r="Z354" s="209">
        <f t="shared" si="106"/>
        <v>0</v>
      </c>
      <c r="AA354" s="205">
        <f t="shared" si="107"/>
        <v>0</v>
      </c>
      <c r="AB354" s="209">
        <f t="shared" si="108"/>
        <v>0</v>
      </c>
      <c r="AC354" s="205">
        <f t="shared" si="109"/>
        <v>0</v>
      </c>
      <c r="AD354" s="210">
        <f t="shared" si="110"/>
        <v>4.0756944444437977</v>
      </c>
      <c r="AE354" s="210">
        <f t="shared" si="111"/>
        <v>0</v>
      </c>
      <c r="AF354" s="210">
        <f t="shared" si="112"/>
        <v>4.0756944444437977</v>
      </c>
      <c r="AG354" s="210">
        <f t="shared" si="113"/>
        <v>0</v>
      </c>
    </row>
    <row r="355" spans="2:33" ht="15" customHeight="1" x14ac:dyDescent="0.3">
      <c r="B355" s="196" t="s">
        <v>19</v>
      </c>
      <c r="C355" s="197" t="s">
        <v>15</v>
      </c>
      <c r="D355" s="198" t="str">
        <f t="shared" si="95"/>
        <v>C</v>
      </c>
      <c r="E355" s="199">
        <v>43997.875</v>
      </c>
      <c r="F355" s="200" t="s">
        <v>88</v>
      </c>
      <c r="G355" s="201">
        <v>1722.51</v>
      </c>
      <c r="H355" s="201">
        <v>1694.23</v>
      </c>
      <c r="I355" s="202">
        <f t="shared" si="96"/>
        <v>28.279999999999973</v>
      </c>
      <c r="J355" s="201">
        <v>1903.5</v>
      </c>
      <c r="K355" s="199">
        <v>44004.429861111108</v>
      </c>
      <c r="L355" s="201">
        <v>1743.14</v>
      </c>
      <c r="M355" s="203">
        <f t="shared" si="97"/>
        <v>20.63</v>
      </c>
      <c r="N355" s="204">
        <f t="shared" si="98"/>
        <v>0.73</v>
      </c>
      <c r="O355" s="205">
        <f t="shared" si="99"/>
        <v>0</v>
      </c>
      <c r="P355" s="206">
        <f t="shared" si="100"/>
        <v>0.73</v>
      </c>
      <c r="Q355" s="206">
        <f t="shared" si="101"/>
        <v>0</v>
      </c>
      <c r="R3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236060</v>
      </c>
      <c r="T3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55" s="208">
        <f ca="1">IF(Tabla33610673[[#This Row],[Equity]]&lt;Tabla33610673[[#This Row],[Equity Peak]],(Tabla33610673[[#This Row],[Equity Peak]]-Tabla33610673[[#This Row],[Equity]])/Tabla33610673[[#This Row],[Equity Peak]],"")</f>
        <v>3.4005810860580264E-2</v>
      </c>
      <c r="V355" s="209">
        <f t="shared" si="102"/>
        <v>0</v>
      </c>
      <c r="W355" s="209">
        <f t="shared" si="103"/>
        <v>0</v>
      </c>
      <c r="X355" s="209">
        <f t="shared" si="104"/>
        <v>0.73</v>
      </c>
      <c r="Y355" s="209">
        <f t="shared" si="105"/>
        <v>0</v>
      </c>
      <c r="Z355" s="209">
        <f t="shared" si="106"/>
        <v>0</v>
      </c>
      <c r="AA355" s="205">
        <f t="shared" si="107"/>
        <v>0</v>
      </c>
      <c r="AB355" s="209">
        <f t="shared" si="108"/>
        <v>0</v>
      </c>
      <c r="AC355" s="205">
        <f t="shared" si="109"/>
        <v>0</v>
      </c>
      <c r="AD355" s="210">
        <f t="shared" si="110"/>
        <v>6.554861111108039</v>
      </c>
      <c r="AE355" s="210">
        <f t="shared" si="111"/>
        <v>6.554861111108039</v>
      </c>
      <c r="AF355" s="210">
        <f t="shared" si="112"/>
        <v>0</v>
      </c>
      <c r="AG355" s="210">
        <f t="shared" si="113"/>
        <v>0</v>
      </c>
    </row>
    <row r="356" spans="2:33" ht="15" customHeight="1" x14ac:dyDescent="0.3">
      <c r="B356" s="196" t="s">
        <v>5</v>
      </c>
      <c r="C356" s="197" t="s">
        <v>15</v>
      </c>
      <c r="D356" s="198" t="str">
        <f t="shared" si="95"/>
        <v>C</v>
      </c>
      <c r="E356" s="199">
        <v>43998.166666666664</v>
      </c>
      <c r="F356" s="200" t="s">
        <v>95</v>
      </c>
      <c r="G356" s="201">
        <v>26032.7</v>
      </c>
      <c r="H356" s="201">
        <v>25498.51</v>
      </c>
      <c r="I356" s="202">
        <f t="shared" si="96"/>
        <v>534.19000000000233</v>
      </c>
      <c r="J356" s="201">
        <v>28169.47</v>
      </c>
      <c r="K356" s="199">
        <v>44004.095833333333</v>
      </c>
      <c r="L356" s="201">
        <v>25508.83</v>
      </c>
      <c r="M356" s="203">
        <f t="shared" si="97"/>
        <v>-523.87</v>
      </c>
      <c r="N356" s="204">
        <f t="shared" si="98"/>
        <v>-0.98</v>
      </c>
      <c r="O356" s="205">
        <f t="shared" si="99"/>
        <v>0</v>
      </c>
      <c r="P356" s="206">
        <f t="shared" si="100"/>
        <v>0</v>
      </c>
      <c r="Q356" s="206">
        <f t="shared" si="101"/>
        <v>-0.98</v>
      </c>
      <c r="R3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235330</v>
      </c>
      <c r="T3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56" s="208">
        <f ca="1">IF(Tabla33610673[[#This Row],[Equity]]&lt;Tabla33610673[[#This Row],[Equity Peak]],(Tabla33610673[[#This Row],[Equity Peak]]-Tabla33610673[[#This Row],[Equity]])/Tabla33610673[[#This Row],[Equity Peak]],"")</f>
        <v>3.6993084257478416E-2</v>
      </c>
      <c r="V356" s="209">
        <f t="shared" si="102"/>
        <v>0</v>
      </c>
      <c r="W356" s="209">
        <f t="shared" si="103"/>
        <v>0</v>
      </c>
      <c r="X356" s="209">
        <f t="shared" si="104"/>
        <v>0</v>
      </c>
      <c r="Y356" s="209">
        <f t="shared" si="105"/>
        <v>0</v>
      </c>
      <c r="Z356" s="209">
        <f t="shared" si="106"/>
        <v>-0.98</v>
      </c>
      <c r="AA356" s="205">
        <f t="shared" si="107"/>
        <v>0</v>
      </c>
      <c r="AB356" s="209">
        <f t="shared" si="108"/>
        <v>0</v>
      </c>
      <c r="AC356" s="205">
        <f t="shared" si="109"/>
        <v>0</v>
      </c>
      <c r="AD356" s="210">
        <f t="shared" si="110"/>
        <v>5.9291666666686069</v>
      </c>
      <c r="AE356" s="210">
        <f t="shared" si="111"/>
        <v>0</v>
      </c>
      <c r="AF356" s="210">
        <f t="shared" si="112"/>
        <v>5.9291666666686069</v>
      </c>
      <c r="AG356" s="210">
        <f t="shared" si="113"/>
        <v>0</v>
      </c>
    </row>
    <row r="357" spans="2:33" ht="15" customHeight="1" x14ac:dyDescent="0.3">
      <c r="B357" s="196" t="s">
        <v>7</v>
      </c>
      <c r="C357" s="197" t="s">
        <v>15</v>
      </c>
      <c r="D357" s="198" t="str">
        <f t="shared" si="95"/>
        <v>C</v>
      </c>
      <c r="E357" s="199">
        <v>44001.666666666664</v>
      </c>
      <c r="F357" s="200" t="s">
        <v>121</v>
      </c>
      <c r="G357" s="201">
        <v>0.69042999999999999</v>
      </c>
      <c r="H357" s="201">
        <v>0.68474999999999997</v>
      </c>
      <c r="I357" s="202">
        <f t="shared" si="96"/>
        <v>5.6800000000000184E-3</v>
      </c>
      <c r="J357" s="201">
        <v>0.72074000000000005</v>
      </c>
      <c r="K357" s="199">
        <v>44001.79791666667</v>
      </c>
      <c r="L357" s="201">
        <v>0.68474999999999997</v>
      </c>
      <c r="M357" s="203">
        <f t="shared" si="97"/>
        <v>-5.7000000000000002E-3</v>
      </c>
      <c r="N357" s="204">
        <f t="shared" si="98"/>
        <v>-1</v>
      </c>
      <c r="O357" s="205">
        <f t="shared" si="99"/>
        <v>0</v>
      </c>
      <c r="P357" s="206">
        <f t="shared" si="100"/>
        <v>0</v>
      </c>
      <c r="Q357" s="206">
        <f t="shared" si="101"/>
        <v>-1</v>
      </c>
      <c r="R3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236310</v>
      </c>
      <c r="T3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57" s="208">
        <f ca="1">IF(Tabla33610673[[#This Row],[Equity]]&lt;Tabla33610673[[#This Row],[Equity Peak]],(Tabla33610673[[#This Row],[Equity Peak]]-Tabla33610673[[#This Row],[Equity]])/Tabla33610673[[#This Row],[Equity Peak]],"")</f>
        <v>3.2982772026026105E-2</v>
      </c>
      <c r="V357" s="209">
        <f t="shared" si="102"/>
        <v>-1</v>
      </c>
      <c r="W357" s="209">
        <f t="shared" si="103"/>
        <v>0</v>
      </c>
      <c r="X357" s="209">
        <f t="shared" si="104"/>
        <v>0</v>
      </c>
      <c r="Y357" s="209">
        <f t="shared" si="105"/>
        <v>0</v>
      </c>
      <c r="Z357" s="209">
        <f t="shared" si="106"/>
        <v>0</v>
      </c>
      <c r="AA357" s="205">
        <f t="shared" si="107"/>
        <v>0</v>
      </c>
      <c r="AB357" s="209">
        <f t="shared" si="108"/>
        <v>0</v>
      </c>
      <c r="AC357" s="205">
        <f t="shared" si="109"/>
        <v>0</v>
      </c>
      <c r="AD357" s="210">
        <f t="shared" si="110"/>
        <v>0.13125000000582077</v>
      </c>
      <c r="AE357" s="210">
        <f t="shared" si="111"/>
        <v>0</v>
      </c>
      <c r="AF357" s="210">
        <f t="shared" si="112"/>
        <v>0.13125000000582077</v>
      </c>
      <c r="AG357" s="210">
        <f t="shared" si="113"/>
        <v>0</v>
      </c>
    </row>
    <row r="358" spans="2:33" ht="15" customHeight="1" x14ac:dyDescent="0.3">
      <c r="B358" s="196" t="s">
        <v>7</v>
      </c>
      <c r="C358" s="197" t="s">
        <v>15</v>
      </c>
      <c r="D358" s="198" t="str">
        <f t="shared" si="95"/>
        <v>C</v>
      </c>
      <c r="E358" s="199">
        <v>43993.333333333336</v>
      </c>
      <c r="F358" s="200" t="s">
        <v>119</v>
      </c>
      <c r="G358" s="201">
        <v>0.89498999999999995</v>
      </c>
      <c r="H358" s="201">
        <v>0.89112999999999998</v>
      </c>
      <c r="I358" s="202">
        <f t="shared" si="96"/>
        <v>3.8599999999999746E-3</v>
      </c>
      <c r="J358" s="201">
        <v>0.90527999999999997</v>
      </c>
      <c r="K358" s="199">
        <v>44001.593055555553</v>
      </c>
      <c r="L358" s="201">
        <v>0.90527999999999997</v>
      </c>
      <c r="M358" s="203">
        <f t="shared" si="97"/>
        <v>1.03E-2</v>
      </c>
      <c r="N358" s="204">
        <f t="shared" si="98"/>
        <v>2.67</v>
      </c>
      <c r="O358" s="205">
        <f t="shared" si="99"/>
        <v>0</v>
      </c>
      <c r="P358" s="206">
        <f t="shared" si="100"/>
        <v>2.67</v>
      </c>
      <c r="Q358" s="206">
        <f t="shared" si="101"/>
        <v>0</v>
      </c>
      <c r="R3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237310</v>
      </c>
      <c r="T3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58" s="208">
        <f ca="1">IF(Tabla33610673[[#This Row],[Equity]]&lt;Tabla33610673[[#This Row],[Equity Peak]],(Tabla33610673[[#This Row],[Equity Peak]]-Tabla33610673[[#This Row],[Equity]])/Tabla33610673[[#This Row],[Equity Peak]],"")</f>
        <v>2.889061668780947E-2</v>
      </c>
      <c r="V358" s="209">
        <f t="shared" si="102"/>
        <v>2.67</v>
      </c>
      <c r="W358" s="209">
        <f t="shared" si="103"/>
        <v>0</v>
      </c>
      <c r="X358" s="209">
        <f t="shared" si="104"/>
        <v>0</v>
      </c>
      <c r="Y358" s="209">
        <f t="shared" si="105"/>
        <v>0</v>
      </c>
      <c r="Z358" s="209">
        <f t="shared" si="106"/>
        <v>0</v>
      </c>
      <c r="AA358" s="205">
        <f t="shared" si="107"/>
        <v>0</v>
      </c>
      <c r="AB358" s="209">
        <f t="shared" si="108"/>
        <v>0</v>
      </c>
      <c r="AC358" s="205">
        <f t="shared" si="109"/>
        <v>0</v>
      </c>
      <c r="AD358" s="210">
        <f t="shared" si="110"/>
        <v>8.2597222222175333</v>
      </c>
      <c r="AE358" s="210">
        <f t="shared" si="111"/>
        <v>8.2597222222175333</v>
      </c>
      <c r="AF358" s="210">
        <f t="shared" si="112"/>
        <v>0</v>
      </c>
      <c r="AG358" s="210">
        <f t="shared" si="113"/>
        <v>0</v>
      </c>
    </row>
    <row r="359" spans="2:33" ht="15" customHeight="1" x14ac:dyDescent="0.3">
      <c r="B359" s="196" t="s">
        <v>84</v>
      </c>
      <c r="C359" s="197" t="s">
        <v>13</v>
      </c>
      <c r="D359" s="198" t="str">
        <f t="shared" si="95"/>
        <v>C</v>
      </c>
      <c r="E359" s="199">
        <v>44001.333333333336</v>
      </c>
      <c r="F359" s="200" t="s">
        <v>82</v>
      </c>
      <c r="G359" s="201">
        <v>227.5</v>
      </c>
      <c r="H359" s="201">
        <v>232.08</v>
      </c>
      <c r="I359" s="202">
        <f t="shared" si="96"/>
        <v>4.5800000000000125</v>
      </c>
      <c r="J359" s="201">
        <v>141.91999999999999</v>
      </c>
      <c r="K359" s="199">
        <v>44001.54791666667</v>
      </c>
      <c r="L359" s="201">
        <v>232.08</v>
      </c>
      <c r="M359" s="203">
        <f t="shared" si="97"/>
        <v>-4.58</v>
      </c>
      <c r="N359" s="204">
        <f t="shared" si="98"/>
        <v>-1</v>
      </c>
      <c r="O359" s="205">
        <f t="shared" si="99"/>
        <v>0</v>
      </c>
      <c r="P359" s="206">
        <f t="shared" si="100"/>
        <v>0</v>
      </c>
      <c r="Q359" s="206">
        <f t="shared" si="101"/>
        <v>-1</v>
      </c>
      <c r="R3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234640</v>
      </c>
      <c r="T3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59" s="208">
        <f ca="1">IF(Tabla33610673[[#This Row],[Equity]]&lt;Tabla33610673[[#This Row],[Equity Peak]],(Tabla33610673[[#This Row],[Equity Peak]]-Tabla33610673[[#This Row],[Equity]])/Tabla33610673[[#This Row],[Equity Peak]],"")</f>
        <v>3.9816671440847898E-2</v>
      </c>
      <c r="V359" s="209">
        <f t="shared" si="102"/>
        <v>0</v>
      </c>
      <c r="W359" s="209">
        <f t="shared" si="103"/>
        <v>0</v>
      </c>
      <c r="X359" s="209">
        <f t="shared" si="104"/>
        <v>0</v>
      </c>
      <c r="Y359" s="209">
        <f t="shared" si="105"/>
        <v>0</v>
      </c>
      <c r="Z359" s="209">
        <f t="shared" si="106"/>
        <v>0</v>
      </c>
      <c r="AA359" s="205">
        <f t="shared" si="107"/>
        <v>0</v>
      </c>
      <c r="AB359" s="209">
        <f t="shared" si="108"/>
        <v>-1</v>
      </c>
      <c r="AC359" s="205">
        <f t="shared" si="109"/>
        <v>0</v>
      </c>
      <c r="AD359" s="210">
        <f t="shared" si="110"/>
        <v>0.21458333333430346</v>
      </c>
      <c r="AE359" s="210">
        <f t="shared" si="111"/>
        <v>0</v>
      </c>
      <c r="AF359" s="210">
        <f t="shared" si="112"/>
        <v>0.21458333333430346</v>
      </c>
      <c r="AG359" s="210">
        <f t="shared" si="113"/>
        <v>0</v>
      </c>
    </row>
    <row r="360" spans="2:33" ht="15" customHeight="1" x14ac:dyDescent="0.3">
      <c r="B360" s="196" t="s">
        <v>7</v>
      </c>
      <c r="C360" s="197" t="s">
        <v>15</v>
      </c>
      <c r="D360" s="198" t="str">
        <f t="shared" si="95"/>
        <v>C</v>
      </c>
      <c r="E360" s="199">
        <v>43998.333333333336</v>
      </c>
      <c r="F360" s="200" t="s">
        <v>114</v>
      </c>
      <c r="G360" s="201">
        <v>1.2661899999999999</v>
      </c>
      <c r="H360" s="201">
        <v>1.2510399999999999</v>
      </c>
      <c r="I360" s="202">
        <f t="shared" si="96"/>
        <v>1.5149999999999997E-2</v>
      </c>
      <c r="J360" s="201">
        <v>1.3267899999999999</v>
      </c>
      <c r="K360" s="199">
        <v>44000.492361111108</v>
      </c>
      <c r="L360" s="201">
        <v>1.2510399999999999</v>
      </c>
      <c r="M360" s="203">
        <f t="shared" si="97"/>
        <v>-1.52E-2</v>
      </c>
      <c r="N360" s="204">
        <f t="shared" si="98"/>
        <v>-1</v>
      </c>
      <c r="O360" s="205">
        <f t="shared" si="99"/>
        <v>0</v>
      </c>
      <c r="P360" s="206">
        <f t="shared" si="100"/>
        <v>0</v>
      </c>
      <c r="Q360" s="206">
        <f t="shared" si="101"/>
        <v>-1</v>
      </c>
      <c r="R3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235640</v>
      </c>
      <c r="T3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60" s="208">
        <f ca="1">IF(Tabla33610673[[#This Row],[Equity]]&lt;Tabla33610673[[#This Row],[Equity Peak]],(Tabla33610673[[#This Row],[Equity Peak]]-Tabla33610673[[#This Row],[Equity]])/Tabla33610673[[#This Row],[Equity Peak]],"")</f>
        <v>3.5724516102631255E-2</v>
      </c>
      <c r="V360" s="209">
        <f t="shared" si="102"/>
        <v>-1</v>
      </c>
      <c r="W360" s="209">
        <f t="shared" si="103"/>
        <v>0</v>
      </c>
      <c r="X360" s="209">
        <f t="shared" si="104"/>
        <v>0</v>
      </c>
      <c r="Y360" s="209">
        <f t="shared" si="105"/>
        <v>0</v>
      </c>
      <c r="Z360" s="209">
        <f t="shared" si="106"/>
        <v>0</v>
      </c>
      <c r="AA360" s="205">
        <f t="shared" si="107"/>
        <v>0</v>
      </c>
      <c r="AB360" s="209">
        <f t="shared" si="108"/>
        <v>0</v>
      </c>
      <c r="AC360" s="205">
        <f t="shared" si="109"/>
        <v>0</v>
      </c>
      <c r="AD360" s="210">
        <f t="shared" si="110"/>
        <v>2.1590277777722804</v>
      </c>
      <c r="AE360" s="210">
        <f t="shared" si="111"/>
        <v>0</v>
      </c>
      <c r="AF360" s="210">
        <f t="shared" si="112"/>
        <v>2.1590277777722804</v>
      </c>
      <c r="AG360" s="210">
        <f t="shared" si="113"/>
        <v>0</v>
      </c>
    </row>
    <row r="361" spans="2:33" ht="15" customHeight="1" x14ac:dyDescent="0.3">
      <c r="B361" s="196" t="s">
        <v>5</v>
      </c>
      <c r="C361" s="197" t="s">
        <v>15</v>
      </c>
      <c r="D361" s="198" t="str">
        <f t="shared" si="95"/>
        <v>C</v>
      </c>
      <c r="E361" s="199">
        <v>43998.666666666664</v>
      </c>
      <c r="F361" s="200" t="s">
        <v>94</v>
      </c>
      <c r="G361" s="201">
        <v>6286.87</v>
      </c>
      <c r="H361" s="201">
        <v>6103.39</v>
      </c>
      <c r="I361" s="202">
        <f t="shared" si="96"/>
        <v>183.47999999999956</v>
      </c>
      <c r="J361" s="201">
        <v>7204.26</v>
      </c>
      <c r="K361" s="199">
        <v>44000.179861111108</v>
      </c>
      <c r="L361" s="201">
        <v>6177.61</v>
      </c>
      <c r="M361" s="203">
        <f t="shared" si="97"/>
        <v>-109.26</v>
      </c>
      <c r="N361" s="204">
        <f t="shared" si="98"/>
        <v>-0.6</v>
      </c>
      <c r="O361" s="205">
        <f t="shared" si="99"/>
        <v>0</v>
      </c>
      <c r="P361" s="206">
        <f t="shared" si="100"/>
        <v>0</v>
      </c>
      <c r="Q361" s="206">
        <f t="shared" si="101"/>
        <v>-0.6</v>
      </c>
      <c r="R3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236640</v>
      </c>
      <c r="T3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61" s="208">
        <f ca="1">IF(Tabla33610673[[#This Row],[Equity]]&lt;Tabla33610673[[#This Row],[Equity Peak]],(Tabla33610673[[#This Row],[Equity Peak]]-Tabla33610673[[#This Row],[Equity]])/Tabla33610673[[#This Row],[Equity Peak]],"")</f>
        <v>3.163236076441462E-2</v>
      </c>
      <c r="V361" s="209">
        <f t="shared" si="102"/>
        <v>0</v>
      </c>
      <c r="W361" s="209">
        <f t="shared" si="103"/>
        <v>0</v>
      </c>
      <c r="X361" s="209">
        <f t="shared" si="104"/>
        <v>0</v>
      </c>
      <c r="Y361" s="209">
        <f t="shared" si="105"/>
        <v>0</v>
      </c>
      <c r="Z361" s="209">
        <f t="shared" si="106"/>
        <v>-0.6</v>
      </c>
      <c r="AA361" s="205">
        <f t="shared" si="107"/>
        <v>0</v>
      </c>
      <c r="AB361" s="209">
        <f t="shared" si="108"/>
        <v>0</v>
      </c>
      <c r="AC361" s="205">
        <f t="shared" si="109"/>
        <v>0</v>
      </c>
      <c r="AD361" s="210">
        <f t="shared" si="110"/>
        <v>1.5131944444437977</v>
      </c>
      <c r="AE361" s="210">
        <f t="shared" si="111"/>
        <v>0</v>
      </c>
      <c r="AF361" s="210">
        <f t="shared" si="112"/>
        <v>1.5131944444437977</v>
      </c>
      <c r="AG361" s="210">
        <f t="shared" si="113"/>
        <v>0</v>
      </c>
    </row>
    <row r="362" spans="2:33" ht="15" customHeight="1" x14ac:dyDescent="0.3">
      <c r="B362" s="196" t="s">
        <v>84</v>
      </c>
      <c r="C362" s="197" t="s">
        <v>15</v>
      </c>
      <c r="D362" s="198" t="str">
        <f t="shared" si="95"/>
        <v>C</v>
      </c>
      <c r="E362" s="199">
        <v>43998.333333333336</v>
      </c>
      <c r="F362" s="200" t="s">
        <v>82</v>
      </c>
      <c r="G362" s="201">
        <v>234.6</v>
      </c>
      <c r="H362" s="201">
        <v>226.72</v>
      </c>
      <c r="I362" s="202">
        <f t="shared" si="96"/>
        <v>7.8799999999999955</v>
      </c>
      <c r="J362" s="201">
        <v>381.6</v>
      </c>
      <c r="K362" s="199">
        <v>43999.845833333333</v>
      </c>
      <c r="L362" s="201">
        <v>227.78</v>
      </c>
      <c r="M362" s="203">
        <f t="shared" si="97"/>
        <v>-6.82</v>
      </c>
      <c r="N362" s="204">
        <f t="shared" si="98"/>
        <v>-0.87</v>
      </c>
      <c r="O362" s="205">
        <f t="shared" si="99"/>
        <v>0</v>
      </c>
      <c r="P362" s="206">
        <f t="shared" si="100"/>
        <v>0</v>
      </c>
      <c r="Q362" s="206">
        <f t="shared" si="101"/>
        <v>-0.87</v>
      </c>
      <c r="R3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237240</v>
      </c>
      <c r="T3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62" s="208">
        <f ca="1">IF(Tabla33610673[[#This Row],[Equity]]&lt;Tabla33610673[[#This Row],[Equity Peak]],(Tabla33610673[[#This Row],[Equity Peak]]-Tabla33610673[[#This Row],[Equity]])/Tabla33610673[[#This Row],[Equity Peak]],"")</f>
        <v>2.9177067561484634E-2</v>
      </c>
      <c r="V362" s="209">
        <f t="shared" si="102"/>
        <v>0</v>
      </c>
      <c r="W362" s="209">
        <f t="shared" si="103"/>
        <v>0</v>
      </c>
      <c r="X362" s="209">
        <f t="shared" si="104"/>
        <v>0</v>
      </c>
      <c r="Y362" s="209">
        <f t="shared" si="105"/>
        <v>0</v>
      </c>
      <c r="Z362" s="209">
        <f t="shared" si="106"/>
        <v>0</v>
      </c>
      <c r="AA362" s="205">
        <f t="shared" si="107"/>
        <v>0</v>
      </c>
      <c r="AB362" s="209">
        <f t="shared" si="108"/>
        <v>-0.87</v>
      </c>
      <c r="AC362" s="205">
        <f t="shared" si="109"/>
        <v>0</v>
      </c>
      <c r="AD362" s="210">
        <f t="shared" si="110"/>
        <v>1.5124999999970896</v>
      </c>
      <c r="AE362" s="210">
        <f t="shared" si="111"/>
        <v>0</v>
      </c>
      <c r="AF362" s="210">
        <f t="shared" si="112"/>
        <v>1.5124999999970896</v>
      </c>
      <c r="AG362" s="210">
        <f t="shared" si="113"/>
        <v>0</v>
      </c>
    </row>
    <row r="363" spans="2:33" ht="15" customHeight="1" x14ac:dyDescent="0.3">
      <c r="B363" s="196" t="s">
        <v>5</v>
      </c>
      <c r="C363" s="197" t="s">
        <v>15</v>
      </c>
      <c r="D363" s="198" t="str">
        <f t="shared" si="95"/>
        <v>C</v>
      </c>
      <c r="E363" s="199">
        <v>43998.666666666664</v>
      </c>
      <c r="F363" s="200" t="s">
        <v>93</v>
      </c>
      <c r="G363" s="201">
        <v>3161.27</v>
      </c>
      <c r="H363" s="201">
        <v>3086.64</v>
      </c>
      <c r="I363" s="202">
        <f t="shared" si="96"/>
        <v>74.630000000000109</v>
      </c>
      <c r="J363" s="201">
        <v>3360.28</v>
      </c>
      <c r="K363" s="199">
        <v>43998.750694444447</v>
      </c>
      <c r="L363" s="201">
        <v>3086.64</v>
      </c>
      <c r="M363" s="203">
        <f t="shared" si="97"/>
        <v>-74.63</v>
      </c>
      <c r="N363" s="204">
        <f t="shared" si="98"/>
        <v>-1</v>
      </c>
      <c r="O363" s="205">
        <f t="shared" si="99"/>
        <v>0</v>
      </c>
      <c r="P363" s="206">
        <f t="shared" si="100"/>
        <v>0</v>
      </c>
      <c r="Q363" s="206">
        <f t="shared" si="101"/>
        <v>-1</v>
      </c>
      <c r="R3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238110</v>
      </c>
      <c r="T3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63" s="208">
        <f ca="1">IF(Tabla33610673[[#This Row],[Equity]]&lt;Tabla33610673[[#This Row],[Equity Peak]],(Tabla33610673[[#This Row],[Equity Peak]]-Tabla33610673[[#This Row],[Equity]])/Tabla33610673[[#This Row],[Equity Peak]],"")</f>
        <v>2.5616892417236158E-2</v>
      </c>
      <c r="V363" s="209">
        <f t="shared" si="102"/>
        <v>0</v>
      </c>
      <c r="W363" s="209">
        <f t="shared" si="103"/>
        <v>0</v>
      </c>
      <c r="X363" s="209">
        <f t="shared" si="104"/>
        <v>0</v>
      </c>
      <c r="Y363" s="209">
        <f t="shared" si="105"/>
        <v>0</v>
      </c>
      <c r="Z363" s="209">
        <f t="shared" si="106"/>
        <v>-1</v>
      </c>
      <c r="AA363" s="205">
        <f t="shared" si="107"/>
        <v>0</v>
      </c>
      <c r="AB363" s="209">
        <f t="shared" si="108"/>
        <v>0</v>
      </c>
      <c r="AC363" s="205">
        <f t="shared" si="109"/>
        <v>0</v>
      </c>
      <c r="AD363" s="210">
        <f t="shared" si="110"/>
        <v>8.4027777782466728E-2</v>
      </c>
      <c r="AE363" s="210">
        <f t="shared" si="111"/>
        <v>0</v>
      </c>
      <c r="AF363" s="210">
        <f t="shared" si="112"/>
        <v>8.4027777782466728E-2</v>
      </c>
      <c r="AG363" s="210">
        <f t="shared" si="113"/>
        <v>0</v>
      </c>
    </row>
    <row r="364" spans="2:33" ht="15" customHeight="1" x14ac:dyDescent="0.3">
      <c r="B364" s="196" t="s">
        <v>7</v>
      </c>
      <c r="C364" s="197" t="s">
        <v>13</v>
      </c>
      <c r="D364" s="198" t="str">
        <f t="shared" si="95"/>
        <v>C</v>
      </c>
      <c r="E364" s="199">
        <v>43998.166666666664</v>
      </c>
      <c r="F364" s="200" t="s">
        <v>120</v>
      </c>
      <c r="G364" s="201">
        <v>1.6307199999999999</v>
      </c>
      <c r="H364" s="201">
        <v>1.64439</v>
      </c>
      <c r="I364" s="202">
        <f t="shared" si="96"/>
        <v>1.3670000000000071E-2</v>
      </c>
      <c r="J364" s="201">
        <v>1.48489</v>
      </c>
      <c r="K364" s="199">
        <v>43998.742361111108</v>
      </c>
      <c r="L364" s="201">
        <v>1.6413</v>
      </c>
      <c r="M364" s="203">
        <f t="shared" si="97"/>
        <v>-1.06E-2</v>
      </c>
      <c r="N364" s="204">
        <f t="shared" si="98"/>
        <v>-0.78</v>
      </c>
      <c r="O364" s="205">
        <f t="shared" si="99"/>
        <v>0</v>
      </c>
      <c r="P364" s="206">
        <f t="shared" si="100"/>
        <v>0</v>
      </c>
      <c r="Q364" s="206">
        <f t="shared" si="101"/>
        <v>-0.78</v>
      </c>
      <c r="R3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239110</v>
      </c>
      <c r="T3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64" s="208">
        <f ca="1">IF(Tabla33610673[[#This Row],[Equity]]&lt;Tabla33610673[[#This Row],[Equity Peak]],(Tabla33610673[[#This Row],[Equity Peak]]-Tabla33610673[[#This Row],[Equity]])/Tabla33610673[[#This Row],[Equity Peak]],"")</f>
        <v>2.1524737079019519E-2</v>
      </c>
      <c r="V364" s="209">
        <f t="shared" si="102"/>
        <v>-0.78</v>
      </c>
      <c r="W364" s="209">
        <f t="shared" si="103"/>
        <v>0</v>
      </c>
      <c r="X364" s="209">
        <f t="shared" si="104"/>
        <v>0</v>
      </c>
      <c r="Y364" s="209">
        <f t="shared" si="105"/>
        <v>0</v>
      </c>
      <c r="Z364" s="209">
        <f t="shared" si="106"/>
        <v>0</v>
      </c>
      <c r="AA364" s="205">
        <f t="shared" si="107"/>
        <v>0</v>
      </c>
      <c r="AB364" s="209">
        <f t="shared" si="108"/>
        <v>0</v>
      </c>
      <c r="AC364" s="205">
        <f t="shared" si="109"/>
        <v>0</v>
      </c>
      <c r="AD364" s="210">
        <f t="shared" si="110"/>
        <v>0.57569444444379769</v>
      </c>
      <c r="AE364" s="210">
        <f t="shared" si="111"/>
        <v>0</v>
      </c>
      <c r="AF364" s="210">
        <f t="shared" si="112"/>
        <v>0.57569444444379769</v>
      </c>
      <c r="AG364" s="210">
        <f t="shared" si="113"/>
        <v>0</v>
      </c>
    </row>
    <row r="365" spans="2:33" ht="15" customHeight="1" x14ac:dyDescent="0.3">
      <c r="B365" s="196" t="s">
        <v>7</v>
      </c>
      <c r="C365" s="197" t="s">
        <v>13</v>
      </c>
      <c r="D365" s="198" t="str">
        <f t="shared" si="95"/>
        <v>C</v>
      </c>
      <c r="E365" s="199">
        <v>43998.333333333336</v>
      </c>
      <c r="F365" s="200" t="s">
        <v>116</v>
      </c>
      <c r="G365" s="201">
        <v>1.8214699999999999</v>
      </c>
      <c r="H365" s="201">
        <v>1.8435900000000001</v>
      </c>
      <c r="I365" s="202">
        <f t="shared" si="96"/>
        <v>2.212000000000014E-2</v>
      </c>
      <c r="J365" s="201">
        <v>1.7477400000000001</v>
      </c>
      <c r="K365" s="199">
        <v>43998.738888888889</v>
      </c>
      <c r="L365" s="201">
        <v>1.83253</v>
      </c>
      <c r="M365" s="203">
        <f t="shared" si="97"/>
        <v>-1.11E-2</v>
      </c>
      <c r="N365" s="204">
        <f t="shared" si="98"/>
        <v>-0.5</v>
      </c>
      <c r="O365" s="205">
        <f t="shared" si="99"/>
        <v>0</v>
      </c>
      <c r="P365" s="206">
        <f t="shared" si="100"/>
        <v>0</v>
      </c>
      <c r="Q365" s="206">
        <f t="shared" si="101"/>
        <v>-0.5</v>
      </c>
      <c r="R3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239890</v>
      </c>
      <c r="T3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65" s="208">
        <f ca="1">IF(Tabla33610673[[#This Row],[Equity]]&lt;Tabla33610673[[#This Row],[Equity Peak]],(Tabla33610673[[#This Row],[Equity Peak]]-Tabla33610673[[#This Row],[Equity]])/Tabla33610673[[#This Row],[Equity Peak]],"")</f>
        <v>1.8332855915210541E-2</v>
      </c>
      <c r="V365" s="209">
        <f t="shared" si="102"/>
        <v>-0.5</v>
      </c>
      <c r="W365" s="209">
        <f t="shared" si="103"/>
        <v>0</v>
      </c>
      <c r="X365" s="209">
        <f t="shared" si="104"/>
        <v>0</v>
      </c>
      <c r="Y365" s="209">
        <f t="shared" si="105"/>
        <v>0</v>
      </c>
      <c r="Z365" s="209">
        <f t="shared" si="106"/>
        <v>0</v>
      </c>
      <c r="AA365" s="205">
        <f t="shared" si="107"/>
        <v>0</v>
      </c>
      <c r="AB365" s="209">
        <f t="shared" si="108"/>
        <v>0</v>
      </c>
      <c r="AC365" s="205">
        <f t="shared" si="109"/>
        <v>0</v>
      </c>
      <c r="AD365" s="210">
        <f t="shared" si="110"/>
        <v>0.40555555555329192</v>
      </c>
      <c r="AE365" s="210">
        <f t="shared" si="111"/>
        <v>0</v>
      </c>
      <c r="AF365" s="210">
        <f t="shared" si="112"/>
        <v>0.40555555555329192</v>
      </c>
      <c r="AG365" s="210">
        <f t="shared" si="113"/>
        <v>0</v>
      </c>
    </row>
    <row r="366" spans="2:33" ht="15" customHeight="1" x14ac:dyDescent="0.3">
      <c r="B366" s="196" t="s">
        <v>84</v>
      </c>
      <c r="C366" s="197" t="s">
        <v>13</v>
      </c>
      <c r="D366" s="198" t="str">
        <f t="shared" si="95"/>
        <v>C</v>
      </c>
      <c r="E366" s="199">
        <v>43997.5</v>
      </c>
      <c r="F366" s="200" t="s">
        <v>82</v>
      </c>
      <c r="G366" s="201">
        <v>223.52</v>
      </c>
      <c r="H366" s="201">
        <v>232.42</v>
      </c>
      <c r="I366" s="202">
        <f t="shared" si="96"/>
        <v>8.8999999999999773</v>
      </c>
      <c r="J366" s="201">
        <v>57.4</v>
      </c>
      <c r="K366" s="199">
        <v>43997.777777777781</v>
      </c>
      <c r="L366" s="201">
        <v>230.68</v>
      </c>
      <c r="M366" s="203">
        <f t="shared" si="97"/>
        <v>-7.16</v>
      </c>
      <c r="N366" s="204">
        <f t="shared" si="98"/>
        <v>-0.8</v>
      </c>
      <c r="O366" s="205">
        <f t="shared" si="99"/>
        <v>0</v>
      </c>
      <c r="P366" s="206">
        <f t="shared" si="100"/>
        <v>0</v>
      </c>
      <c r="Q366" s="206">
        <f t="shared" si="101"/>
        <v>-0.8</v>
      </c>
      <c r="R3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240390</v>
      </c>
      <c r="T3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66" s="208">
        <f ca="1">IF(Tabla33610673[[#This Row],[Equity]]&lt;Tabla33610673[[#This Row],[Equity Peak]],(Tabla33610673[[#This Row],[Equity Peak]]-Tabla33610673[[#This Row],[Equity]])/Tabla33610673[[#This Row],[Equity Peak]],"")</f>
        <v>1.6286778246102224E-2</v>
      </c>
      <c r="V366" s="209">
        <f t="shared" si="102"/>
        <v>0</v>
      </c>
      <c r="W366" s="209">
        <f t="shared" si="103"/>
        <v>0</v>
      </c>
      <c r="X366" s="209">
        <f t="shared" si="104"/>
        <v>0</v>
      </c>
      <c r="Y366" s="209">
        <f t="shared" si="105"/>
        <v>0</v>
      </c>
      <c r="Z366" s="209">
        <f t="shared" si="106"/>
        <v>0</v>
      </c>
      <c r="AA366" s="205">
        <f t="shared" si="107"/>
        <v>0</v>
      </c>
      <c r="AB366" s="209">
        <f t="shared" si="108"/>
        <v>-0.8</v>
      </c>
      <c r="AC366" s="205">
        <f t="shared" si="109"/>
        <v>0</v>
      </c>
      <c r="AD366" s="210">
        <f t="shared" si="110"/>
        <v>0.27777777778101154</v>
      </c>
      <c r="AE366" s="210">
        <f t="shared" si="111"/>
        <v>0</v>
      </c>
      <c r="AF366" s="210">
        <f t="shared" si="112"/>
        <v>0.27777777778101154</v>
      </c>
      <c r="AG366" s="210">
        <f t="shared" si="113"/>
        <v>0</v>
      </c>
    </row>
    <row r="367" spans="2:33" ht="15" customHeight="1" x14ac:dyDescent="0.3">
      <c r="B367" s="196" t="s">
        <v>5</v>
      </c>
      <c r="C367" s="197" t="s">
        <v>13</v>
      </c>
      <c r="D367" s="198" t="str">
        <f t="shared" si="95"/>
        <v>C</v>
      </c>
      <c r="E367" s="199">
        <v>43997.416666666664</v>
      </c>
      <c r="F367" s="200" t="s">
        <v>93</v>
      </c>
      <c r="G367" s="201">
        <v>2950.6</v>
      </c>
      <c r="H367" s="201">
        <v>3023</v>
      </c>
      <c r="I367" s="202">
        <f t="shared" si="96"/>
        <v>72.400000000000091</v>
      </c>
      <c r="J367" s="201">
        <v>2757.52</v>
      </c>
      <c r="K367" s="199">
        <v>43997.763194444444</v>
      </c>
      <c r="L367" s="201">
        <v>3023</v>
      </c>
      <c r="M367" s="203">
        <f t="shared" si="97"/>
        <v>-72.400000000000006</v>
      </c>
      <c r="N367" s="204">
        <f t="shared" si="98"/>
        <v>-1</v>
      </c>
      <c r="O367" s="205">
        <f t="shared" si="99"/>
        <v>0</v>
      </c>
      <c r="P367" s="206">
        <f t="shared" si="100"/>
        <v>0</v>
      </c>
      <c r="Q367" s="206">
        <f t="shared" si="101"/>
        <v>-1</v>
      </c>
      <c r="R3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241190</v>
      </c>
      <c r="T3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67" s="208">
        <f ca="1">IF(Tabla33610673[[#This Row],[Equity]]&lt;Tabla33610673[[#This Row],[Equity Peak]],(Tabla33610673[[#This Row],[Equity Peak]]-Tabla33610673[[#This Row],[Equity]])/Tabla33610673[[#This Row],[Equity Peak]],"")</f>
        <v>1.3013053975528911E-2</v>
      </c>
      <c r="V367" s="209">
        <f t="shared" si="102"/>
        <v>0</v>
      </c>
      <c r="W367" s="209">
        <f t="shared" si="103"/>
        <v>0</v>
      </c>
      <c r="X367" s="209">
        <f t="shared" si="104"/>
        <v>0</v>
      </c>
      <c r="Y367" s="209">
        <f t="shared" si="105"/>
        <v>0</v>
      </c>
      <c r="Z367" s="209">
        <f t="shared" si="106"/>
        <v>-1</v>
      </c>
      <c r="AA367" s="205">
        <f t="shared" si="107"/>
        <v>0</v>
      </c>
      <c r="AB367" s="209">
        <f t="shared" si="108"/>
        <v>0</v>
      </c>
      <c r="AC367" s="205">
        <f t="shared" si="109"/>
        <v>0</v>
      </c>
      <c r="AD367" s="210">
        <f t="shared" si="110"/>
        <v>0.34652777777955635</v>
      </c>
      <c r="AE367" s="210">
        <f t="shared" si="111"/>
        <v>0</v>
      </c>
      <c r="AF367" s="210">
        <f t="shared" si="112"/>
        <v>0.34652777777955635</v>
      </c>
      <c r="AG367" s="210">
        <f t="shared" si="113"/>
        <v>0</v>
      </c>
    </row>
    <row r="368" spans="2:33" ht="15" customHeight="1" x14ac:dyDescent="0.3">
      <c r="B368" s="196" t="s">
        <v>5</v>
      </c>
      <c r="C368" s="197" t="s">
        <v>13</v>
      </c>
      <c r="D368" s="198" t="str">
        <f t="shared" si="95"/>
        <v>C</v>
      </c>
      <c r="E368" s="199">
        <v>43997.416666666664</v>
      </c>
      <c r="F368" s="200" t="s">
        <v>95</v>
      </c>
      <c r="G368" s="201">
        <v>24697.3</v>
      </c>
      <c r="H368" s="201">
        <v>25244.959999999999</v>
      </c>
      <c r="I368" s="202">
        <f t="shared" si="96"/>
        <v>547.65999999999985</v>
      </c>
      <c r="J368" s="201">
        <v>22506.67</v>
      </c>
      <c r="K368" s="199">
        <v>43997.741666666669</v>
      </c>
      <c r="L368" s="201">
        <v>25244.959999999999</v>
      </c>
      <c r="M368" s="203">
        <f t="shared" si="97"/>
        <v>-547.66</v>
      </c>
      <c r="N368" s="204">
        <f t="shared" si="98"/>
        <v>-1</v>
      </c>
      <c r="O368" s="205">
        <f t="shared" si="99"/>
        <v>0</v>
      </c>
      <c r="P368" s="206">
        <f t="shared" si="100"/>
        <v>0</v>
      </c>
      <c r="Q368" s="206">
        <f t="shared" si="101"/>
        <v>-1</v>
      </c>
      <c r="R3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242190</v>
      </c>
      <c r="T3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68" s="208">
        <f ca="1">IF(Tabla33610673[[#This Row],[Equity]]&lt;Tabla33610673[[#This Row],[Equity Peak]],(Tabla33610673[[#This Row],[Equity Peak]]-Tabla33610673[[#This Row],[Equity]])/Tabla33610673[[#This Row],[Equity Peak]],"")</f>
        <v>8.9208986373122724E-3</v>
      </c>
      <c r="V368" s="209">
        <f t="shared" si="102"/>
        <v>0</v>
      </c>
      <c r="W368" s="209">
        <f t="shared" si="103"/>
        <v>0</v>
      </c>
      <c r="X368" s="209">
        <f t="shared" si="104"/>
        <v>0</v>
      </c>
      <c r="Y368" s="209">
        <f t="shared" si="105"/>
        <v>0</v>
      </c>
      <c r="Z368" s="209">
        <f t="shared" si="106"/>
        <v>-1</v>
      </c>
      <c r="AA368" s="205">
        <f t="shared" si="107"/>
        <v>0</v>
      </c>
      <c r="AB368" s="209">
        <f t="shared" si="108"/>
        <v>0</v>
      </c>
      <c r="AC368" s="205">
        <f t="shared" si="109"/>
        <v>0</v>
      </c>
      <c r="AD368" s="210">
        <f t="shared" si="110"/>
        <v>0.32500000000436557</v>
      </c>
      <c r="AE368" s="210">
        <f t="shared" si="111"/>
        <v>0</v>
      </c>
      <c r="AF368" s="210">
        <f t="shared" si="112"/>
        <v>0.32500000000436557</v>
      </c>
      <c r="AG368" s="210">
        <f t="shared" si="113"/>
        <v>0</v>
      </c>
    </row>
    <row r="369" spans="2:33" ht="15" customHeight="1" x14ac:dyDescent="0.3">
      <c r="B369" s="196" t="s">
        <v>19</v>
      </c>
      <c r="C369" s="197" t="s">
        <v>15</v>
      </c>
      <c r="D369" s="198" t="str">
        <f t="shared" si="95"/>
        <v>C</v>
      </c>
      <c r="E369" s="199">
        <v>43992.208333333336</v>
      </c>
      <c r="F369" s="200" t="s">
        <v>88</v>
      </c>
      <c r="G369" s="201">
        <v>1716.88</v>
      </c>
      <c r="H369" s="201">
        <v>1695.05</v>
      </c>
      <c r="I369" s="202">
        <f t="shared" si="96"/>
        <v>21.830000000000155</v>
      </c>
      <c r="J369" s="201">
        <v>1856.59</v>
      </c>
      <c r="K369" s="199">
        <v>43997.53402777778</v>
      </c>
      <c r="L369" s="201">
        <v>1712.4</v>
      </c>
      <c r="M369" s="203">
        <f t="shared" si="97"/>
        <v>-4.4800000000000004</v>
      </c>
      <c r="N369" s="204">
        <f t="shared" si="98"/>
        <v>-0.21</v>
      </c>
      <c r="O369" s="205">
        <f t="shared" si="99"/>
        <v>0</v>
      </c>
      <c r="P369" s="206">
        <f t="shared" si="100"/>
        <v>0</v>
      </c>
      <c r="Q369" s="206">
        <f t="shared" si="101"/>
        <v>-0.21</v>
      </c>
      <c r="R3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243190</v>
      </c>
      <c r="T3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69" s="208">
        <f ca="1">IF(Tabla33610673[[#This Row],[Equity]]&lt;Tabla33610673[[#This Row],[Equity Peak]],(Tabla33610673[[#This Row],[Equity Peak]]-Tabla33610673[[#This Row],[Equity]])/Tabla33610673[[#This Row],[Equity Peak]],"")</f>
        <v>4.8287432990956336E-3</v>
      </c>
      <c r="V369" s="209">
        <f t="shared" si="102"/>
        <v>0</v>
      </c>
      <c r="W369" s="209">
        <f t="shared" si="103"/>
        <v>0</v>
      </c>
      <c r="X369" s="209">
        <f t="shared" si="104"/>
        <v>-0.21</v>
      </c>
      <c r="Y369" s="209">
        <f t="shared" si="105"/>
        <v>0</v>
      </c>
      <c r="Z369" s="209">
        <f t="shared" si="106"/>
        <v>0</v>
      </c>
      <c r="AA369" s="205">
        <f t="shared" si="107"/>
        <v>0</v>
      </c>
      <c r="AB369" s="209">
        <f t="shared" si="108"/>
        <v>0</v>
      </c>
      <c r="AC369" s="205">
        <f t="shared" si="109"/>
        <v>0</v>
      </c>
      <c r="AD369" s="210">
        <f t="shared" si="110"/>
        <v>5.3256944444437977</v>
      </c>
      <c r="AE369" s="210">
        <f t="shared" si="111"/>
        <v>0</v>
      </c>
      <c r="AF369" s="210">
        <f t="shared" si="112"/>
        <v>5.3256944444437977</v>
      </c>
      <c r="AG369" s="210">
        <f t="shared" si="113"/>
        <v>0</v>
      </c>
    </row>
    <row r="370" spans="2:33" ht="15" customHeight="1" x14ac:dyDescent="0.3">
      <c r="B370" s="196" t="s">
        <v>5</v>
      </c>
      <c r="C370" s="197" t="s">
        <v>15</v>
      </c>
      <c r="D370" s="198" t="str">
        <f t="shared" si="95"/>
        <v>C</v>
      </c>
      <c r="E370" s="199">
        <v>43987.833333333336</v>
      </c>
      <c r="F370" s="200" t="s">
        <v>92</v>
      </c>
      <c r="G370" s="201">
        <v>9832.52</v>
      </c>
      <c r="H370" s="201">
        <v>9412.49</v>
      </c>
      <c r="I370" s="202">
        <f t="shared" si="96"/>
        <v>420.03000000000065</v>
      </c>
      <c r="J370" s="201">
        <v>12632.69</v>
      </c>
      <c r="K370" s="199">
        <v>43997.34652777778</v>
      </c>
      <c r="L370" s="201">
        <v>9490.5300000000007</v>
      </c>
      <c r="M370" s="203">
        <f t="shared" si="97"/>
        <v>-341.99</v>
      </c>
      <c r="N370" s="204">
        <f t="shared" si="98"/>
        <v>-0.81</v>
      </c>
      <c r="O370" s="205">
        <f t="shared" si="99"/>
        <v>0</v>
      </c>
      <c r="P370" s="206">
        <f t="shared" si="100"/>
        <v>0</v>
      </c>
      <c r="Q370" s="206">
        <f t="shared" si="101"/>
        <v>-0.81</v>
      </c>
      <c r="R3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243400</v>
      </c>
      <c r="T3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70" s="208">
        <f ca="1">IF(Tabla33610673[[#This Row],[Equity]]&lt;Tabla33610673[[#This Row],[Equity Peak]],(Tabla33610673[[#This Row],[Equity Peak]]-Tabla33610673[[#This Row],[Equity]])/Tabla33610673[[#This Row],[Equity Peak]],"")</f>
        <v>3.9693906780701397E-3</v>
      </c>
      <c r="V370" s="209">
        <f t="shared" si="102"/>
        <v>0</v>
      </c>
      <c r="W370" s="209">
        <f t="shared" si="103"/>
        <v>0</v>
      </c>
      <c r="X370" s="209">
        <f t="shared" si="104"/>
        <v>0</v>
      </c>
      <c r="Y370" s="209">
        <f t="shared" si="105"/>
        <v>0</v>
      </c>
      <c r="Z370" s="209">
        <f t="shared" si="106"/>
        <v>-0.81</v>
      </c>
      <c r="AA370" s="205">
        <f t="shared" si="107"/>
        <v>0</v>
      </c>
      <c r="AB370" s="209">
        <f t="shared" si="108"/>
        <v>0</v>
      </c>
      <c r="AC370" s="205">
        <f t="shared" si="109"/>
        <v>0</v>
      </c>
      <c r="AD370" s="210">
        <f t="shared" si="110"/>
        <v>9.5131944444437977</v>
      </c>
      <c r="AE370" s="210">
        <f t="shared" si="111"/>
        <v>0</v>
      </c>
      <c r="AF370" s="210">
        <f t="shared" si="112"/>
        <v>9.5131944444437977</v>
      </c>
      <c r="AG370" s="210">
        <f t="shared" si="113"/>
        <v>0</v>
      </c>
    </row>
    <row r="371" spans="2:33" ht="15" customHeight="1" x14ac:dyDescent="0.3">
      <c r="B371" s="196" t="s">
        <v>5</v>
      </c>
      <c r="C371" s="197" t="s">
        <v>13</v>
      </c>
      <c r="D371" s="198" t="str">
        <f t="shared" si="95"/>
        <v>C</v>
      </c>
      <c r="E371" s="199">
        <v>43993.333333333336</v>
      </c>
      <c r="F371" s="200" t="s">
        <v>94</v>
      </c>
      <c r="G371" s="201">
        <v>6225.12</v>
      </c>
      <c r="H371" s="201">
        <v>6339.59</v>
      </c>
      <c r="I371" s="202">
        <f t="shared" si="96"/>
        <v>114.47000000000025</v>
      </c>
      <c r="J371" s="201">
        <v>5652.76</v>
      </c>
      <c r="K371" s="199">
        <v>43994.48541666667</v>
      </c>
      <c r="L371" s="201">
        <v>6131.03</v>
      </c>
      <c r="M371" s="203">
        <f t="shared" si="97"/>
        <v>94.09</v>
      </c>
      <c r="N371" s="204">
        <f t="shared" si="98"/>
        <v>0.82</v>
      </c>
      <c r="O371" s="205">
        <f t="shared" si="99"/>
        <v>0</v>
      </c>
      <c r="P371" s="206">
        <f t="shared" si="100"/>
        <v>0.82</v>
      </c>
      <c r="Q371" s="206">
        <f t="shared" si="101"/>
        <v>0</v>
      </c>
      <c r="R3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244210</v>
      </c>
      <c r="T3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71" s="208">
        <f ca="1">IF(Tabla33610673[[#This Row],[Equity]]&lt;Tabla33610673[[#This Row],[Equity Peak]],(Tabla33610673[[#This Row],[Equity Peak]]-Tabla33610673[[#This Row],[Equity]])/Tabla33610673[[#This Row],[Equity Peak]],"")</f>
        <v>6.5474485411466221E-4</v>
      </c>
      <c r="V371" s="209">
        <f t="shared" si="102"/>
        <v>0</v>
      </c>
      <c r="W371" s="209">
        <f t="shared" si="103"/>
        <v>0</v>
      </c>
      <c r="X371" s="209">
        <f t="shared" si="104"/>
        <v>0</v>
      </c>
      <c r="Y371" s="209">
        <f t="shared" si="105"/>
        <v>0</v>
      </c>
      <c r="Z371" s="209">
        <f t="shared" si="106"/>
        <v>0.82</v>
      </c>
      <c r="AA371" s="205">
        <f t="shared" si="107"/>
        <v>0</v>
      </c>
      <c r="AB371" s="209">
        <f t="shared" si="108"/>
        <v>0</v>
      </c>
      <c r="AC371" s="205">
        <f t="shared" si="109"/>
        <v>0</v>
      </c>
      <c r="AD371" s="210">
        <f t="shared" si="110"/>
        <v>1.1520833333343035</v>
      </c>
      <c r="AE371" s="210">
        <f t="shared" si="111"/>
        <v>1.1520833333343035</v>
      </c>
      <c r="AF371" s="210">
        <f t="shared" si="112"/>
        <v>0</v>
      </c>
      <c r="AG371" s="210">
        <f t="shared" si="113"/>
        <v>0</v>
      </c>
    </row>
    <row r="372" spans="2:33" ht="15" customHeight="1" x14ac:dyDescent="0.3">
      <c r="B372" s="196" t="s">
        <v>7</v>
      </c>
      <c r="C372" s="197" t="s">
        <v>15</v>
      </c>
      <c r="D372" s="198" t="str">
        <f t="shared" si="95"/>
        <v>C</v>
      </c>
      <c r="E372" s="199">
        <v>43993.833333333336</v>
      </c>
      <c r="F372" s="200" t="s">
        <v>120</v>
      </c>
      <c r="G372" s="201">
        <v>1.6527700000000001</v>
      </c>
      <c r="H372" s="201">
        <v>1.6414</v>
      </c>
      <c r="I372" s="202">
        <f t="shared" si="96"/>
        <v>1.1370000000000102E-2</v>
      </c>
      <c r="J372" s="201">
        <v>1.774</v>
      </c>
      <c r="K372" s="199">
        <v>43994.426388888889</v>
      </c>
      <c r="L372" s="201">
        <v>1.64584</v>
      </c>
      <c r="M372" s="203">
        <f t="shared" si="97"/>
        <v>-6.8999999999999999E-3</v>
      </c>
      <c r="N372" s="204">
        <f t="shared" si="98"/>
        <v>-0.61</v>
      </c>
      <c r="O372" s="205">
        <f t="shared" si="99"/>
        <v>0</v>
      </c>
      <c r="P372" s="206">
        <f t="shared" si="100"/>
        <v>0</v>
      </c>
      <c r="Q372" s="206">
        <f t="shared" si="101"/>
        <v>-0.61</v>
      </c>
      <c r="R3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243390</v>
      </c>
      <c r="T3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72" s="208">
        <f ca="1">IF(Tabla33610673[[#This Row],[Equity]]&lt;Tabla33610673[[#This Row],[Equity Peak]],(Tabla33610673[[#This Row],[Equity Peak]]-Tabla33610673[[#This Row],[Equity]])/Tabla33610673[[#This Row],[Equity Peak]],"")</f>
        <v>4.0103122314523064E-3</v>
      </c>
      <c r="V372" s="209">
        <f t="shared" si="102"/>
        <v>-0.61</v>
      </c>
      <c r="W372" s="209">
        <f t="shared" si="103"/>
        <v>0</v>
      </c>
      <c r="X372" s="209">
        <f t="shared" si="104"/>
        <v>0</v>
      </c>
      <c r="Y372" s="209">
        <f t="shared" si="105"/>
        <v>0</v>
      </c>
      <c r="Z372" s="209">
        <f t="shared" si="106"/>
        <v>0</v>
      </c>
      <c r="AA372" s="205">
        <f t="shared" si="107"/>
        <v>0</v>
      </c>
      <c r="AB372" s="209">
        <f t="shared" si="108"/>
        <v>0</v>
      </c>
      <c r="AC372" s="205">
        <f t="shared" si="109"/>
        <v>0</v>
      </c>
      <c r="AD372" s="210">
        <f t="shared" si="110"/>
        <v>0.59305555555329192</v>
      </c>
      <c r="AE372" s="210">
        <f t="shared" si="111"/>
        <v>0</v>
      </c>
      <c r="AF372" s="210">
        <f t="shared" si="112"/>
        <v>0.59305555555329192</v>
      </c>
      <c r="AG372" s="210">
        <f t="shared" si="113"/>
        <v>0</v>
      </c>
    </row>
    <row r="373" spans="2:33" ht="15" customHeight="1" x14ac:dyDescent="0.3">
      <c r="B373" s="196" t="s">
        <v>7</v>
      </c>
      <c r="C373" s="197" t="s">
        <v>13</v>
      </c>
      <c r="D373" s="198" t="str">
        <f t="shared" si="95"/>
        <v>C</v>
      </c>
      <c r="E373" s="199">
        <v>43991.833333333336</v>
      </c>
      <c r="F373" s="200" t="s">
        <v>113</v>
      </c>
      <c r="G373" s="201">
        <v>107.717</v>
      </c>
      <c r="H373" s="201">
        <v>108.871</v>
      </c>
      <c r="I373" s="202">
        <f t="shared" si="96"/>
        <v>1.1539999999999964</v>
      </c>
      <c r="J373" s="201">
        <v>102.33</v>
      </c>
      <c r="K373" s="199">
        <v>43994.366666666669</v>
      </c>
      <c r="L373" s="201">
        <v>107.277</v>
      </c>
      <c r="M373" s="203">
        <f t="shared" si="97"/>
        <v>0.44</v>
      </c>
      <c r="N373" s="204">
        <f t="shared" si="98"/>
        <v>0.38</v>
      </c>
      <c r="O373" s="205">
        <f t="shared" si="99"/>
        <v>0</v>
      </c>
      <c r="P373" s="206">
        <f t="shared" si="100"/>
        <v>0.38</v>
      </c>
      <c r="Q373" s="206">
        <f t="shared" si="101"/>
        <v>0</v>
      </c>
      <c r="R3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244000</v>
      </c>
      <c r="T3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73" s="208">
        <f ca="1">IF(Tabla33610673[[#This Row],[Equity]]&lt;Tabla33610673[[#This Row],[Equity Peak]],(Tabla33610673[[#This Row],[Equity Peak]]-Tabla33610673[[#This Row],[Equity]])/Tabla33610673[[#This Row],[Equity Peak]],"")</f>
        <v>1.5140974751401562E-3</v>
      </c>
      <c r="V373" s="209">
        <f t="shared" si="102"/>
        <v>0.38</v>
      </c>
      <c r="W373" s="209">
        <f t="shared" si="103"/>
        <v>0</v>
      </c>
      <c r="X373" s="209">
        <f t="shared" si="104"/>
        <v>0</v>
      </c>
      <c r="Y373" s="209">
        <f t="shared" si="105"/>
        <v>0</v>
      </c>
      <c r="Z373" s="209">
        <f t="shared" si="106"/>
        <v>0</v>
      </c>
      <c r="AA373" s="205">
        <f t="shared" si="107"/>
        <v>0</v>
      </c>
      <c r="AB373" s="209">
        <f t="shared" si="108"/>
        <v>0</v>
      </c>
      <c r="AC373" s="205">
        <f t="shared" si="109"/>
        <v>0</v>
      </c>
      <c r="AD373" s="210">
        <f t="shared" si="110"/>
        <v>2.5333333333328483</v>
      </c>
      <c r="AE373" s="210">
        <f t="shared" si="111"/>
        <v>2.5333333333328483</v>
      </c>
      <c r="AF373" s="210">
        <f t="shared" si="112"/>
        <v>0</v>
      </c>
      <c r="AG373" s="210">
        <f t="shared" si="113"/>
        <v>0</v>
      </c>
    </row>
    <row r="374" spans="2:33" ht="15" customHeight="1" x14ac:dyDescent="0.3">
      <c r="B374" s="196" t="s">
        <v>84</v>
      </c>
      <c r="C374" s="197" t="s">
        <v>13</v>
      </c>
      <c r="D374" s="198" t="str">
        <f t="shared" si="95"/>
        <v>C</v>
      </c>
      <c r="E374" s="199">
        <v>43993.833333333336</v>
      </c>
      <c r="F374" s="200" t="s">
        <v>80</v>
      </c>
      <c r="G374" s="201">
        <v>9093.1</v>
      </c>
      <c r="H374" s="201">
        <v>9368.7800000000007</v>
      </c>
      <c r="I374" s="202">
        <f t="shared" si="96"/>
        <v>275.68000000000029</v>
      </c>
      <c r="J374" s="201">
        <v>4957.88</v>
      </c>
      <c r="K374" s="199">
        <v>43993.85833333333</v>
      </c>
      <c r="L374" s="201">
        <v>9299.7800000000007</v>
      </c>
      <c r="M374" s="203">
        <f t="shared" si="97"/>
        <v>-206.68</v>
      </c>
      <c r="N374" s="204">
        <f t="shared" si="98"/>
        <v>-0.75</v>
      </c>
      <c r="O374" s="205">
        <f t="shared" si="99"/>
        <v>0</v>
      </c>
      <c r="P374" s="206">
        <f t="shared" si="100"/>
        <v>0</v>
      </c>
      <c r="Q374" s="206">
        <f t="shared" si="101"/>
        <v>-0.75</v>
      </c>
      <c r="R37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243620</v>
      </c>
      <c r="T37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74" s="208">
        <f ca="1">IF(Tabla33610673[[#This Row],[Equity]]&lt;Tabla33610673[[#This Row],[Equity Peak]],(Tabla33610673[[#This Row],[Equity Peak]]-Tabla33610673[[#This Row],[Equity]])/Tabla33610673[[#This Row],[Equity Peak]],"")</f>
        <v>3.0691165036624791E-3</v>
      </c>
      <c r="V374" s="209">
        <f t="shared" si="102"/>
        <v>0</v>
      </c>
      <c r="W374" s="209">
        <f t="shared" si="103"/>
        <v>0</v>
      </c>
      <c r="X374" s="209">
        <f t="shared" si="104"/>
        <v>0</v>
      </c>
      <c r="Y374" s="209">
        <f t="shared" si="105"/>
        <v>0</v>
      </c>
      <c r="Z374" s="209">
        <f t="shared" si="106"/>
        <v>0</v>
      </c>
      <c r="AA374" s="205">
        <f t="shared" si="107"/>
        <v>0</v>
      </c>
      <c r="AB374" s="209">
        <f t="shared" si="108"/>
        <v>-0.75</v>
      </c>
      <c r="AC374" s="205">
        <f t="shared" si="109"/>
        <v>0</v>
      </c>
      <c r="AD374" s="210">
        <f t="shared" si="110"/>
        <v>2.4999999994179234E-2</v>
      </c>
      <c r="AE374" s="210">
        <f t="shared" si="111"/>
        <v>0</v>
      </c>
      <c r="AF374" s="210">
        <f t="shared" si="112"/>
        <v>2.4999999994179234E-2</v>
      </c>
      <c r="AG374" s="210">
        <f t="shared" si="113"/>
        <v>0</v>
      </c>
    </row>
    <row r="375" spans="2:33" ht="15" customHeight="1" x14ac:dyDescent="0.3">
      <c r="B375" s="196" t="s">
        <v>7</v>
      </c>
      <c r="C375" s="197" t="s">
        <v>15</v>
      </c>
      <c r="D375" s="198" t="str">
        <f t="shared" si="95"/>
        <v>C</v>
      </c>
      <c r="E375" s="199">
        <v>43983.166666666664</v>
      </c>
      <c r="F375" s="200" t="s">
        <v>122</v>
      </c>
      <c r="G375" s="201">
        <v>72.094999999999999</v>
      </c>
      <c r="H375" s="201">
        <v>71.507000000000005</v>
      </c>
      <c r="I375" s="202">
        <f t="shared" si="96"/>
        <v>0.58799999999999386</v>
      </c>
      <c r="J375" s="201">
        <v>82.28</v>
      </c>
      <c r="K375" s="199">
        <v>43991.326388888891</v>
      </c>
      <c r="L375" s="201">
        <v>75.391999999999996</v>
      </c>
      <c r="M375" s="203">
        <f t="shared" si="97"/>
        <v>3.2970000000000002</v>
      </c>
      <c r="N375" s="204">
        <f t="shared" si="98"/>
        <v>5.61</v>
      </c>
      <c r="O375" s="205">
        <f t="shared" si="99"/>
        <v>0</v>
      </c>
      <c r="P375" s="206">
        <f t="shared" si="100"/>
        <v>5.61</v>
      </c>
      <c r="Q375" s="206">
        <f t="shared" si="101"/>
        <v>0</v>
      </c>
      <c r="R37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244370</v>
      </c>
      <c r="T37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244370</v>
      </c>
      <c r="U37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75" s="209">
        <f t="shared" si="102"/>
        <v>5.61</v>
      </c>
      <c r="W375" s="209">
        <f t="shared" si="103"/>
        <v>0</v>
      </c>
      <c r="X375" s="209">
        <f t="shared" si="104"/>
        <v>0</v>
      </c>
      <c r="Y375" s="209">
        <f t="shared" si="105"/>
        <v>0</v>
      </c>
      <c r="Z375" s="209">
        <f t="shared" si="106"/>
        <v>0</v>
      </c>
      <c r="AA375" s="205">
        <f t="shared" si="107"/>
        <v>0</v>
      </c>
      <c r="AB375" s="209">
        <f t="shared" si="108"/>
        <v>0</v>
      </c>
      <c r="AC375" s="205">
        <f t="shared" si="109"/>
        <v>0</v>
      </c>
      <c r="AD375" s="210">
        <f t="shared" si="110"/>
        <v>8.1597222222262644</v>
      </c>
      <c r="AE375" s="210">
        <f t="shared" si="111"/>
        <v>8.1597222222262644</v>
      </c>
      <c r="AF375" s="210">
        <f t="shared" si="112"/>
        <v>0</v>
      </c>
      <c r="AG375" s="210">
        <f t="shared" si="113"/>
        <v>0</v>
      </c>
    </row>
    <row r="376" spans="2:33" ht="15" customHeight="1" x14ac:dyDescent="0.3">
      <c r="B376" s="196" t="s">
        <v>5</v>
      </c>
      <c r="C376" s="197" t="s">
        <v>15</v>
      </c>
      <c r="D376" s="198" t="str">
        <f t="shared" si="95"/>
        <v>C</v>
      </c>
      <c r="E376" s="199">
        <v>43977.333333333336</v>
      </c>
      <c r="F376" s="200" t="s">
        <v>95</v>
      </c>
      <c r="G376" s="201">
        <v>24948.400000000001</v>
      </c>
      <c r="H376" s="201">
        <v>24325.51</v>
      </c>
      <c r="I376" s="202">
        <f t="shared" si="96"/>
        <v>622.89000000000306</v>
      </c>
      <c r="J376" s="201">
        <v>27439.97</v>
      </c>
      <c r="K376" s="199">
        <v>43990.908333333333</v>
      </c>
      <c r="L376" s="201">
        <v>27439.97</v>
      </c>
      <c r="M376" s="203">
        <f t="shared" si="97"/>
        <v>2491.5700000000002</v>
      </c>
      <c r="N376" s="204">
        <f t="shared" si="98"/>
        <v>4</v>
      </c>
      <c r="O376" s="205">
        <f t="shared" si="99"/>
        <v>0</v>
      </c>
      <c r="P376" s="206">
        <f t="shared" si="100"/>
        <v>4</v>
      </c>
      <c r="Q376" s="206">
        <f t="shared" si="101"/>
        <v>0</v>
      </c>
      <c r="R37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238760</v>
      </c>
      <c r="T37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238760</v>
      </c>
      <c r="U37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76" s="209">
        <f t="shared" si="102"/>
        <v>0</v>
      </c>
      <c r="W376" s="209">
        <f t="shared" si="103"/>
        <v>0</v>
      </c>
      <c r="X376" s="209">
        <f t="shared" si="104"/>
        <v>0</v>
      </c>
      <c r="Y376" s="209">
        <f t="shared" si="105"/>
        <v>0</v>
      </c>
      <c r="Z376" s="209">
        <f t="shared" si="106"/>
        <v>4</v>
      </c>
      <c r="AA376" s="205">
        <f t="shared" si="107"/>
        <v>0</v>
      </c>
      <c r="AB376" s="209">
        <f t="shared" si="108"/>
        <v>0</v>
      </c>
      <c r="AC376" s="205">
        <f t="shared" si="109"/>
        <v>0</v>
      </c>
      <c r="AD376" s="210">
        <f t="shared" si="110"/>
        <v>13.57499999999709</v>
      </c>
      <c r="AE376" s="210">
        <f t="shared" si="111"/>
        <v>13.57499999999709</v>
      </c>
      <c r="AF376" s="210">
        <f t="shared" si="112"/>
        <v>0</v>
      </c>
      <c r="AG376" s="210">
        <f t="shared" si="113"/>
        <v>0</v>
      </c>
    </row>
    <row r="377" spans="2:33" ht="15" customHeight="1" x14ac:dyDescent="0.3">
      <c r="B377" s="196" t="s">
        <v>7</v>
      </c>
      <c r="C377" s="197" t="s">
        <v>15</v>
      </c>
      <c r="D377" s="198" t="str">
        <f t="shared" si="95"/>
        <v>C</v>
      </c>
      <c r="E377" s="199">
        <v>43979.166666666664</v>
      </c>
      <c r="F377" s="200" t="s">
        <v>115</v>
      </c>
      <c r="G377" s="201">
        <v>132.33000000000001</v>
      </c>
      <c r="H377" s="201">
        <v>131.10400000000001</v>
      </c>
      <c r="I377" s="202">
        <f t="shared" si="96"/>
        <v>1.2259999999999991</v>
      </c>
      <c r="J377" s="201">
        <v>139.197</v>
      </c>
      <c r="K377" s="199">
        <v>43987.679166666669</v>
      </c>
      <c r="L377" s="201">
        <v>139.197</v>
      </c>
      <c r="M377" s="203">
        <f t="shared" si="97"/>
        <v>6.867</v>
      </c>
      <c r="N377" s="204">
        <f t="shared" si="98"/>
        <v>5.6</v>
      </c>
      <c r="O377" s="205">
        <f t="shared" si="99"/>
        <v>0</v>
      </c>
      <c r="P377" s="206">
        <f t="shared" si="100"/>
        <v>5.6</v>
      </c>
      <c r="Q377" s="206">
        <f t="shared" si="101"/>
        <v>0</v>
      </c>
      <c r="R37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234760</v>
      </c>
      <c r="T37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234760</v>
      </c>
      <c r="U37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77" s="209">
        <f t="shared" si="102"/>
        <v>5.6</v>
      </c>
      <c r="W377" s="209">
        <f t="shared" si="103"/>
        <v>0</v>
      </c>
      <c r="X377" s="209">
        <f t="shared" si="104"/>
        <v>0</v>
      </c>
      <c r="Y377" s="209">
        <f t="shared" si="105"/>
        <v>0</v>
      </c>
      <c r="Z377" s="209">
        <f t="shared" si="106"/>
        <v>0</v>
      </c>
      <c r="AA377" s="205">
        <f t="shared" si="107"/>
        <v>0</v>
      </c>
      <c r="AB377" s="209">
        <f t="shared" si="108"/>
        <v>0</v>
      </c>
      <c r="AC377" s="205">
        <f t="shared" si="109"/>
        <v>0</v>
      </c>
      <c r="AD377" s="210">
        <f t="shared" si="110"/>
        <v>8.5125000000043656</v>
      </c>
      <c r="AE377" s="210">
        <f t="shared" si="111"/>
        <v>8.5125000000043656</v>
      </c>
      <c r="AF377" s="210">
        <f t="shared" si="112"/>
        <v>0</v>
      </c>
      <c r="AG377" s="210">
        <f t="shared" si="113"/>
        <v>0</v>
      </c>
    </row>
    <row r="378" spans="2:33" ht="15" customHeight="1" x14ac:dyDescent="0.3">
      <c r="B378" s="196" t="s">
        <v>7</v>
      </c>
      <c r="C378" s="197" t="s">
        <v>13</v>
      </c>
      <c r="D378" s="198" t="str">
        <f t="shared" si="95"/>
        <v>C</v>
      </c>
      <c r="E378" s="199">
        <v>43983.017361111109</v>
      </c>
      <c r="F378" s="200" t="s">
        <v>120</v>
      </c>
      <c r="G378" s="201">
        <v>1.6659299999999999</v>
      </c>
      <c r="H378" s="201">
        <v>1.67567</v>
      </c>
      <c r="I378" s="202">
        <f t="shared" si="96"/>
        <v>9.7400000000000819E-3</v>
      </c>
      <c r="J378" s="201">
        <v>1.56206</v>
      </c>
      <c r="K378" s="199">
        <v>43985.47152777778</v>
      </c>
      <c r="L378" s="201">
        <v>1.6268800000000001</v>
      </c>
      <c r="M378" s="203">
        <f t="shared" si="97"/>
        <v>3.9E-2</v>
      </c>
      <c r="N378" s="204">
        <f t="shared" si="98"/>
        <v>4</v>
      </c>
      <c r="O378" s="205">
        <f t="shared" si="99"/>
        <v>0</v>
      </c>
      <c r="P378" s="206">
        <f t="shared" si="100"/>
        <v>4</v>
      </c>
      <c r="Q378" s="206">
        <f t="shared" si="101"/>
        <v>0</v>
      </c>
      <c r="R37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229160</v>
      </c>
      <c r="T37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229160</v>
      </c>
      <c r="U37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78" s="209">
        <f t="shared" si="102"/>
        <v>4</v>
      </c>
      <c r="W378" s="209">
        <f t="shared" si="103"/>
        <v>0</v>
      </c>
      <c r="X378" s="209">
        <f t="shared" si="104"/>
        <v>0</v>
      </c>
      <c r="Y378" s="209">
        <f t="shared" si="105"/>
        <v>0</v>
      </c>
      <c r="Z378" s="209">
        <f t="shared" si="106"/>
        <v>0</v>
      </c>
      <c r="AA378" s="205">
        <f t="shared" si="107"/>
        <v>0</v>
      </c>
      <c r="AB378" s="209">
        <f t="shared" si="108"/>
        <v>0</v>
      </c>
      <c r="AC378" s="205">
        <f t="shared" si="109"/>
        <v>0</v>
      </c>
      <c r="AD378" s="210">
        <f t="shared" si="110"/>
        <v>2.4541666666700621</v>
      </c>
      <c r="AE378" s="210">
        <f t="shared" si="111"/>
        <v>2.4541666666700621</v>
      </c>
      <c r="AF378" s="210">
        <f t="shared" si="112"/>
        <v>0</v>
      </c>
      <c r="AG378" s="210">
        <f t="shared" si="113"/>
        <v>0</v>
      </c>
    </row>
    <row r="379" spans="2:33" ht="15" customHeight="1" x14ac:dyDescent="0.3">
      <c r="B379" s="196" t="s">
        <v>19</v>
      </c>
      <c r="C379" s="197" t="s">
        <v>15</v>
      </c>
      <c r="D379" s="198" t="str">
        <f t="shared" si="95"/>
        <v>C</v>
      </c>
      <c r="E379" s="199">
        <v>43980.708333333336</v>
      </c>
      <c r="F379" s="200" t="s">
        <v>88</v>
      </c>
      <c r="G379" s="201">
        <v>1728.61</v>
      </c>
      <c r="H379" s="201">
        <v>1705.24</v>
      </c>
      <c r="I379" s="202">
        <f t="shared" si="96"/>
        <v>23.369999999999891</v>
      </c>
      <c r="J379" s="201">
        <v>1878.15</v>
      </c>
      <c r="K379" s="199">
        <v>43984.813194444447</v>
      </c>
      <c r="L379" s="201">
        <v>1722.7</v>
      </c>
      <c r="M379" s="203">
        <f t="shared" si="97"/>
        <v>-5.91</v>
      </c>
      <c r="N379" s="204">
        <f t="shared" si="98"/>
        <v>-0.25</v>
      </c>
      <c r="O379" s="205">
        <f t="shared" si="99"/>
        <v>0</v>
      </c>
      <c r="P379" s="206">
        <f t="shared" si="100"/>
        <v>0</v>
      </c>
      <c r="Q379" s="206">
        <f t="shared" si="101"/>
        <v>-0.25</v>
      </c>
      <c r="R37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225160</v>
      </c>
      <c r="T37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79" s="208">
        <f ca="1">IF(Tabla33610673[[#This Row],[Equity]]&lt;Tabla33610673[[#This Row],[Equity Peak]],(Tabla33610673[[#This Row],[Equity Peak]]-Tabla33610673[[#This Row],[Equity]])/Tabla33610673[[#This Row],[Equity Peak]],"")</f>
        <v>7.1872657524582216E-3</v>
      </c>
      <c r="V379" s="209">
        <f t="shared" si="102"/>
        <v>0</v>
      </c>
      <c r="W379" s="209">
        <f t="shared" si="103"/>
        <v>0</v>
      </c>
      <c r="X379" s="209">
        <f t="shared" si="104"/>
        <v>-0.25</v>
      </c>
      <c r="Y379" s="209">
        <f t="shared" si="105"/>
        <v>0</v>
      </c>
      <c r="Z379" s="209">
        <f t="shared" si="106"/>
        <v>0</v>
      </c>
      <c r="AA379" s="205">
        <f t="shared" si="107"/>
        <v>0</v>
      </c>
      <c r="AB379" s="209">
        <f t="shared" si="108"/>
        <v>0</v>
      </c>
      <c r="AC379" s="205">
        <f t="shared" si="109"/>
        <v>0</v>
      </c>
      <c r="AD379" s="210">
        <f t="shared" si="110"/>
        <v>4.1048611111109494</v>
      </c>
      <c r="AE379" s="210">
        <f t="shared" si="111"/>
        <v>0</v>
      </c>
      <c r="AF379" s="210">
        <f t="shared" si="112"/>
        <v>4.1048611111109494</v>
      </c>
      <c r="AG379" s="210">
        <f t="shared" si="113"/>
        <v>0</v>
      </c>
    </row>
    <row r="380" spans="2:33" ht="15" customHeight="1" x14ac:dyDescent="0.3">
      <c r="B380" s="196" t="s">
        <v>84</v>
      </c>
      <c r="C380" s="197" t="s">
        <v>15</v>
      </c>
      <c r="D380" s="198" t="str">
        <f t="shared" si="95"/>
        <v>C</v>
      </c>
      <c r="E380" s="199">
        <v>43983.166666666664</v>
      </c>
      <c r="F380" s="200" t="s">
        <v>82</v>
      </c>
      <c r="G380" s="201">
        <v>234.67</v>
      </c>
      <c r="H380" s="201">
        <v>227.52</v>
      </c>
      <c r="I380" s="202">
        <f t="shared" si="96"/>
        <v>7.1499999999999773</v>
      </c>
      <c r="J380" s="201">
        <v>368.07</v>
      </c>
      <c r="K380" s="199">
        <v>43984.768055555556</v>
      </c>
      <c r="L380" s="201">
        <v>233.03</v>
      </c>
      <c r="M380" s="203">
        <f t="shared" si="97"/>
        <v>-1.64</v>
      </c>
      <c r="N380" s="204">
        <f t="shared" si="98"/>
        <v>-0.23</v>
      </c>
      <c r="O380" s="205">
        <f t="shared" si="99"/>
        <v>0</v>
      </c>
      <c r="P380" s="206">
        <f t="shared" si="100"/>
        <v>0</v>
      </c>
      <c r="Q380" s="206">
        <f t="shared" si="101"/>
        <v>-0.23</v>
      </c>
      <c r="R38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225410</v>
      </c>
      <c r="T38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80" s="208">
        <f ca="1">IF(Tabla33610673[[#This Row],[Equity]]&lt;Tabla33610673[[#This Row],[Equity Peak]],(Tabla33610673[[#This Row],[Equity Peak]]-Tabla33610673[[#This Row],[Equity]])/Tabla33610673[[#This Row],[Equity Peak]],"")</f>
        <v>6.0849243793818066E-3</v>
      </c>
      <c r="V380" s="209">
        <f t="shared" si="102"/>
        <v>0</v>
      </c>
      <c r="W380" s="209">
        <f t="shared" si="103"/>
        <v>0</v>
      </c>
      <c r="X380" s="209">
        <f t="shared" si="104"/>
        <v>0</v>
      </c>
      <c r="Y380" s="209">
        <f t="shared" si="105"/>
        <v>0</v>
      </c>
      <c r="Z380" s="209">
        <f t="shared" si="106"/>
        <v>0</v>
      </c>
      <c r="AA380" s="205">
        <f t="shared" si="107"/>
        <v>0</v>
      </c>
      <c r="AB380" s="209">
        <f t="shared" si="108"/>
        <v>-0.23</v>
      </c>
      <c r="AC380" s="205">
        <f t="shared" si="109"/>
        <v>0</v>
      </c>
      <c r="AD380" s="210">
        <f t="shared" si="110"/>
        <v>1.601388888891961</v>
      </c>
      <c r="AE380" s="210">
        <f t="shared" si="111"/>
        <v>0</v>
      </c>
      <c r="AF380" s="210">
        <f t="shared" si="112"/>
        <v>1.601388888891961</v>
      </c>
      <c r="AG380" s="210">
        <f t="shared" si="113"/>
        <v>0</v>
      </c>
    </row>
    <row r="381" spans="2:33" ht="15" customHeight="1" x14ac:dyDescent="0.3">
      <c r="B381" s="196" t="s">
        <v>84</v>
      </c>
      <c r="C381" s="197" t="s">
        <v>15</v>
      </c>
      <c r="D381" s="198" t="str">
        <f t="shared" si="95"/>
        <v>C</v>
      </c>
      <c r="E381" s="199">
        <v>43979.166666666664</v>
      </c>
      <c r="F381" s="200" t="s">
        <v>80</v>
      </c>
      <c r="G381" s="201">
        <v>9268.0300000000007</v>
      </c>
      <c r="H381" s="201">
        <v>8993.5</v>
      </c>
      <c r="I381" s="202">
        <f t="shared" si="96"/>
        <v>274.53000000000065</v>
      </c>
      <c r="J381" s="201">
        <v>13386.04</v>
      </c>
      <c r="K381" s="199">
        <v>43984.728472222225</v>
      </c>
      <c r="L381" s="201">
        <v>9654.2099999999991</v>
      </c>
      <c r="M381" s="203">
        <f t="shared" si="97"/>
        <v>386.18</v>
      </c>
      <c r="N381" s="204">
        <f t="shared" si="98"/>
        <v>1.41</v>
      </c>
      <c r="O381" s="205">
        <f t="shared" si="99"/>
        <v>0</v>
      </c>
      <c r="P381" s="206">
        <f t="shared" si="100"/>
        <v>1.41</v>
      </c>
      <c r="Q381" s="206">
        <f t="shared" si="101"/>
        <v>0</v>
      </c>
      <c r="R38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225640</v>
      </c>
      <c r="T38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81" s="208">
        <f ca="1">IF(Tabla33610673[[#This Row],[Equity]]&lt;Tabla33610673[[#This Row],[Equity Peak]],(Tabla33610673[[#This Row],[Equity Peak]]-Tabla33610673[[#This Row],[Equity]])/Tabla33610673[[#This Row],[Equity Peak]],"")</f>
        <v>5.0707703161515056E-3</v>
      </c>
      <c r="V381" s="209">
        <f t="shared" si="102"/>
        <v>0</v>
      </c>
      <c r="W381" s="209">
        <f t="shared" si="103"/>
        <v>0</v>
      </c>
      <c r="X381" s="209">
        <f t="shared" si="104"/>
        <v>0</v>
      </c>
      <c r="Y381" s="209">
        <f t="shared" si="105"/>
        <v>0</v>
      </c>
      <c r="Z381" s="209">
        <f t="shared" si="106"/>
        <v>0</v>
      </c>
      <c r="AA381" s="205">
        <f t="shared" si="107"/>
        <v>0</v>
      </c>
      <c r="AB381" s="209">
        <f t="shared" si="108"/>
        <v>1.41</v>
      </c>
      <c r="AC381" s="205">
        <f t="shared" si="109"/>
        <v>0</v>
      </c>
      <c r="AD381" s="210">
        <f t="shared" si="110"/>
        <v>5.5618055555605679</v>
      </c>
      <c r="AE381" s="210">
        <f t="shared" si="111"/>
        <v>5.5618055555605679</v>
      </c>
      <c r="AF381" s="210">
        <f t="shared" si="112"/>
        <v>0</v>
      </c>
      <c r="AG381" s="210">
        <f t="shared" si="113"/>
        <v>0</v>
      </c>
    </row>
    <row r="382" spans="2:33" ht="15" customHeight="1" x14ac:dyDescent="0.3">
      <c r="B382" s="196" t="s">
        <v>7</v>
      </c>
      <c r="C382" s="197" t="s">
        <v>15</v>
      </c>
      <c r="D382" s="198" t="str">
        <f t="shared" si="95"/>
        <v>C</v>
      </c>
      <c r="E382" s="199">
        <v>43970.017361111109</v>
      </c>
      <c r="F382" s="200" t="s">
        <v>121</v>
      </c>
      <c r="G382" s="201">
        <v>0.65183999999999997</v>
      </c>
      <c r="H382" s="201">
        <v>0.64712999999999998</v>
      </c>
      <c r="I382" s="202">
        <f t="shared" si="96"/>
        <v>4.709999999999992E-3</v>
      </c>
      <c r="J382" s="201">
        <v>0.67696000000000001</v>
      </c>
      <c r="K382" s="199">
        <v>43983.450694444444</v>
      </c>
      <c r="L382" s="201">
        <v>0.67696000000000001</v>
      </c>
      <c r="M382" s="203">
        <f t="shared" si="97"/>
        <v>2.5100000000000001E-2</v>
      </c>
      <c r="N382" s="204">
        <f t="shared" si="98"/>
        <v>5.33</v>
      </c>
      <c r="O382" s="205">
        <f t="shared" si="99"/>
        <v>0</v>
      </c>
      <c r="P382" s="206">
        <f t="shared" si="100"/>
        <v>5.33</v>
      </c>
      <c r="Q382" s="206">
        <f t="shared" si="101"/>
        <v>0</v>
      </c>
      <c r="R38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224230</v>
      </c>
      <c r="T38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82" s="208">
        <f ca="1">IF(Tabla33610673[[#This Row],[Equity]]&lt;Tabla33610673[[#This Row],[Equity Peak]],(Tabla33610673[[#This Row],[Equity Peak]]-Tabla33610673[[#This Row],[Equity]])/Tabla33610673[[#This Row],[Equity Peak]],"")</f>
        <v>1.1287975660302483E-2</v>
      </c>
      <c r="V382" s="209">
        <f t="shared" si="102"/>
        <v>5.33</v>
      </c>
      <c r="W382" s="209">
        <f t="shared" si="103"/>
        <v>0</v>
      </c>
      <c r="X382" s="209">
        <f t="shared" si="104"/>
        <v>0</v>
      </c>
      <c r="Y382" s="209">
        <f t="shared" si="105"/>
        <v>0</v>
      </c>
      <c r="Z382" s="209">
        <f t="shared" si="106"/>
        <v>0</v>
      </c>
      <c r="AA382" s="205">
        <f t="shared" si="107"/>
        <v>0</v>
      </c>
      <c r="AB382" s="209">
        <f t="shared" si="108"/>
        <v>0</v>
      </c>
      <c r="AC382" s="205">
        <f t="shared" si="109"/>
        <v>0</v>
      </c>
      <c r="AD382" s="210">
        <f t="shared" si="110"/>
        <v>13.433333333334303</v>
      </c>
      <c r="AE382" s="210">
        <f t="shared" si="111"/>
        <v>13.433333333334303</v>
      </c>
      <c r="AF382" s="210">
        <f t="shared" si="112"/>
        <v>0</v>
      </c>
      <c r="AG382" s="210">
        <f t="shared" si="113"/>
        <v>0</v>
      </c>
    </row>
    <row r="383" spans="2:33" ht="15" customHeight="1" x14ac:dyDescent="0.3">
      <c r="B383" s="196" t="s">
        <v>7</v>
      </c>
      <c r="C383" s="197" t="s">
        <v>13</v>
      </c>
      <c r="D383" s="198" t="str">
        <f t="shared" si="95"/>
        <v>C</v>
      </c>
      <c r="E383" s="199">
        <v>43957.5</v>
      </c>
      <c r="F383" s="200" t="s">
        <v>116</v>
      </c>
      <c r="G383" s="201">
        <v>1.92567</v>
      </c>
      <c r="H383" s="201">
        <v>1.9503699999999999</v>
      </c>
      <c r="I383" s="202">
        <f t="shared" si="96"/>
        <v>2.4699999999999944E-2</v>
      </c>
      <c r="J383" s="201">
        <v>1.84335</v>
      </c>
      <c r="K383" s="199">
        <v>43983.197222222225</v>
      </c>
      <c r="L383" s="201">
        <v>1.84335</v>
      </c>
      <c r="M383" s="203">
        <f t="shared" si="97"/>
        <v>8.2299999999999998E-2</v>
      </c>
      <c r="N383" s="204">
        <f t="shared" si="98"/>
        <v>3.33</v>
      </c>
      <c r="O383" s="205">
        <f t="shared" si="99"/>
        <v>0</v>
      </c>
      <c r="P383" s="206">
        <f t="shared" si="100"/>
        <v>3.33</v>
      </c>
      <c r="Q383" s="206">
        <f t="shared" si="101"/>
        <v>0</v>
      </c>
      <c r="R38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218900</v>
      </c>
      <c r="T38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83" s="208">
        <f ca="1">IF(Tabla33610673[[#This Row],[Equity]]&lt;Tabla33610673[[#This Row],[Equity Peak]],(Tabla33610673[[#This Row],[Equity Peak]]-Tabla33610673[[#This Row],[Equity]])/Tabla33610673[[#This Row],[Equity Peak]],"")</f>
        <v>3.4789893734291637E-2</v>
      </c>
      <c r="V383" s="209">
        <f t="shared" si="102"/>
        <v>3.33</v>
      </c>
      <c r="W383" s="209">
        <f t="shared" si="103"/>
        <v>0</v>
      </c>
      <c r="X383" s="209">
        <f t="shared" si="104"/>
        <v>0</v>
      </c>
      <c r="Y383" s="209">
        <f t="shared" si="105"/>
        <v>0</v>
      </c>
      <c r="Z383" s="209">
        <f t="shared" si="106"/>
        <v>0</v>
      </c>
      <c r="AA383" s="205">
        <f t="shared" si="107"/>
        <v>0</v>
      </c>
      <c r="AB383" s="209">
        <f t="shared" si="108"/>
        <v>0</v>
      </c>
      <c r="AC383" s="205">
        <f t="shared" si="109"/>
        <v>0</v>
      </c>
      <c r="AD383" s="210">
        <f t="shared" si="110"/>
        <v>25.697222222224809</v>
      </c>
      <c r="AE383" s="210">
        <f t="shared" si="111"/>
        <v>25.697222222224809</v>
      </c>
      <c r="AF383" s="210">
        <f t="shared" si="112"/>
        <v>0</v>
      </c>
      <c r="AG383" s="210">
        <f t="shared" si="113"/>
        <v>0</v>
      </c>
    </row>
    <row r="384" spans="2:33" ht="15" customHeight="1" x14ac:dyDescent="0.3">
      <c r="B384" s="196" t="s">
        <v>7</v>
      </c>
      <c r="C384" s="197" t="s">
        <v>13</v>
      </c>
      <c r="D384" s="198" t="str">
        <f t="shared" si="95"/>
        <v>C</v>
      </c>
      <c r="E384" s="199">
        <v>43980.5</v>
      </c>
      <c r="F384" s="200" t="s">
        <v>113</v>
      </c>
      <c r="G384" s="201">
        <v>107.227</v>
      </c>
      <c r="H384" s="201">
        <v>107.83499999999999</v>
      </c>
      <c r="I384" s="202">
        <f t="shared" si="96"/>
        <v>0.60799999999998988</v>
      </c>
      <c r="J384" s="201">
        <v>104.392</v>
      </c>
      <c r="K384" s="199">
        <v>43980.696527777778</v>
      </c>
      <c r="L384" s="201">
        <v>107.476</v>
      </c>
      <c r="M384" s="203">
        <f t="shared" si="97"/>
        <v>-0.249</v>
      </c>
      <c r="N384" s="204">
        <f t="shared" si="98"/>
        <v>-0.41</v>
      </c>
      <c r="O384" s="205">
        <f t="shared" si="99"/>
        <v>0</v>
      </c>
      <c r="P384" s="206">
        <f t="shared" si="100"/>
        <v>0</v>
      </c>
      <c r="Q384" s="206">
        <f t="shared" si="101"/>
        <v>-0.41</v>
      </c>
      <c r="R38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215570</v>
      </c>
      <c r="T38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84" s="208">
        <f ca="1">IF(Tabla33610673[[#This Row],[Equity]]&lt;Tabla33610673[[#This Row],[Equity Peak]],(Tabla33610673[[#This Row],[Equity Peak]]-Tabla33610673[[#This Row],[Equity]])/Tabla33610673[[#This Row],[Equity Peak]],"")</f>
        <v>4.9473080823669476E-2</v>
      </c>
      <c r="V384" s="209">
        <f t="shared" si="102"/>
        <v>-0.41</v>
      </c>
      <c r="W384" s="209">
        <f t="shared" si="103"/>
        <v>0</v>
      </c>
      <c r="X384" s="209">
        <f t="shared" si="104"/>
        <v>0</v>
      </c>
      <c r="Y384" s="209">
        <f t="shared" si="105"/>
        <v>0</v>
      </c>
      <c r="Z384" s="209">
        <f t="shared" si="106"/>
        <v>0</v>
      </c>
      <c r="AA384" s="205">
        <f t="shared" si="107"/>
        <v>0</v>
      </c>
      <c r="AB384" s="209">
        <f t="shared" si="108"/>
        <v>0</v>
      </c>
      <c r="AC384" s="205">
        <f t="shared" si="109"/>
        <v>0</v>
      </c>
      <c r="AD384" s="210">
        <f t="shared" si="110"/>
        <v>0.19652777777810115</v>
      </c>
      <c r="AE384" s="210">
        <f t="shared" si="111"/>
        <v>0</v>
      </c>
      <c r="AF384" s="210">
        <f t="shared" si="112"/>
        <v>0.19652777777810115</v>
      </c>
      <c r="AG384" s="210">
        <f t="shared" si="113"/>
        <v>0</v>
      </c>
    </row>
    <row r="385" spans="2:33" ht="15" customHeight="1" x14ac:dyDescent="0.3">
      <c r="B385" s="196" t="s">
        <v>84</v>
      </c>
      <c r="C385" s="197" t="s">
        <v>15</v>
      </c>
      <c r="D385" s="198" t="str">
        <f t="shared" si="95"/>
        <v>C</v>
      </c>
      <c r="E385" s="199">
        <v>43980.166666666664</v>
      </c>
      <c r="F385" s="200" t="s">
        <v>82</v>
      </c>
      <c r="G385" s="201">
        <v>223.6</v>
      </c>
      <c r="H385" s="201">
        <v>218.2</v>
      </c>
      <c r="I385" s="202">
        <f t="shared" si="96"/>
        <v>5.4000000000000057</v>
      </c>
      <c r="J385" s="201">
        <v>324.44</v>
      </c>
      <c r="K385" s="199">
        <v>43980.580555555556</v>
      </c>
      <c r="L385" s="201">
        <v>218.2</v>
      </c>
      <c r="M385" s="203">
        <f t="shared" si="97"/>
        <v>-5.4</v>
      </c>
      <c r="N385" s="204">
        <f t="shared" si="98"/>
        <v>-1</v>
      </c>
      <c r="O385" s="205">
        <f t="shared" si="99"/>
        <v>0</v>
      </c>
      <c r="P385" s="206">
        <f t="shared" si="100"/>
        <v>0</v>
      </c>
      <c r="Q385" s="206">
        <f t="shared" si="101"/>
        <v>-1</v>
      </c>
      <c r="R38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215980</v>
      </c>
      <c r="T38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85" s="208">
        <f ca="1">IF(Tabla33610673[[#This Row],[Equity]]&lt;Tabla33610673[[#This Row],[Equity Peak]],(Tabla33610673[[#This Row],[Equity Peak]]-Tabla33610673[[#This Row],[Equity]])/Tabla33610673[[#This Row],[Equity Peak]],"")</f>
        <v>4.7665240971824153E-2</v>
      </c>
      <c r="V385" s="209">
        <f t="shared" si="102"/>
        <v>0</v>
      </c>
      <c r="W385" s="209">
        <f t="shared" si="103"/>
        <v>0</v>
      </c>
      <c r="X385" s="209">
        <f t="shared" si="104"/>
        <v>0</v>
      </c>
      <c r="Y385" s="209">
        <f t="shared" si="105"/>
        <v>0</v>
      </c>
      <c r="Z385" s="209">
        <f t="shared" si="106"/>
        <v>0</v>
      </c>
      <c r="AA385" s="205">
        <f t="shared" si="107"/>
        <v>0</v>
      </c>
      <c r="AB385" s="209">
        <f t="shared" si="108"/>
        <v>-1</v>
      </c>
      <c r="AC385" s="205">
        <f t="shared" si="109"/>
        <v>0</v>
      </c>
      <c r="AD385" s="210">
        <f t="shared" si="110"/>
        <v>0.41388888889196096</v>
      </c>
      <c r="AE385" s="210">
        <f t="shared" si="111"/>
        <v>0</v>
      </c>
      <c r="AF385" s="210">
        <f t="shared" si="112"/>
        <v>0.41388888889196096</v>
      </c>
      <c r="AG385" s="210">
        <f t="shared" si="113"/>
        <v>0</v>
      </c>
    </row>
    <row r="386" spans="2:33" ht="15" customHeight="1" x14ac:dyDescent="0.3">
      <c r="B386" s="196" t="s">
        <v>84</v>
      </c>
      <c r="C386" s="197" t="s">
        <v>15</v>
      </c>
      <c r="D386" s="198" t="str">
        <f t="shared" si="95"/>
        <v>C</v>
      </c>
      <c r="E386" s="199">
        <v>43978.5</v>
      </c>
      <c r="F386" s="200" t="s">
        <v>82</v>
      </c>
      <c r="G386" s="201">
        <v>205.44</v>
      </c>
      <c r="H386" s="201">
        <v>201.02</v>
      </c>
      <c r="I386" s="202">
        <f t="shared" si="96"/>
        <v>4.4199999999999875</v>
      </c>
      <c r="J386" s="201">
        <v>280.89999999999998</v>
      </c>
      <c r="K386" s="199">
        <v>43979.37222222222</v>
      </c>
      <c r="L386" s="201">
        <v>204.07</v>
      </c>
      <c r="M386" s="203">
        <f t="shared" si="97"/>
        <v>-1.37</v>
      </c>
      <c r="N386" s="204">
        <f t="shared" si="98"/>
        <v>-0.31</v>
      </c>
      <c r="O386" s="205">
        <f t="shared" si="99"/>
        <v>0</v>
      </c>
      <c r="P386" s="206">
        <f t="shared" si="100"/>
        <v>0</v>
      </c>
      <c r="Q386" s="206">
        <f t="shared" si="101"/>
        <v>-0.31</v>
      </c>
      <c r="R38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216980</v>
      </c>
      <c r="T38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86" s="208">
        <f ca="1">IF(Tabla33610673[[#This Row],[Equity]]&lt;Tabla33610673[[#This Row],[Equity Peak]],(Tabla33610673[[#This Row],[Equity Peak]]-Tabla33610673[[#This Row],[Equity]])/Tabla33610673[[#This Row],[Equity Peak]],"")</f>
        <v>4.32558754795185E-2</v>
      </c>
      <c r="V386" s="209">
        <f t="shared" si="102"/>
        <v>0</v>
      </c>
      <c r="W386" s="209">
        <f t="shared" si="103"/>
        <v>0</v>
      </c>
      <c r="X386" s="209">
        <f t="shared" si="104"/>
        <v>0</v>
      </c>
      <c r="Y386" s="209">
        <f t="shared" si="105"/>
        <v>0</v>
      </c>
      <c r="Z386" s="209">
        <f t="shared" si="106"/>
        <v>0</v>
      </c>
      <c r="AA386" s="205">
        <f t="shared" si="107"/>
        <v>0</v>
      </c>
      <c r="AB386" s="209">
        <f t="shared" si="108"/>
        <v>-0.31</v>
      </c>
      <c r="AC386" s="205">
        <f t="shared" si="109"/>
        <v>0</v>
      </c>
      <c r="AD386" s="210">
        <f t="shared" si="110"/>
        <v>0.87222222222044365</v>
      </c>
      <c r="AE386" s="210">
        <f t="shared" si="111"/>
        <v>0</v>
      </c>
      <c r="AF386" s="210">
        <f t="shared" si="112"/>
        <v>0.87222222222044365</v>
      </c>
      <c r="AG386" s="210">
        <f t="shared" si="113"/>
        <v>0</v>
      </c>
    </row>
    <row r="387" spans="2:33" ht="15" customHeight="1" x14ac:dyDescent="0.3">
      <c r="B387" s="196" t="s">
        <v>7</v>
      </c>
      <c r="C387" s="197" t="s">
        <v>15</v>
      </c>
      <c r="D387" s="198" t="str">
        <f t="shared" si="95"/>
        <v>C</v>
      </c>
      <c r="E387" s="199">
        <v>43977.5</v>
      </c>
      <c r="F387" s="200" t="s">
        <v>122</v>
      </c>
      <c r="G387" s="201">
        <v>71.344999999999999</v>
      </c>
      <c r="H387" s="201">
        <v>70.936000000000007</v>
      </c>
      <c r="I387" s="202">
        <f t="shared" si="96"/>
        <v>0.40899999999999181</v>
      </c>
      <c r="J387" s="201">
        <v>78.427999999999997</v>
      </c>
      <c r="K387" s="199">
        <v>43978.7</v>
      </c>
      <c r="L387" s="201">
        <v>70.936000000000007</v>
      </c>
      <c r="M387" s="203">
        <f t="shared" si="97"/>
        <v>-0.40899999999999997</v>
      </c>
      <c r="N387" s="204">
        <f t="shared" si="98"/>
        <v>-1</v>
      </c>
      <c r="O387" s="205">
        <f t="shared" si="99"/>
        <v>0</v>
      </c>
      <c r="P387" s="206">
        <f t="shared" si="100"/>
        <v>0</v>
      </c>
      <c r="Q387" s="206">
        <f t="shared" si="101"/>
        <v>-1</v>
      </c>
      <c r="R38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217290</v>
      </c>
      <c r="T38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87" s="208">
        <f ca="1">IF(Tabla33610673[[#This Row],[Equity]]&lt;Tabla33610673[[#This Row],[Equity Peak]],(Tabla33610673[[#This Row],[Equity Peak]]-Tabla33610673[[#This Row],[Equity]])/Tabla33610673[[#This Row],[Equity Peak]],"")</f>
        <v>4.1888972176903745E-2</v>
      </c>
      <c r="V387" s="209">
        <f t="shared" si="102"/>
        <v>-1</v>
      </c>
      <c r="W387" s="209">
        <f t="shared" si="103"/>
        <v>0</v>
      </c>
      <c r="X387" s="209">
        <f t="shared" si="104"/>
        <v>0</v>
      </c>
      <c r="Y387" s="209">
        <f t="shared" si="105"/>
        <v>0</v>
      </c>
      <c r="Z387" s="209">
        <f t="shared" si="106"/>
        <v>0</v>
      </c>
      <c r="AA387" s="205">
        <f t="shared" si="107"/>
        <v>0</v>
      </c>
      <c r="AB387" s="209">
        <f t="shared" si="108"/>
        <v>0</v>
      </c>
      <c r="AC387" s="205">
        <f t="shared" si="109"/>
        <v>0</v>
      </c>
      <c r="AD387" s="210">
        <f t="shared" si="110"/>
        <v>1.1999999999970896</v>
      </c>
      <c r="AE387" s="210">
        <f t="shared" si="111"/>
        <v>0</v>
      </c>
      <c r="AF387" s="210">
        <f t="shared" si="112"/>
        <v>1.1999999999970896</v>
      </c>
      <c r="AG387" s="210">
        <f t="shared" si="113"/>
        <v>0</v>
      </c>
    </row>
    <row r="388" spans="2:33" ht="15" customHeight="1" x14ac:dyDescent="0.3">
      <c r="B388" s="196" t="s">
        <v>7</v>
      </c>
      <c r="C388" s="197" t="s">
        <v>13</v>
      </c>
      <c r="D388" s="198" t="str">
        <f t="shared" si="95"/>
        <v>C</v>
      </c>
      <c r="E388" s="199">
        <v>43969.5</v>
      </c>
      <c r="F388" s="200" t="s">
        <v>120</v>
      </c>
      <c r="G388" s="201">
        <v>1.6769799999999999</v>
      </c>
      <c r="H388" s="201">
        <v>1.68729</v>
      </c>
      <c r="I388" s="202">
        <f t="shared" si="96"/>
        <v>1.0310000000000041E-2</v>
      </c>
      <c r="J388" s="201">
        <v>1.56701</v>
      </c>
      <c r="K388" s="199">
        <v>43978.634027777778</v>
      </c>
      <c r="L388" s="201">
        <v>1.6569799999999999</v>
      </c>
      <c r="M388" s="203">
        <f t="shared" si="97"/>
        <v>0.02</v>
      </c>
      <c r="N388" s="204">
        <f t="shared" si="98"/>
        <v>1.94</v>
      </c>
      <c r="O388" s="205">
        <f t="shared" si="99"/>
        <v>0</v>
      </c>
      <c r="P388" s="206">
        <f t="shared" si="100"/>
        <v>1.94</v>
      </c>
      <c r="Q388" s="206">
        <f t="shared" si="101"/>
        <v>0</v>
      </c>
      <c r="R38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218290</v>
      </c>
      <c r="T38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88" s="208">
        <f ca="1">IF(Tabla33610673[[#This Row],[Equity]]&lt;Tabla33610673[[#This Row],[Equity Peak]],(Tabla33610673[[#This Row],[Equity Peak]]-Tabla33610673[[#This Row],[Equity]])/Tabla33610673[[#This Row],[Equity Peak]],"")</f>
        <v>3.7479606684598085E-2</v>
      </c>
      <c r="V388" s="209">
        <f t="shared" si="102"/>
        <v>1.94</v>
      </c>
      <c r="W388" s="209">
        <f t="shared" si="103"/>
        <v>0</v>
      </c>
      <c r="X388" s="209">
        <f t="shared" si="104"/>
        <v>0</v>
      </c>
      <c r="Y388" s="209">
        <f t="shared" si="105"/>
        <v>0</v>
      </c>
      <c r="Z388" s="209">
        <f t="shared" si="106"/>
        <v>0</v>
      </c>
      <c r="AA388" s="205">
        <f t="shared" si="107"/>
        <v>0</v>
      </c>
      <c r="AB388" s="209">
        <f t="shared" si="108"/>
        <v>0</v>
      </c>
      <c r="AC388" s="205">
        <f t="shared" si="109"/>
        <v>0</v>
      </c>
      <c r="AD388" s="210">
        <f t="shared" si="110"/>
        <v>9.1340277777781012</v>
      </c>
      <c r="AE388" s="210">
        <f t="shared" si="111"/>
        <v>9.1340277777781012</v>
      </c>
      <c r="AF388" s="210">
        <f t="shared" si="112"/>
        <v>0</v>
      </c>
      <c r="AG388" s="210">
        <f t="shared" si="113"/>
        <v>0</v>
      </c>
    </row>
    <row r="389" spans="2:33" ht="15" customHeight="1" x14ac:dyDescent="0.3">
      <c r="B389" s="196" t="s">
        <v>84</v>
      </c>
      <c r="C389" s="197" t="s">
        <v>13</v>
      </c>
      <c r="D389" s="198" t="str">
        <f t="shared" si="95"/>
        <v>C</v>
      </c>
      <c r="E389" s="199">
        <v>43972.833333333336</v>
      </c>
      <c r="F389" s="200" t="s">
        <v>80</v>
      </c>
      <c r="G389" s="201">
        <v>9052.3799999999992</v>
      </c>
      <c r="H389" s="201">
        <v>9439.61</v>
      </c>
      <c r="I389" s="202">
        <f t="shared" si="96"/>
        <v>387.23000000000138</v>
      </c>
      <c r="J389" s="201">
        <v>3243.97</v>
      </c>
      <c r="K389" s="199">
        <v>43978.560416666667</v>
      </c>
      <c r="L389" s="201">
        <v>9056.7000000000007</v>
      </c>
      <c r="M389" s="203">
        <f t="shared" si="97"/>
        <v>-4.32</v>
      </c>
      <c r="N389" s="204">
        <f t="shared" si="98"/>
        <v>-0.01</v>
      </c>
      <c r="O389" s="205">
        <f t="shared" si="99"/>
        <v>0</v>
      </c>
      <c r="P389" s="206">
        <f t="shared" si="100"/>
        <v>0</v>
      </c>
      <c r="Q389" s="206">
        <f t="shared" si="101"/>
        <v>-0.01</v>
      </c>
      <c r="R38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216350</v>
      </c>
      <c r="T38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89" s="208">
        <f ca="1">IF(Tabla33610673[[#This Row],[Equity]]&lt;Tabla33610673[[#This Row],[Equity Peak]],(Tabla33610673[[#This Row],[Equity Peak]]-Tabla33610673[[#This Row],[Equity]])/Tabla33610673[[#This Row],[Equity Peak]],"")</f>
        <v>4.603377573967106E-2</v>
      </c>
      <c r="V389" s="209">
        <f t="shared" si="102"/>
        <v>0</v>
      </c>
      <c r="W389" s="209">
        <f t="shared" si="103"/>
        <v>0</v>
      </c>
      <c r="X389" s="209">
        <f t="shared" si="104"/>
        <v>0</v>
      </c>
      <c r="Y389" s="209">
        <f t="shared" si="105"/>
        <v>0</v>
      </c>
      <c r="Z389" s="209">
        <f t="shared" si="106"/>
        <v>0</v>
      </c>
      <c r="AA389" s="205">
        <f t="shared" si="107"/>
        <v>0</v>
      </c>
      <c r="AB389" s="209">
        <f t="shared" si="108"/>
        <v>-0.01</v>
      </c>
      <c r="AC389" s="205">
        <f t="shared" si="109"/>
        <v>0</v>
      </c>
      <c r="AD389" s="210">
        <f t="shared" si="110"/>
        <v>5.7270833333313931</v>
      </c>
      <c r="AE389" s="210">
        <f t="shared" si="111"/>
        <v>0</v>
      </c>
      <c r="AF389" s="210">
        <f t="shared" si="112"/>
        <v>5.7270833333313931</v>
      </c>
      <c r="AG389" s="210">
        <f t="shared" si="113"/>
        <v>0</v>
      </c>
    </row>
    <row r="390" spans="2:33" ht="15" customHeight="1" x14ac:dyDescent="0.3">
      <c r="B390" s="196" t="s">
        <v>84</v>
      </c>
      <c r="C390" s="197" t="s">
        <v>13</v>
      </c>
      <c r="D390" s="198" t="str">
        <f t="shared" si="95"/>
        <v>C</v>
      </c>
      <c r="E390" s="199">
        <v>43977.833333333336</v>
      </c>
      <c r="F390" s="200" t="s">
        <v>82</v>
      </c>
      <c r="G390" s="201">
        <v>198.75</v>
      </c>
      <c r="H390" s="201">
        <v>204.28</v>
      </c>
      <c r="I390" s="202">
        <f t="shared" si="96"/>
        <v>5.5300000000000011</v>
      </c>
      <c r="J390" s="201">
        <v>95.57</v>
      </c>
      <c r="K390" s="199">
        <v>43978.386805555558</v>
      </c>
      <c r="L390" s="201">
        <v>204.27</v>
      </c>
      <c r="M390" s="203">
        <f t="shared" si="97"/>
        <v>-5.52</v>
      </c>
      <c r="N390" s="204">
        <f t="shared" si="98"/>
        <v>-1</v>
      </c>
      <c r="O390" s="205">
        <f t="shared" si="99"/>
        <v>0</v>
      </c>
      <c r="P390" s="206">
        <f t="shared" si="100"/>
        <v>0</v>
      </c>
      <c r="Q390" s="206">
        <f t="shared" si="101"/>
        <v>-1</v>
      </c>
      <c r="R39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216360</v>
      </c>
      <c r="T39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90" s="208">
        <f ca="1">IF(Tabla33610673[[#This Row],[Equity]]&lt;Tabla33610673[[#This Row],[Equity Peak]],(Tabla33610673[[#This Row],[Equity Peak]]-Tabla33610673[[#This Row],[Equity]])/Tabla33610673[[#This Row],[Equity Peak]],"")</f>
        <v>4.5989682084748004E-2</v>
      </c>
      <c r="V390" s="209">
        <f t="shared" si="102"/>
        <v>0</v>
      </c>
      <c r="W390" s="209">
        <f t="shared" si="103"/>
        <v>0</v>
      </c>
      <c r="X390" s="209">
        <f t="shared" si="104"/>
        <v>0</v>
      </c>
      <c r="Y390" s="209">
        <f t="shared" si="105"/>
        <v>0</v>
      </c>
      <c r="Z390" s="209">
        <f t="shared" si="106"/>
        <v>0</v>
      </c>
      <c r="AA390" s="205">
        <f t="shared" si="107"/>
        <v>0</v>
      </c>
      <c r="AB390" s="209">
        <f t="shared" si="108"/>
        <v>-1</v>
      </c>
      <c r="AC390" s="205">
        <f t="shared" si="109"/>
        <v>0</v>
      </c>
      <c r="AD390" s="210">
        <f t="shared" si="110"/>
        <v>0.55347222222189885</v>
      </c>
      <c r="AE390" s="210">
        <f t="shared" si="111"/>
        <v>0</v>
      </c>
      <c r="AF390" s="210">
        <f t="shared" si="112"/>
        <v>0.55347222222189885</v>
      </c>
      <c r="AG390" s="210">
        <f t="shared" si="113"/>
        <v>0</v>
      </c>
    </row>
    <row r="391" spans="2:33" ht="15" customHeight="1" x14ac:dyDescent="0.3">
      <c r="B391" s="196" t="s">
        <v>5</v>
      </c>
      <c r="C391" s="197" t="s">
        <v>15</v>
      </c>
      <c r="D391" s="198" t="str">
        <f t="shared" si="95"/>
        <v>C</v>
      </c>
      <c r="E391" s="199">
        <v>43969.583333333336</v>
      </c>
      <c r="F391" s="200" t="s">
        <v>93</v>
      </c>
      <c r="G391" s="201">
        <v>2900.7</v>
      </c>
      <c r="H391" s="201">
        <v>2856.7</v>
      </c>
      <c r="I391" s="202">
        <f t="shared" si="96"/>
        <v>44</v>
      </c>
      <c r="J391" s="201">
        <v>3018.04</v>
      </c>
      <c r="K391" s="199">
        <v>43977.400694444441</v>
      </c>
      <c r="L391" s="201">
        <v>3018.04</v>
      </c>
      <c r="M391" s="203">
        <f t="shared" si="97"/>
        <v>117.34</v>
      </c>
      <c r="N391" s="204">
        <f t="shared" si="98"/>
        <v>2.67</v>
      </c>
      <c r="O391" s="205">
        <f t="shared" si="99"/>
        <v>0</v>
      </c>
      <c r="P391" s="206">
        <f t="shared" si="100"/>
        <v>2.67</v>
      </c>
      <c r="Q391" s="206">
        <f t="shared" si="101"/>
        <v>0</v>
      </c>
      <c r="R39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217360</v>
      </c>
      <c r="T39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91" s="208">
        <f ca="1">IF(Tabla33610673[[#This Row],[Equity]]&lt;Tabla33610673[[#This Row],[Equity Peak]],(Tabla33610673[[#This Row],[Equity Peak]]-Tabla33610673[[#This Row],[Equity]])/Tabla33610673[[#This Row],[Equity Peak]],"")</f>
        <v>4.1580316592442344E-2</v>
      </c>
      <c r="V391" s="209">
        <f t="shared" si="102"/>
        <v>0</v>
      </c>
      <c r="W391" s="209">
        <f t="shared" si="103"/>
        <v>0</v>
      </c>
      <c r="X391" s="209">
        <f t="shared" si="104"/>
        <v>0</v>
      </c>
      <c r="Y391" s="209">
        <f t="shared" si="105"/>
        <v>0</v>
      </c>
      <c r="Z391" s="209">
        <f t="shared" si="106"/>
        <v>2.67</v>
      </c>
      <c r="AA391" s="205">
        <f t="shared" si="107"/>
        <v>0</v>
      </c>
      <c r="AB391" s="209">
        <f t="shared" si="108"/>
        <v>0</v>
      </c>
      <c r="AC391" s="205">
        <f t="shared" si="109"/>
        <v>0</v>
      </c>
      <c r="AD391" s="210">
        <f t="shared" si="110"/>
        <v>7.8173611111051287</v>
      </c>
      <c r="AE391" s="210">
        <f t="shared" si="111"/>
        <v>7.8173611111051287</v>
      </c>
      <c r="AF391" s="210">
        <f t="shared" si="112"/>
        <v>0</v>
      </c>
      <c r="AG391" s="210">
        <f t="shared" si="113"/>
        <v>0</v>
      </c>
    </row>
    <row r="392" spans="2:33" ht="15" customHeight="1" x14ac:dyDescent="0.3">
      <c r="B392" s="196" t="s">
        <v>84</v>
      </c>
      <c r="C392" s="197" t="s">
        <v>15</v>
      </c>
      <c r="D392" s="198" t="str">
        <f t="shared" si="95"/>
        <v>C</v>
      </c>
      <c r="E392" s="199">
        <v>43973.833333333336</v>
      </c>
      <c r="F392" s="200" t="s">
        <v>82</v>
      </c>
      <c r="G392" s="201">
        <v>209.69</v>
      </c>
      <c r="H392" s="201">
        <v>202.54</v>
      </c>
      <c r="I392" s="202">
        <f t="shared" si="96"/>
        <v>7.1500000000000057</v>
      </c>
      <c r="J392" s="201">
        <v>343.19</v>
      </c>
      <c r="K392" s="199">
        <v>43976.07708333333</v>
      </c>
      <c r="L392" s="201">
        <v>202.54</v>
      </c>
      <c r="M392" s="203">
        <f t="shared" si="97"/>
        <v>-7.15</v>
      </c>
      <c r="N392" s="204">
        <f t="shared" si="98"/>
        <v>-1</v>
      </c>
      <c r="O392" s="205">
        <f t="shared" si="99"/>
        <v>0</v>
      </c>
      <c r="P392" s="206">
        <f t="shared" si="100"/>
        <v>0</v>
      </c>
      <c r="Q392" s="206">
        <f t="shared" si="101"/>
        <v>-1</v>
      </c>
      <c r="R39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214690</v>
      </c>
      <c r="T39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92" s="208">
        <f ca="1">IF(Tabla33610673[[#This Row],[Equity]]&lt;Tabla33610673[[#This Row],[Equity Peak]],(Tabla33610673[[#This Row],[Equity Peak]]-Tabla33610673[[#This Row],[Equity]])/Tabla33610673[[#This Row],[Equity Peak]],"")</f>
        <v>5.3353322456898451E-2</v>
      </c>
      <c r="V392" s="209">
        <f t="shared" si="102"/>
        <v>0</v>
      </c>
      <c r="W392" s="209">
        <f t="shared" si="103"/>
        <v>0</v>
      </c>
      <c r="X392" s="209">
        <f t="shared" si="104"/>
        <v>0</v>
      </c>
      <c r="Y392" s="209">
        <f t="shared" si="105"/>
        <v>0</v>
      </c>
      <c r="Z392" s="209">
        <f t="shared" si="106"/>
        <v>0</v>
      </c>
      <c r="AA392" s="205">
        <f t="shared" si="107"/>
        <v>0</v>
      </c>
      <c r="AB392" s="209">
        <f t="shared" si="108"/>
        <v>-1</v>
      </c>
      <c r="AC392" s="205">
        <f t="shared" si="109"/>
        <v>0</v>
      </c>
      <c r="AD392" s="210">
        <f t="shared" si="110"/>
        <v>2.2437499999941792</v>
      </c>
      <c r="AE392" s="210">
        <f t="shared" si="111"/>
        <v>0</v>
      </c>
      <c r="AF392" s="210">
        <f t="shared" si="112"/>
        <v>2.2437499999941792</v>
      </c>
      <c r="AG392" s="210">
        <f t="shared" si="113"/>
        <v>0</v>
      </c>
    </row>
    <row r="393" spans="2:33" ht="15" customHeight="1" x14ac:dyDescent="0.3">
      <c r="B393" s="196" t="s">
        <v>84</v>
      </c>
      <c r="C393" s="197" t="s">
        <v>13</v>
      </c>
      <c r="D393" s="198" t="str">
        <f t="shared" si="95"/>
        <v>C</v>
      </c>
      <c r="E393" s="199">
        <v>43973.166666666664</v>
      </c>
      <c r="F393" s="200" t="s">
        <v>82</v>
      </c>
      <c r="G393" s="201">
        <v>197.56</v>
      </c>
      <c r="H393" s="201">
        <v>204.01</v>
      </c>
      <c r="I393" s="202">
        <f t="shared" si="96"/>
        <v>6.4499999999999886</v>
      </c>
      <c r="J393" s="201">
        <v>77.2</v>
      </c>
      <c r="K393" s="199">
        <v>43973.4375</v>
      </c>
      <c r="L393" s="201">
        <v>203.09</v>
      </c>
      <c r="M393" s="203">
        <f t="shared" si="97"/>
        <v>-5.53</v>
      </c>
      <c r="N393" s="204">
        <f t="shared" si="98"/>
        <v>-0.86</v>
      </c>
      <c r="O393" s="205">
        <f t="shared" si="99"/>
        <v>0</v>
      </c>
      <c r="P393" s="206">
        <f t="shared" si="100"/>
        <v>0</v>
      </c>
      <c r="Q393" s="206">
        <f t="shared" si="101"/>
        <v>-0.86</v>
      </c>
      <c r="R39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215690</v>
      </c>
      <c r="T39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93" s="208">
        <f ca="1">IF(Tabla33610673[[#This Row],[Equity]]&lt;Tabla33610673[[#This Row],[Equity Peak]],(Tabla33610673[[#This Row],[Equity Peak]]-Tabla33610673[[#This Row],[Equity]])/Tabla33610673[[#This Row],[Equity Peak]],"")</f>
        <v>4.8943956964592798E-2</v>
      </c>
      <c r="V393" s="209">
        <f t="shared" si="102"/>
        <v>0</v>
      </c>
      <c r="W393" s="209">
        <f t="shared" si="103"/>
        <v>0</v>
      </c>
      <c r="X393" s="209">
        <f t="shared" si="104"/>
        <v>0</v>
      </c>
      <c r="Y393" s="209">
        <f t="shared" si="105"/>
        <v>0</v>
      </c>
      <c r="Z393" s="209">
        <f t="shared" si="106"/>
        <v>0</v>
      </c>
      <c r="AA393" s="205">
        <f t="shared" si="107"/>
        <v>0</v>
      </c>
      <c r="AB393" s="209">
        <f t="shared" si="108"/>
        <v>-0.86</v>
      </c>
      <c r="AC393" s="205">
        <f t="shared" si="109"/>
        <v>0</v>
      </c>
      <c r="AD393" s="210">
        <f t="shared" si="110"/>
        <v>0.27083333333575865</v>
      </c>
      <c r="AE393" s="210">
        <f t="shared" si="111"/>
        <v>0</v>
      </c>
      <c r="AF393" s="210">
        <f t="shared" si="112"/>
        <v>0.27083333333575865</v>
      </c>
      <c r="AG393" s="210">
        <f t="shared" si="113"/>
        <v>0</v>
      </c>
    </row>
    <row r="394" spans="2:33" ht="15" customHeight="1" x14ac:dyDescent="0.3">
      <c r="B394" s="196" t="s">
        <v>7</v>
      </c>
      <c r="C394" s="197" t="s">
        <v>15</v>
      </c>
      <c r="D394" s="198" t="str">
        <f t="shared" si="95"/>
        <v>C</v>
      </c>
      <c r="E394" s="199">
        <v>43970.166666666664</v>
      </c>
      <c r="F394" s="200" t="s">
        <v>122</v>
      </c>
      <c r="G394" s="201">
        <v>70.203000000000003</v>
      </c>
      <c r="H394" s="201">
        <v>69.634</v>
      </c>
      <c r="I394" s="202">
        <f t="shared" si="96"/>
        <v>0.56900000000000261</v>
      </c>
      <c r="J394" s="201">
        <v>80.072000000000003</v>
      </c>
      <c r="K394" s="199">
        <v>43973.426388888889</v>
      </c>
      <c r="L394" s="201">
        <v>69.994</v>
      </c>
      <c r="M394" s="203">
        <f t="shared" si="97"/>
        <v>-0.20899999999999999</v>
      </c>
      <c r="N394" s="204">
        <f t="shared" si="98"/>
        <v>-0.37</v>
      </c>
      <c r="O394" s="205">
        <f t="shared" si="99"/>
        <v>0</v>
      </c>
      <c r="P394" s="206">
        <f t="shared" si="100"/>
        <v>0</v>
      </c>
      <c r="Q394" s="206">
        <f t="shared" si="101"/>
        <v>-0.37</v>
      </c>
      <c r="R39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216550</v>
      </c>
      <c r="T39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94" s="208">
        <f ca="1">IF(Tabla33610673[[#This Row],[Equity]]&lt;Tabla33610673[[#This Row],[Equity Peak]],(Tabla33610673[[#This Row],[Equity Peak]]-Tabla33610673[[#This Row],[Equity]])/Tabla33610673[[#This Row],[Equity Peak]],"")</f>
        <v>4.5151902641209933E-2</v>
      </c>
      <c r="V394" s="209">
        <f t="shared" si="102"/>
        <v>-0.37</v>
      </c>
      <c r="W394" s="209">
        <f t="shared" si="103"/>
        <v>0</v>
      </c>
      <c r="X394" s="209">
        <f t="shared" si="104"/>
        <v>0</v>
      </c>
      <c r="Y394" s="209">
        <f t="shared" si="105"/>
        <v>0</v>
      </c>
      <c r="Z394" s="209">
        <f t="shared" si="106"/>
        <v>0</v>
      </c>
      <c r="AA394" s="205">
        <f t="shared" si="107"/>
        <v>0</v>
      </c>
      <c r="AB394" s="209">
        <f t="shared" si="108"/>
        <v>0</v>
      </c>
      <c r="AC394" s="205">
        <f t="shared" si="109"/>
        <v>0</v>
      </c>
      <c r="AD394" s="210">
        <f t="shared" si="110"/>
        <v>3.2597222222248092</v>
      </c>
      <c r="AE394" s="210">
        <f t="shared" si="111"/>
        <v>0</v>
      </c>
      <c r="AF394" s="210">
        <f t="shared" si="112"/>
        <v>3.2597222222248092</v>
      </c>
      <c r="AG394" s="210">
        <f t="shared" si="113"/>
        <v>0</v>
      </c>
    </row>
    <row r="395" spans="2:33" ht="15" customHeight="1" x14ac:dyDescent="0.3">
      <c r="B395" s="196" t="s">
        <v>7</v>
      </c>
      <c r="C395" s="197" t="s">
        <v>15</v>
      </c>
      <c r="D395" s="198" t="str">
        <f t="shared" si="95"/>
        <v>C</v>
      </c>
      <c r="E395" s="199">
        <v>43969.833333333336</v>
      </c>
      <c r="F395" s="200" t="s">
        <v>118</v>
      </c>
      <c r="G395" s="201">
        <v>117.032</v>
      </c>
      <c r="H395" s="201">
        <v>116.14</v>
      </c>
      <c r="I395" s="202">
        <f t="shared" si="96"/>
        <v>0.89199999999999591</v>
      </c>
      <c r="J395" s="201">
        <v>120.599</v>
      </c>
      <c r="K395" s="199">
        <v>43973.218055555553</v>
      </c>
      <c r="L395" s="201">
        <v>117.69499999999999</v>
      </c>
      <c r="M395" s="203">
        <f t="shared" si="97"/>
        <v>0.66300000000000003</v>
      </c>
      <c r="N395" s="204">
        <f t="shared" si="98"/>
        <v>0.74</v>
      </c>
      <c r="O395" s="205">
        <f t="shared" si="99"/>
        <v>0</v>
      </c>
      <c r="P395" s="206">
        <f t="shared" si="100"/>
        <v>0.74</v>
      </c>
      <c r="Q395" s="206">
        <f t="shared" si="101"/>
        <v>0</v>
      </c>
      <c r="R39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216920</v>
      </c>
      <c r="T39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95" s="208">
        <f ca="1">IF(Tabla33610673[[#This Row],[Equity]]&lt;Tabla33610673[[#This Row],[Equity Peak]],(Tabla33610673[[#This Row],[Equity Peak]]-Tabla33610673[[#This Row],[Equity]])/Tabla33610673[[#This Row],[Equity Peak]],"")</f>
        <v>4.3520437409056839E-2</v>
      </c>
      <c r="V395" s="209">
        <f t="shared" si="102"/>
        <v>0.74</v>
      </c>
      <c r="W395" s="209">
        <f t="shared" si="103"/>
        <v>0</v>
      </c>
      <c r="X395" s="209">
        <f t="shared" si="104"/>
        <v>0</v>
      </c>
      <c r="Y395" s="209">
        <f t="shared" si="105"/>
        <v>0</v>
      </c>
      <c r="Z395" s="209">
        <f t="shared" si="106"/>
        <v>0</v>
      </c>
      <c r="AA395" s="205">
        <f t="shared" si="107"/>
        <v>0</v>
      </c>
      <c r="AB395" s="209">
        <f t="shared" si="108"/>
        <v>0</v>
      </c>
      <c r="AC395" s="205">
        <f t="shared" si="109"/>
        <v>0</v>
      </c>
      <c r="AD395" s="210">
        <f t="shared" si="110"/>
        <v>3.3847222222175333</v>
      </c>
      <c r="AE395" s="210">
        <f t="shared" si="111"/>
        <v>3.3847222222175333</v>
      </c>
      <c r="AF395" s="210">
        <f t="shared" si="112"/>
        <v>0</v>
      </c>
      <c r="AG395" s="210">
        <f t="shared" si="113"/>
        <v>0</v>
      </c>
    </row>
    <row r="396" spans="2:33" ht="15" customHeight="1" x14ac:dyDescent="0.3">
      <c r="B396" s="196" t="s">
        <v>84</v>
      </c>
      <c r="C396" s="197" t="s">
        <v>15</v>
      </c>
      <c r="D396" s="198" t="str">
        <f t="shared" si="95"/>
        <v>C</v>
      </c>
      <c r="E396" s="199">
        <v>43964.166666666664</v>
      </c>
      <c r="F396" s="200" t="s">
        <v>80</v>
      </c>
      <c r="G396" s="201">
        <v>8934.5499999999993</v>
      </c>
      <c r="H396" s="201">
        <v>8221.9699999999993</v>
      </c>
      <c r="I396" s="202">
        <f t="shared" si="96"/>
        <v>712.57999999999993</v>
      </c>
      <c r="J396" s="201">
        <v>19623.27</v>
      </c>
      <c r="K396" s="199">
        <v>43972.720833333333</v>
      </c>
      <c r="L396" s="201">
        <v>9204.31</v>
      </c>
      <c r="M396" s="203">
        <f t="shared" si="97"/>
        <v>269.76</v>
      </c>
      <c r="N396" s="204">
        <f t="shared" si="98"/>
        <v>0.38</v>
      </c>
      <c r="O396" s="205">
        <f t="shared" si="99"/>
        <v>0</v>
      </c>
      <c r="P396" s="206">
        <f t="shared" si="100"/>
        <v>0.38</v>
      </c>
      <c r="Q396" s="206">
        <f t="shared" si="101"/>
        <v>0</v>
      </c>
      <c r="R39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216180</v>
      </c>
      <c r="T39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96" s="208">
        <f ca="1">IF(Tabla33610673[[#This Row],[Equity]]&lt;Tabla33610673[[#This Row],[Equity Peak]],(Tabla33610673[[#This Row],[Equity Peak]]-Tabla33610673[[#This Row],[Equity]])/Tabla33610673[[#This Row],[Equity Peak]],"")</f>
        <v>4.678336787336302E-2</v>
      </c>
      <c r="V396" s="209">
        <f t="shared" si="102"/>
        <v>0</v>
      </c>
      <c r="W396" s="209">
        <f t="shared" si="103"/>
        <v>0</v>
      </c>
      <c r="X396" s="209">
        <f t="shared" si="104"/>
        <v>0</v>
      </c>
      <c r="Y396" s="209">
        <f t="shared" si="105"/>
        <v>0</v>
      </c>
      <c r="Z396" s="209">
        <f t="shared" si="106"/>
        <v>0</v>
      </c>
      <c r="AA396" s="205">
        <f t="shared" si="107"/>
        <v>0</v>
      </c>
      <c r="AB396" s="209">
        <f t="shared" si="108"/>
        <v>0.38</v>
      </c>
      <c r="AC396" s="205">
        <f t="shared" si="109"/>
        <v>0</v>
      </c>
      <c r="AD396" s="210">
        <f t="shared" si="110"/>
        <v>8.5541666666686069</v>
      </c>
      <c r="AE396" s="210">
        <f t="shared" si="111"/>
        <v>8.5541666666686069</v>
      </c>
      <c r="AF396" s="210">
        <f t="shared" si="112"/>
        <v>0</v>
      </c>
      <c r="AG396" s="210">
        <f t="shared" si="113"/>
        <v>0</v>
      </c>
    </row>
    <row r="397" spans="2:33" ht="15" customHeight="1" x14ac:dyDescent="0.3">
      <c r="B397" s="196" t="s">
        <v>84</v>
      </c>
      <c r="C397" s="197" t="s">
        <v>15</v>
      </c>
      <c r="D397" s="198" t="str">
        <f t="shared" si="95"/>
        <v>C</v>
      </c>
      <c r="E397" s="199">
        <v>43969.166666666664</v>
      </c>
      <c r="F397" s="200" t="s">
        <v>82</v>
      </c>
      <c r="G397" s="201">
        <v>210.11</v>
      </c>
      <c r="H397" s="201">
        <v>201.81</v>
      </c>
      <c r="I397" s="202">
        <f t="shared" si="96"/>
        <v>8.3000000000000114</v>
      </c>
      <c r="J397" s="201">
        <v>365.01</v>
      </c>
      <c r="K397" s="199">
        <v>43971.769444444442</v>
      </c>
      <c r="L397" s="201">
        <v>207.77</v>
      </c>
      <c r="M397" s="203">
        <f t="shared" si="97"/>
        <v>-2.34</v>
      </c>
      <c r="N397" s="204">
        <f t="shared" si="98"/>
        <v>-0.28000000000000003</v>
      </c>
      <c r="O397" s="205">
        <f t="shared" si="99"/>
        <v>0</v>
      </c>
      <c r="P397" s="206">
        <f t="shared" si="100"/>
        <v>0</v>
      </c>
      <c r="Q397" s="206">
        <f t="shared" si="101"/>
        <v>-0.28000000000000003</v>
      </c>
      <c r="R39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215800</v>
      </c>
      <c r="T39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97" s="208">
        <f ca="1">IF(Tabla33610673[[#This Row],[Equity]]&lt;Tabla33610673[[#This Row],[Equity Peak]],(Tabla33610673[[#This Row],[Equity Peak]]-Tabla33610673[[#This Row],[Equity]])/Tabla33610673[[#This Row],[Equity Peak]],"")</f>
        <v>4.8458926760439169E-2</v>
      </c>
      <c r="V397" s="209">
        <f t="shared" si="102"/>
        <v>0</v>
      </c>
      <c r="W397" s="209">
        <f t="shared" si="103"/>
        <v>0</v>
      </c>
      <c r="X397" s="209">
        <f t="shared" si="104"/>
        <v>0</v>
      </c>
      <c r="Y397" s="209">
        <f t="shared" si="105"/>
        <v>0</v>
      </c>
      <c r="Z397" s="209">
        <f t="shared" si="106"/>
        <v>0</v>
      </c>
      <c r="AA397" s="205">
        <f t="shared" si="107"/>
        <v>0</v>
      </c>
      <c r="AB397" s="209">
        <f t="shared" si="108"/>
        <v>-0.28000000000000003</v>
      </c>
      <c r="AC397" s="205">
        <f t="shared" si="109"/>
        <v>0</v>
      </c>
      <c r="AD397" s="210">
        <f t="shared" si="110"/>
        <v>2.6027777777781012</v>
      </c>
      <c r="AE397" s="210">
        <f t="shared" si="111"/>
        <v>0</v>
      </c>
      <c r="AF397" s="210">
        <f t="shared" si="112"/>
        <v>2.6027777777781012</v>
      </c>
      <c r="AG397" s="210">
        <f t="shared" si="113"/>
        <v>0</v>
      </c>
    </row>
    <row r="398" spans="2:33" ht="15" customHeight="1" x14ac:dyDescent="0.3">
      <c r="B398" s="196" t="s">
        <v>5</v>
      </c>
      <c r="C398" s="197" t="s">
        <v>15</v>
      </c>
      <c r="D398" s="198" t="str">
        <f t="shared" si="95"/>
        <v>C</v>
      </c>
      <c r="E398" s="199">
        <v>43969.416666666664</v>
      </c>
      <c r="F398" s="200" t="s">
        <v>94</v>
      </c>
      <c r="G398" s="201">
        <v>5899.79</v>
      </c>
      <c r="H398" s="201">
        <v>5782.54</v>
      </c>
      <c r="I398" s="202">
        <f t="shared" si="96"/>
        <v>117.25</v>
      </c>
      <c r="J398" s="201">
        <v>6486.05</v>
      </c>
      <c r="K398" s="199">
        <v>43970.7</v>
      </c>
      <c r="L398" s="201">
        <v>5970.84</v>
      </c>
      <c r="M398" s="203">
        <f t="shared" si="97"/>
        <v>71.05</v>
      </c>
      <c r="N398" s="204">
        <f t="shared" si="98"/>
        <v>0.61</v>
      </c>
      <c r="O398" s="205">
        <f t="shared" si="99"/>
        <v>0</v>
      </c>
      <c r="P398" s="206">
        <f t="shared" si="100"/>
        <v>0.61</v>
      </c>
      <c r="Q398" s="206">
        <f t="shared" si="101"/>
        <v>0</v>
      </c>
      <c r="R39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216080</v>
      </c>
      <c r="T39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98" s="208">
        <f ca="1">IF(Tabla33610673[[#This Row],[Equity]]&lt;Tabla33610673[[#This Row],[Equity Peak]],(Tabla33610673[[#This Row],[Equity Peak]]-Tabla33610673[[#This Row],[Equity]])/Tabla33610673[[#This Row],[Equity Peak]],"")</f>
        <v>4.7224304422593587E-2</v>
      </c>
      <c r="V398" s="209">
        <f t="shared" si="102"/>
        <v>0</v>
      </c>
      <c r="W398" s="209">
        <f t="shared" si="103"/>
        <v>0</v>
      </c>
      <c r="X398" s="209">
        <f t="shared" si="104"/>
        <v>0</v>
      </c>
      <c r="Y398" s="209">
        <f t="shared" si="105"/>
        <v>0</v>
      </c>
      <c r="Z398" s="209">
        <f t="shared" si="106"/>
        <v>0.61</v>
      </c>
      <c r="AA398" s="205">
        <f t="shared" si="107"/>
        <v>0</v>
      </c>
      <c r="AB398" s="209">
        <f t="shared" si="108"/>
        <v>0</v>
      </c>
      <c r="AC398" s="205">
        <f t="shared" si="109"/>
        <v>0</v>
      </c>
      <c r="AD398" s="210">
        <f t="shared" si="110"/>
        <v>1.2833333333328483</v>
      </c>
      <c r="AE398" s="210">
        <f t="shared" si="111"/>
        <v>1.2833333333328483</v>
      </c>
      <c r="AF398" s="210">
        <f t="shared" si="112"/>
        <v>0</v>
      </c>
      <c r="AG398" s="210">
        <f t="shared" si="113"/>
        <v>0</v>
      </c>
    </row>
    <row r="399" spans="2:33" ht="15" customHeight="1" x14ac:dyDescent="0.3">
      <c r="B399" s="196" t="s">
        <v>19</v>
      </c>
      <c r="C399" s="197" t="s">
        <v>15</v>
      </c>
      <c r="D399" s="198" t="str">
        <f t="shared" si="95"/>
        <v>C</v>
      </c>
      <c r="E399" s="199">
        <v>43959.208333333336</v>
      </c>
      <c r="F399" s="200" t="s">
        <v>89</v>
      </c>
      <c r="G399" s="201">
        <v>15.409000000000001</v>
      </c>
      <c r="H399" s="201">
        <v>14.904999999999999</v>
      </c>
      <c r="I399" s="202">
        <f t="shared" si="96"/>
        <v>0.50400000000000134</v>
      </c>
      <c r="J399" s="201">
        <v>17.827000000000002</v>
      </c>
      <c r="K399" s="199">
        <v>43969.691666666666</v>
      </c>
      <c r="L399" s="201">
        <v>16.931999999999999</v>
      </c>
      <c r="M399" s="203">
        <f t="shared" si="97"/>
        <v>1.5229999999999999</v>
      </c>
      <c r="N399" s="204">
        <f t="shared" si="98"/>
        <v>3.02</v>
      </c>
      <c r="O399" s="205">
        <f t="shared" si="99"/>
        <v>0</v>
      </c>
      <c r="P399" s="206">
        <f t="shared" si="100"/>
        <v>3.02</v>
      </c>
      <c r="Q399" s="206">
        <f t="shared" si="101"/>
        <v>0</v>
      </c>
      <c r="R39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215470</v>
      </c>
      <c r="T39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399" s="208">
        <f ca="1">IF(Tabla33610673[[#This Row],[Equity]]&lt;Tabla33610673[[#This Row],[Equity Peak]],(Tabla33610673[[#This Row],[Equity Peak]]-Tabla33610673[[#This Row],[Equity]])/Tabla33610673[[#This Row],[Equity Peak]],"")</f>
        <v>4.9914017372900042E-2</v>
      </c>
      <c r="V399" s="209">
        <f t="shared" si="102"/>
        <v>0</v>
      </c>
      <c r="W399" s="209">
        <f t="shared" si="103"/>
        <v>0</v>
      </c>
      <c r="X399" s="209">
        <f t="shared" si="104"/>
        <v>3.02</v>
      </c>
      <c r="Y399" s="209">
        <f t="shared" si="105"/>
        <v>0</v>
      </c>
      <c r="Z399" s="209">
        <f t="shared" si="106"/>
        <v>0</v>
      </c>
      <c r="AA399" s="205">
        <f t="shared" si="107"/>
        <v>0</v>
      </c>
      <c r="AB399" s="209">
        <f t="shared" si="108"/>
        <v>0</v>
      </c>
      <c r="AC399" s="205">
        <f t="shared" si="109"/>
        <v>0</v>
      </c>
      <c r="AD399" s="210">
        <f t="shared" si="110"/>
        <v>10.483333333329938</v>
      </c>
      <c r="AE399" s="210">
        <f t="shared" si="111"/>
        <v>10.483333333329938</v>
      </c>
      <c r="AF399" s="210">
        <f t="shared" si="112"/>
        <v>0</v>
      </c>
      <c r="AG399" s="210">
        <f t="shared" si="113"/>
        <v>0</v>
      </c>
    </row>
    <row r="400" spans="2:33" ht="15" customHeight="1" x14ac:dyDescent="0.3">
      <c r="B400" s="196" t="s">
        <v>19</v>
      </c>
      <c r="C400" s="197" t="s">
        <v>15</v>
      </c>
      <c r="D400" s="198" t="str">
        <f t="shared" si="95"/>
        <v>C</v>
      </c>
      <c r="E400" s="199">
        <v>43963.708333333336</v>
      </c>
      <c r="F400" s="200" t="s">
        <v>88</v>
      </c>
      <c r="G400" s="201">
        <v>1708.77</v>
      </c>
      <c r="H400" s="201">
        <v>1683.45</v>
      </c>
      <c r="I400" s="202">
        <f t="shared" si="96"/>
        <v>25.319999999999936</v>
      </c>
      <c r="J400" s="201">
        <v>1870.82</v>
      </c>
      <c r="K400" s="199">
        <v>43969.679166666669</v>
      </c>
      <c r="L400" s="201">
        <v>1744.37</v>
      </c>
      <c r="M400" s="203">
        <f t="shared" si="97"/>
        <v>35.6</v>
      </c>
      <c r="N400" s="204">
        <f t="shared" si="98"/>
        <v>1.41</v>
      </c>
      <c r="O400" s="205">
        <f t="shared" si="99"/>
        <v>0</v>
      </c>
      <c r="P400" s="206">
        <f t="shared" si="100"/>
        <v>1.41</v>
      </c>
      <c r="Q400" s="206">
        <f t="shared" si="101"/>
        <v>0</v>
      </c>
      <c r="R40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212450</v>
      </c>
      <c r="T40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00" s="208">
        <f ca="1">IF(Tabla33610673[[#This Row],[Equity]]&lt;Tabla33610673[[#This Row],[Equity Peak]],(Tabla33610673[[#This Row],[Equity Peak]]-Tabla33610673[[#This Row],[Equity]])/Tabla33610673[[#This Row],[Equity Peak]],"")</f>
        <v>6.3230301159663119E-2</v>
      </c>
      <c r="V400" s="209">
        <f t="shared" si="102"/>
        <v>0</v>
      </c>
      <c r="W400" s="209">
        <f t="shared" si="103"/>
        <v>0</v>
      </c>
      <c r="X400" s="209">
        <f t="shared" si="104"/>
        <v>1.41</v>
      </c>
      <c r="Y400" s="209">
        <f t="shared" si="105"/>
        <v>0</v>
      </c>
      <c r="Z400" s="209">
        <f t="shared" si="106"/>
        <v>0</v>
      </c>
      <c r="AA400" s="205">
        <f t="shared" si="107"/>
        <v>0</v>
      </c>
      <c r="AB400" s="209">
        <f t="shared" si="108"/>
        <v>0</v>
      </c>
      <c r="AC400" s="205">
        <f t="shared" si="109"/>
        <v>0</v>
      </c>
      <c r="AD400" s="210">
        <f t="shared" si="110"/>
        <v>5.9708333333328483</v>
      </c>
      <c r="AE400" s="210">
        <f t="shared" si="111"/>
        <v>5.9708333333328483</v>
      </c>
      <c r="AF400" s="210">
        <f t="shared" si="112"/>
        <v>0</v>
      </c>
      <c r="AG400" s="210">
        <f t="shared" si="113"/>
        <v>0</v>
      </c>
    </row>
    <row r="401" spans="2:33" ht="15" customHeight="1" x14ac:dyDescent="0.3">
      <c r="B401" s="196" t="s">
        <v>5</v>
      </c>
      <c r="C401" s="197" t="s">
        <v>13</v>
      </c>
      <c r="D401" s="198" t="str">
        <f t="shared" ref="D401:D464" si="114">IF(E401&lt;&gt;"",IF(K401&lt;&gt;"","C","O"),"")</f>
        <v>C</v>
      </c>
      <c r="E401" s="199">
        <v>43966.166666666664</v>
      </c>
      <c r="F401" s="200" t="s">
        <v>91</v>
      </c>
      <c r="G401" s="201">
        <v>10434.16</v>
      </c>
      <c r="H401" s="201">
        <v>10896.36</v>
      </c>
      <c r="I401" s="202">
        <f t="shared" ref="I401:I464" si="115">ABS(G401-H401)</f>
        <v>462.20000000000073</v>
      </c>
      <c r="J401" s="201">
        <v>8585.36</v>
      </c>
      <c r="K401" s="199">
        <v>43969.661805555559</v>
      </c>
      <c r="L401" s="201">
        <v>10896.36</v>
      </c>
      <c r="M401" s="203">
        <f t="shared" ref="M401:M464" si="116">ROUND(IF(C401="L",(L401-G401),(G401-L401)),4)</f>
        <v>-462.2</v>
      </c>
      <c r="N401" s="204">
        <f t="shared" ref="N401:N464" si="117">IFERROR(ROUND((M401/I401),2),"")</f>
        <v>-1</v>
      </c>
      <c r="O401" s="205">
        <f t="shared" ref="O401:O464" si="118">IF(D401="O",IF(N401&lt;0,N401,0),0)</f>
        <v>0</v>
      </c>
      <c r="P401" s="206">
        <f t="shared" ref="P401:P464" si="119">IF(N401&gt;= 0,N401,0)</f>
        <v>0</v>
      </c>
      <c r="Q401" s="206">
        <f t="shared" ref="Q401:Q464" si="120">IF(N401&lt;0,N401,0)</f>
        <v>-1</v>
      </c>
      <c r="R40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211040</v>
      </c>
      <c r="T40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01" s="208">
        <f ca="1">IF(Tabla33610673[[#This Row],[Equity]]&lt;Tabla33610673[[#This Row],[Equity Peak]],(Tabla33610673[[#This Row],[Equity Peak]]-Tabla33610673[[#This Row],[Equity]])/Tabla33610673[[#This Row],[Equity Peak]],"")</f>
        <v>6.9447506503814108E-2</v>
      </c>
      <c r="V401" s="209">
        <f t="shared" ref="V401:V464" si="121">IF(B401="FX",N401,0)</f>
        <v>0</v>
      </c>
      <c r="W401" s="209">
        <f t="shared" ref="W401:W464" si="122">IF(D401="O",IF(V401&lt;0,V401,0),0)</f>
        <v>0</v>
      </c>
      <c r="X401" s="209">
        <f t="shared" ref="X401:X464" si="123">IF(B401="COM",N401,0)</f>
        <v>0</v>
      </c>
      <c r="Y401" s="209">
        <f t="shared" ref="Y401:Y464" si="124">IF(D401="O",IF(X401&lt;0,X401,0),0)</f>
        <v>0</v>
      </c>
      <c r="Z401" s="209">
        <f t="shared" ref="Z401:Z464" si="125">IF(B401="IND",N401,0)</f>
        <v>-1</v>
      </c>
      <c r="AA401" s="205">
        <f t="shared" ref="AA401:AA464" si="126">IF(D401="O",IF(Z401&lt;0,Z401,0),0)</f>
        <v>0</v>
      </c>
      <c r="AB401" s="209">
        <f t="shared" ref="AB401:AB464" si="127">IF(B401="CRYPTO",N401,0)</f>
        <v>0</v>
      </c>
      <c r="AC401" s="205">
        <f t="shared" ref="AC401:AC464" si="128">IF(D401="O",IF(AB401&lt;0,AB401,0),0)</f>
        <v>0</v>
      </c>
      <c r="AD401" s="210">
        <f t="shared" ref="AD401:AD464" si="129">IF(K401&lt;&gt;"",K401-E401,0)</f>
        <v>3.4951388888948713</v>
      </c>
      <c r="AE401" s="210">
        <f t="shared" ref="AE401:AE464" si="130">IF(N401&gt;0,AD401,0)</f>
        <v>0</v>
      </c>
      <c r="AF401" s="210">
        <f t="shared" ref="AF401:AF464" si="131">IF(N401&lt;0,AD401,0)</f>
        <v>3.4951388888948713</v>
      </c>
      <c r="AG401" s="210">
        <f t="shared" ref="AG401:AG464" si="132">IF(N401=0,AD401,0)</f>
        <v>0</v>
      </c>
    </row>
    <row r="402" spans="2:33" ht="15" customHeight="1" x14ac:dyDescent="0.3">
      <c r="B402" s="196" t="s">
        <v>5</v>
      </c>
      <c r="C402" s="197" t="s">
        <v>13</v>
      </c>
      <c r="D402" s="198" t="str">
        <f t="shared" si="114"/>
        <v>C</v>
      </c>
      <c r="E402" s="199">
        <v>43964.5</v>
      </c>
      <c r="F402" s="200" t="s">
        <v>95</v>
      </c>
      <c r="G402" s="201">
        <v>23672.1</v>
      </c>
      <c r="H402" s="201">
        <v>24272.03</v>
      </c>
      <c r="I402" s="202">
        <f t="shared" si="115"/>
        <v>599.93000000000029</v>
      </c>
      <c r="J402" s="201">
        <v>21272.400000000001</v>
      </c>
      <c r="K402" s="199">
        <v>43969.660416666666</v>
      </c>
      <c r="L402" s="201">
        <v>24272.03</v>
      </c>
      <c r="M402" s="203">
        <f t="shared" si="116"/>
        <v>-599.92999999999995</v>
      </c>
      <c r="N402" s="204">
        <f t="shared" si="117"/>
        <v>-1</v>
      </c>
      <c r="O402" s="205">
        <f t="shared" si="118"/>
        <v>0</v>
      </c>
      <c r="P402" s="206">
        <f t="shared" si="119"/>
        <v>0</v>
      </c>
      <c r="Q402" s="206">
        <f t="shared" si="120"/>
        <v>-1</v>
      </c>
      <c r="R40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212040</v>
      </c>
      <c r="T40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02" s="208">
        <f ca="1">IF(Tabla33610673[[#This Row],[Equity]]&lt;Tabla33610673[[#This Row],[Equity Peak]],(Tabla33610673[[#This Row],[Equity Peak]]-Tabla33610673[[#This Row],[Equity]])/Tabla33610673[[#This Row],[Equity Peak]],"")</f>
        <v>6.5038141011508441E-2</v>
      </c>
      <c r="V402" s="209">
        <f t="shared" si="121"/>
        <v>0</v>
      </c>
      <c r="W402" s="209">
        <f t="shared" si="122"/>
        <v>0</v>
      </c>
      <c r="X402" s="209">
        <f t="shared" si="123"/>
        <v>0</v>
      </c>
      <c r="Y402" s="209">
        <f t="shared" si="124"/>
        <v>0</v>
      </c>
      <c r="Z402" s="209">
        <f t="shared" si="125"/>
        <v>-1</v>
      </c>
      <c r="AA402" s="205">
        <f t="shared" si="126"/>
        <v>0</v>
      </c>
      <c r="AB402" s="209">
        <f t="shared" si="127"/>
        <v>0</v>
      </c>
      <c r="AC402" s="205">
        <f t="shared" si="128"/>
        <v>0</v>
      </c>
      <c r="AD402" s="210">
        <f t="shared" si="129"/>
        <v>5.1604166666656965</v>
      </c>
      <c r="AE402" s="210">
        <f t="shared" si="130"/>
        <v>0</v>
      </c>
      <c r="AF402" s="210">
        <f t="shared" si="131"/>
        <v>5.1604166666656965</v>
      </c>
      <c r="AG402" s="210">
        <f t="shared" si="132"/>
        <v>0</v>
      </c>
    </row>
    <row r="403" spans="2:33" ht="15" customHeight="1" x14ac:dyDescent="0.3">
      <c r="B403" s="196" t="s">
        <v>7</v>
      </c>
      <c r="C403" s="197" t="s">
        <v>13</v>
      </c>
      <c r="D403" s="198" t="str">
        <f t="shared" si="114"/>
        <v>C</v>
      </c>
      <c r="E403" s="199">
        <v>43966.833333333336</v>
      </c>
      <c r="F403" s="200" t="s">
        <v>121</v>
      </c>
      <c r="G403" s="201">
        <v>0.64097000000000004</v>
      </c>
      <c r="H403" s="201">
        <v>0.64654</v>
      </c>
      <c r="I403" s="202">
        <f t="shared" si="115"/>
        <v>5.5699999999999639E-3</v>
      </c>
      <c r="J403" s="201">
        <v>0.61128000000000005</v>
      </c>
      <c r="K403" s="199">
        <v>43969.580555555556</v>
      </c>
      <c r="L403" s="201">
        <v>0.64654</v>
      </c>
      <c r="M403" s="203">
        <f t="shared" si="116"/>
        <v>-5.5999999999999999E-3</v>
      </c>
      <c r="N403" s="204">
        <f t="shared" si="117"/>
        <v>-1.01</v>
      </c>
      <c r="O403" s="205">
        <f t="shared" si="118"/>
        <v>0</v>
      </c>
      <c r="P403" s="206">
        <f t="shared" si="119"/>
        <v>0</v>
      </c>
      <c r="Q403" s="206">
        <f t="shared" si="120"/>
        <v>-1.01</v>
      </c>
      <c r="R40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213040</v>
      </c>
      <c r="T40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03" s="208">
        <f ca="1">IF(Tabla33610673[[#This Row],[Equity]]&lt;Tabla33610673[[#This Row],[Equity Peak]],(Tabla33610673[[#This Row],[Equity Peak]]-Tabla33610673[[#This Row],[Equity]])/Tabla33610673[[#This Row],[Equity Peak]],"")</f>
        <v>6.0628775519202788E-2</v>
      </c>
      <c r="V403" s="209">
        <f t="shared" si="121"/>
        <v>-1.01</v>
      </c>
      <c r="W403" s="209">
        <f t="shared" si="122"/>
        <v>0</v>
      </c>
      <c r="X403" s="209">
        <f t="shared" si="123"/>
        <v>0</v>
      </c>
      <c r="Y403" s="209">
        <f t="shared" si="124"/>
        <v>0</v>
      </c>
      <c r="Z403" s="209">
        <f t="shared" si="125"/>
        <v>0</v>
      </c>
      <c r="AA403" s="205">
        <f t="shared" si="126"/>
        <v>0</v>
      </c>
      <c r="AB403" s="209">
        <f t="shared" si="127"/>
        <v>0</v>
      </c>
      <c r="AC403" s="205">
        <f t="shared" si="128"/>
        <v>0</v>
      </c>
      <c r="AD403" s="210">
        <f t="shared" si="129"/>
        <v>2.7472222222204437</v>
      </c>
      <c r="AE403" s="210">
        <f t="shared" si="130"/>
        <v>0</v>
      </c>
      <c r="AF403" s="210">
        <f t="shared" si="131"/>
        <v>2.7472222222204437</v>
      </c>
      <c r="AG403" s="210">
        <f t="shared" si="132"/>
        <v>0</v>
      </c>
    </row>
    <row r="404" spans="2:33" ht="15" customHeight="1" x14ac:dyDescent="0.3">
      <c r="B404" s="196" t="s">
        <v>5</v>
      </c>
      <c r="C404" s="197" t="s">
        <v>13</v>
      </c>
      <c r="D404" s="198" t="str">
        <f t="shared" si="114"/>
        <v>C</v>
      </c>
      <c r="E404" s="199">
        <v>43965.833333333336</v>
      </c>
      <c r="F404" s="200" t="s">
        <v>93</v>
      </c>
      <c r="G404" s="201">
        <v>2826.51</v>
      </c>
      <c r="H404" s="201">
        <v>2881.31</v>
      </c>
      <c r="I404" s="202">
        <f t="shared" si="115"/>
        <v>54.799999999999727</v>
      </c>
      <c r="J404" s="201">
        <v>2680.38</v>
      </c>
      <c r="K404" s="199">
        <v>43969.22152777778</v>
      </c>
      <c r="L404" s="201">
        <v>2881.31</v>
      </c>
      <c r="M404" s="203">
        <f t="shared" si="116"/>
        <v>-54.8</v>
      </c>
      <c r="N404" s="204">
        <f t="shared" si="117"/>
        <v>-1</v>
      </c>
      <c r="O404" s="205">
        <f t="shared" si="118"/>
        <v>0</v>
      </c>
      <c r="P404" s="206">
        <f t="shared" si="119"/>
        <v>0</v>
      </c>
      <c r="Q404" s="206">
        <f t="shared" si="120"/>
        <v>-1</v>
      </c>
      <c r="R40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214050</v>
      </c>
      <c r="T40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04" s="208">
        <f ca="1">IF(Tabla33610673[[#This Row],[Equity]]&lt;Tabla33610673[[#This Row],[Equity Peak]],(Tabla33610673[[#This Row],[Equity Peak]]-Tabla33610673[[#This Row],[Equity]])/Tabla33610673[[#This Row],[Equity Peak]],"")</f>
        <v>5.6175316371974073E-2</v>
      </c>
      <c r="V404" s="209">
        <f t="shared" si="121"/>
        <v>0</v>
      </c>
      <c r="W404" s="209">
        <f t="shared" si="122"/>
        <v>0</v>
      </c>
      <c r="X404" s="209">
        <f t="shared" si="123"/>
        <v>0</v>
      </c>
      <c r="Y404" s="209">
        <f t="shared" si="124"/>
        <v>0</v>
      </c>
      <c r="Z404" s="209">
        <f t="shared" si="125"/>
        <v>-1</v>
      </c>
      <c r="AA404" s="205">
        <f t="shared" si="126"/>
        <v>0</v>
      </c>
      <c r="AB404" s="209">
        <f t="shared" si="127"/>
        <v>0</v>
      </c>
      <c r="AC404" s="205">
        <f t="shared" si="128"/>
        <v>0</v>
      </c>
      <c r="AD404" s="210">
        <f t="shared" si="129"/>
        <v>3.3881944444437977</v>
      </c>
      <c r="AE404" s="210">
        <f t="shared" si="130"/>
        <v>0</v>
      </c>
      <c r="AF404" s="210">
        <f t="shared" si="131"/>
        <v>3.3881944444437977</v>
      </c>
      <c r="AG404" s="210">
        <f t="shared" si="132"/>
        <v>0</v>
      </c>
    </row>
    <row r="405" spans="2:33" ht="15" customHeight="1" x14ac:dyDescent="0.3">
      <c r="B405" s="196" t="s">
        <v>84</v>
      </c>
      <c r="C405" s="197" t="s">
        <v>13</v>
      </c>
      <c r="D405" s="198" t="str">
        <f t="shared" si="114"/>
        <v>C</v>
      </c>
      <c r="E405" s="199">
        <v>43969.017361111109</v>
      </c>
      <c r="F405" s="200" t="s">
        <v>82</v>
      </c>
      <c r="G405" s="201">
        <v>205.9</v>
      </c>
      <c r="H405" s="201">
        <v>213.07</v>
      </c>
      <c r="I405" s="202">
        <f t="shared" si="115"/>
        <v>7.1699999999999875</v>
      </c>
      <c r="J405" s="201">
        <v>72.14</v>
      </c>
      <c r="K405" s="199">
        <v>43969.166666666664</v>
      </c>
      <c r="L405" s="201">
        <v>210.11</v>
      </c>
      <c r="M405" s="203">
        <f t="shared" si="116"/>
        <v>-4.21</v>
      </c>
      <c r="N405" s="204">
        <f t="shared" si="117"/>
        <v>-0.59</v>
      </c>
      <c r="O405" s="205">
        <f t="shared" si="118"/>
        <v>0</v>
      </c>
      <c r="P405" s="206">
        <f t="shared" si="119"/>
        <v>0</v>
      </c>
      <c r="Q405" s="206">
        <f t="shared" si="120"/>
        <v>-0.59</v>
      </c>
      <c r="R40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215050</v>
      </c>
      <c r="T40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05" s="208">
        <f ca="1">IF(Tabla33610673[[#This Row],[Equity]]&lt;Tabla33610673[[#This Row],[Equity Peak]],(Tabla33610673[[#This Row],[Equity Peak]]-Tabla33610673[[#This Row],[Equity]])/Tabla33610673[[#This Row],[Equity Peak]],"")</f>
        <v>5.1765950879668413E-2</v>
      </c>
      <c r="V405" s="209">
        <f t="shared" si="121"/>
        <v>0</v>
      </c>
      <c r="W405" s="209">
        <f t="shared" si="122"/>
        <v>0</v>
      </c>
      <c r="X405" s="209">
        <f t="shared" si="123"/>
        <v>0</v>
      </c>
      <c r="Y405" s="209">
        <f t="shared" si="124"/>
        <v>0</v>
      </c>
      <c r="Z405" s="209">
        <f t="shared" si="125"/>
        <v>0</v>
      </c>
      <c r="AA405" s="205">
        <f t="shared" si="126"/>
        <v>0</v>
      </c>
      <c r="AB405" s="209">
        <f t="shared" si="127"/>
        <v>-0.59</v>
      </c>
      <c r="AC405" s="205">
        <f t="shared" si="128"/>
        <v>0</v>
      </c>
      <c r="AD405" s="210">
        <f t="shared" si="129"/>
        <v>0.14930555555474712</v>
      </c>
      <c r="AE405" s="210">
        <f t="shared" si="130"/>
        <v>0</v>
      </c>
      <c r="AF405" s="210">
        <f t="shared" si="131"/>
        <v>0.14930555555474712</v>
      </c>
      <c r="AG405" s="210">
        <f t="shared" si="132"/>
        <v>0</v>
      </c>
    </row>
    <row r="406" spans="2:33" ht="15" customHeight="1" x14ac:dyDescent="0.3">
      <c r="B406" s="196" t="s">
        <v>7</v>
      </c>
      <c r="C406" s="197" t="s">
        <v>15</v>
      </c>
      <c r="D406" s="198" t="str">
        <f t="shared" si="114"/>
        <v>C</v>
      </c>
      <c r="E406" s="199">
        <v>43963.5</v>
      </c>
      <c r="F406" s="200" t="s">
        <v>119</v>
      </c>
      <c r="G406" s="201">
        <v>0.87814000000000003</v>
      </c>
      <c r="H406" s="201">
        <v>0.87390999999999996</v>
      </c>
      <c r="I406" s="202">
        <f t="shared" si="115"/>
        <v>4.230000000000067E-3</v>
      </c>
      <c r="J406" s="201">
        <v>0.88943000000000005</v>
      </c>
      <c r="K406" s="199">
        <v>43966.61041666667</v>
      </c>
      <c r="L406" s="201">
        <v>0.88943000000000005</v>
      </c>
      <c r="M406" s="203">
        <f t="shared" si="116"/>
        <v>1.1299999999999999E-2</v>
      </c>
      <c r="N406" s="204">
        <f t="shared" si="117"/>
        <v>2.67</v>
      </c>
      <c r="O406" s="205">
        <f t="shared" si="118"/>
        <v>0</v>
      </c>
      <c r="P406" s="206">
        <f t="shared" si="119"/>
        <v>2.67</v>
      </c>
      <c r="Q406" s="206">
        <f t="shared" si="120"/>
        <v>0</v>
      </c>
      <c r="R40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215640</v>
      </c>
      <c r="T40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06" s="208">
        <f ca="1">IF(Tabla33610673[[#This Row],[Equity]]&lt;Tabla33610673[[#This Row],[Equity Peak]],(Tabla33610673[[#This Row],[Equity Peak]]-Tabla33610673[[#This Row],[Equity]])/Tabla33610673[[#This Row],[Equity Peak]],"")</f>
        <v>4.9164425239208075E-2</v>
      </c>
      <c r="V406" s="209">
        <f t="shared" si="121"/>
        <v>2.67</v>
      </c>
      <c r="W406" s="209">
        <f t="shared" si="122"/>
        <v>0</v>
      </c>
      <c r="X406" s="209">
        <f t="shared" si="123"/>
        <v>0</v>
      </c>
      <c r="Y406" s="209">
        <f t="shared" si="124"/>
        <v>0</v>
      </c>
      <c r="Z406" s="209">
        <f t="shared" si="125"/>
        <v>0</v>
      </c>
      <c r="AA406" s="205">
        <f t="shared" si="126"/>
        <v>0</v>
      </c>
      <c r="AB406" s="209">
        <f t="shared" si="127"/>
        <v>0</v>
      </c>
      <c r="AC406" s="205">
        <f t="shared" si="128"/>
        <v>0</v>
      </c>
      <c r="AD406" s="210">
        <f t="shared" si="129"/>
        <v>3.1104166666700621</v>
      </c>
      <c r="AE406" s="210">
        <f t="shared" si="130"/>
        <v>3.1104166666700621</v>
      </c>
      <c r="AF406" s="210">
        <f t="shared" si="131"/>
        <v>0</v>
      </c>
      <c r="AG406" s="210">
        <f t="shared" si="132"/>
        <v>0</v>
      </c>
    </row>
    <row r="407" spans="2:33" ht="15" customHeight="1" x14ac:dyDescent="0.3">
      <c r="B407" s="196" t="s">
        <v>5</v>
      </c>
      <c r="C407" s="197" t="s">
        <v>13</v>
      </c>
      <c r="D407" s="198" t="str">
        <f t="shared" si="114"/>
        <v>C</v>
      </c>
      <c r="E407" s="199">
        <v>43965.166666666664</v>
      </c>
      <c r="F407" s="200" t="s">
        <v>94</v>
      </c>
      <c r="G407" s="201">
        <v>5852.93</v>
      </c>
      <c r="H407" s="201">
        <v>5969.48</v>
      </c>
      <c r="I407" s="202">
        <f t="shared" si="115"/>
        <v>116.54999999999927</v>
      </c>
      <c r="J407" s="201">
        <v>5270.17</v>
      </c>
      <c r="K407" s="199">
        <v>43966.438888888886</v>
      </c>
      <c r="L407" s="201">
        <v>5835.03</v>
      </c>
      <c r="M407" s="203">
        <f t="shared" si="116"/>
        <v>17.899999999999999</v>
      </c>
      <c r="N407" s="204">
        <f t="shared" si="117"/>
        <v>0.15</v>
      </c>
      <c r="O407" s="205">
        <f t="shared" si="118"/>
        <v>0</v>
      </c>
      <c r="P407" s="206">
        <f t="shared" si="119"/>
        <v>0.15</v>
      </c>
      <c r="Q407" s="206">
        <f t="shared" si="120"/>
        <v>0</v>
      </c>
      <c r="R40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212970</v>
      </c>
      <c r="T40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07" s="208">
        <f ca="1">IF(Tabla33610673[[#This Row],[Equity]]&lt;Tabla33610673[[#This Row],[Equity Peak]],(Tabla33610673[[#This Row],[Equity Peak]]-Tabla33610673[[#This Row],[Equity]])/Tabla33610673[[#This Row],[Equity Peak]],"")</f>
        <v>6.0937431103664182E-2</v>
      </c>
      <c r="V407" s="209">
        <f t="shared" si="121"/>
        <v>0</v>
      </c>
      <c r="W407" s="209">
        <f t="shared" si="122"/>
        <v>0</v>
      </c>
      <c r="X407" s="209">
        <f t="shared" si="123"/>
        <v>0</v>
      </c>
      <c r="Y407" s="209">
        <f t="shared" si="124"/>
        <v>0</v>
      </c>
      <c r="Z407" s="209">
        <f t="shared" si="125"/>
        <v>0.15</v>
      </c>
      <c r="AA407" s="205">
        <f t="shared" si="126"/>
        <v>0</v>
      </c>
      <c r="AB407" s="209">
        <f t="shared" si="127"/>
        <v>0</v>
      </c>
      <c r="AC407" s="205">
        <f t="shared" si="128"/>
        <v>0</v>
      </c>
      <c r="AD407" s="210">
        <f t="shared" si="129"/>
        <v>1.2722222222218988</v>
      </c>
      <c r="AE407" s="210">
        <f t="shared" si="130"/>
        <v>1.2722222222218988</v>
      </c>
      <c r="AF407" s="210">
        <f t="shared" si="131"/>
        <v>0</v>
      </c>
      <c r="AG407" s="210">
        <f t="shared" si="132"/>
        <v>0</v>
      </c>
    </row>
    <row r="408" spans="2:33" ht="15" customHeight="1" x14ac:dyDescent="0.3">
      <c r="B408" s="196" t="s">
        <v>84</v>
      </c>
      <c r="C408" s="197" t="s">
        <v>15</v>
      </c>
      <c r="D408" s="198" t="str">
        <f t="shared" si="114"/>
        <v>C</v>
      </c>
      <c r="E408" s="199">
        <v>43965.5</v>
      </c>
      <c r="F408" s="200" t="s">
        <v>82</v>
      </c>
      <c r="G408" s="201">
        <v>203.58</v>
      </c>
      <c r="H408" s="201">
        <v>198.09</v>
      </c>
      <c r="I408" s="202">
        <f t="shared" si="115"/>
        <v>5.4900000000000091</v>
      </c>
      <c r="J408" s="201">
        <v>306.14</v>
      </c>
      <c r="K408" s="199">
        <v>43965.771527777775</v>
      </c>
      <c r="L408" s="201">
        <v>198.09</v>
      </c>
      <c r="M408" s="203">
        <f t="shared" si="116"/>
        <v>-5.49</v>
      </c>
      <c r="N408" s="204">
        <f t="shared" si="117"/>
        <v>-1</v>
      </c>
      <c r="O408" s="205">
        <f t="shared" si="118"/>
        <v>0</v>
      </c>
      <c r="P408" s="206">
        <f t="shared" si="119"/>
        <v>0</v>
      </c>
      <c r="Q408" s="206">
        <f t="shared" si="120"/>
        <v>-1</v>
      </c>
      <c r="R40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212820</v>
      </c>
      <c r="T40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08" s="208">
        <f ca="1">IF(Tabla33610673[[#This Row],[Equity]]&lt;Tabla33610673[[#This Row],[Equity Peak]],(Tabla33610673[[#This Row],[Equity Peak]]-Tabla33610673[[#This Row],[Equity]])/Tabla33610673[[#This Row],[Equity Peak]],"")</f>
        <v>6.1598835927510032E-2</v>
      </c>
      <c r="V408" s="209">
        <f t="shared" si="121"/>
        <v>0</v>
      </c>
      <c r="W408" s="209">
        <f t="shared" si="122"/>
        <v>0</v>
      </c>
      <c r="X408" s="209">
        <f t="shared" si="123"/>
        <v>0</v>
      </c>
      <c r="Y408" s="209">
        <f t="shared" si="124"/>
        <v>0</v>
      </c>
      <c r="Z408" s="209">
        <f t="shared" si="125"/>
        <v>0</v>
      </c>
      <c r="AA408" s="205">
        <f t="shared" si="126"/>
        <v>0</v>
      </c>
      <c r="AB408" s="209">
        <f t="shared" si="127"/>
        <v>-1</v>
      </c>
      <c r="AC408" s="205">
        <f t="shared" si="128"/>
        <v>0</v>
      </c>
      <c r="AD408" s="210">
        <f t="shared" si="129"/>
        <v>0.27152777777519077</v>
      </c>
      <c r="AE408" s="210">
        <f t="shared" si="130"/>
        <v>0</v>
      </c>
      <c r="AF408" s="210">
        <f t="shared" si="131"/>
        <v>0.27152777777519077</v>
      </c>
      <c r="AG408" s="210">
        <f t="shared" si="132"/>
        <v>0</v>
      </c>
    </row>
    <row r="409" spans="2:33" ht="15" customHeight="1" x14ac:dyDescent="0.3">
      <c r="B409" s="196" t="s">
        <v>84</v>
      </c>
      <c r="C409" s="197" t="s">
        <v>15</v>
      </c>
      <c r="D409" s="198" t="str">
        <f t="shared" si="114"/>
        <v>C</v>
      </c>
      <c r="E409" s="199">
        <v>43944.666666666664</v>
      </c>
      <c r="F409" s="200" t="s">
        <v>82</v>
      </c>
      <c r="G409" s="201">
        <v>186.27</v>
      </c>
      <c r="H409" s="201">
        <v>180.27</v>
      </c>
      <c r="I409" s="202">
        <f t="shared" si="115"/>
        <v>6</v>
      </c>
      <c r="J409" s="201">
        <v>298.20999999999998</v>
      </c>
      <c r="K409" s="199">
        <v>43965.5</v>
      </c>
      <c r="L409" s="201">
        <v>203.58</v>
      </c>
      <c r="M409" s="203">
        <f t="shared" si="116"/>
        <v>17.309999999999999</v>
      </c>
      <c r="N409" s="204">
        <f t="shared" si="117"/>
        <v>2.89</v>
      </c>
      <c r="O409" s="205">
        <f t="shared" si="118"/>
        <v>0</v>
      </c>
      <c r="P409" s="206">
        <f t="shared" si="119"/>
        <v>2.89</v>
      </c>
      <c r="Q409" s="206">
        <f t="shared" si="120"/>
        <v>0</v>
      </c>
      <c r="R40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213820</v>
      </c>
      <c r="T40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09" s="208">
        <f ca="1">IF(Tabla33610673[[#This Row],[Equity]]&lt;Tabla33610673[[#This Row],[Equity Peak]],(Tabla33610673[[#This Row],[Equity Peak]]-Tabla33610673[[#This Row],[Equity]])/Tabla33610673[[#This Row],[Equity Peak]],"")</f>
        <v>5.7189470435204372E-2</v>
      </c>
      <c r="V409" s="209">
        <f t="shared" si="121"/>
        <v>0</v>
      </c>
      <c r="W409" s="209">
        <f t="shared" si="122"/>
        <v>0</v>
      </c>
      <c r="X409" s="209">
        <f t="shared" si="123"/>
        <v>0</v>
      </c>
      <c r="Y409" s="209">
        <f t="shared" si="124"/>
        <v>0</v>
      </c>
      <c r="Z409" s="209">
        <f t="shared" si="125"/>
        <v>0</v>
      </c>
      <c r="AA409" s="205">
        <f t="shared" si="126"/>
        <v>0</v>
      </c>
      <c r="AB409" s="209">
        <f t="shared" si="127"/>
        <v>2.89</v>
      </c>
      <c r="AC409" s="205">
        <f t="shared" si="128"/>
        <v>0</v>
      </c>
      <c r="AD409" s="210">
        <f t="shared" si="129"/>
        <v>20.833333333335759</v>
      </c>
      <c r="AE409" s="210">
        <f t="shared" si="130"/>
        <v>20.833333333335759</v>
      </c>
      <c r="AF409" s="210">
        <f t="shared" si="131"/>
        <v>0</v>
      </c>
      <c r="AG409" s="210">
        <f t="shared" si="132"/>
        <v>0</v>
      </c>
    </row>
    <row r="410" spans="2:33" ht="15" customHeight="1" x14ac:dyDescent="0.3">
      <c r="B410" s="196" t="s">
        <v>84</v>
      </c>
      <c r="C410" s="197" t="s">
        <v>15</v>
      </c>
      <c r="D410" s="198" t="str">
        <f t="shared" si="114"/>
        <v>C</v>
      </c>
      <c r="E410" s="199">
        <v>43944.833333333336</v>
      </c>
      <c r="F410" s="200" t="s">
        <v>80</v>
      </c>
      <c r="G410" s="201">
        <v>7507.85</v>
      </c>
      <c r="H410" s="201">
        <v>7250.83</v>
      </c>
      <c r="I410" s="202">
        <f t="shared" si="115"/>
        <v>257.02000000000044</v>
      </c>
      <c r="J410" s="201">
        <v>11363.19</v>
      </c>
      <c r="K410" s="199">
        <v>43964.166666666664</v>
      </c>
      <c r="L410" s="201">
        <v>8934.5499999999993</v>
      </c>
      <c r="M410" s="203">
        <f t="shared" si="116"/>
        <v>1426.7</v>
      </c>
      <c r="N410" s="204">
        <f t="shared" si="117"/>
        <v>5.55</v>
      </c>
      <c r="O410" s="205">
        <f t="shared" si="118"/>
        <v>0</v>
      </c>
      <c r="P410" s="206">
        <f t="shared" si="119"/>
        <v>5.55</v>
      </c>
      <c r="Q410" s="206">
        <f t="shared" si="120"/>
        <v>0</v>
      </c>
      <c r="R41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210930</v>
      </c>
      <c r="T41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10" s="208">
        <f ca="1">IF(Tabla33610673[[#This Row],[Equity]]&lt;Tabla33610673[[#This Row],[Equity Peak]],(Tabla33610673[[#This Row],[Equity Peak]]-Tabla33610673[[#This Row],[Equity]])/Tabla33610673[[#This Row],[Equity Peak]],"")</f>
        <v>6.993253670796773E-2</v>
      </c>
      <c r="V410" s="209">
        <f t="shared" si="121"/>
        <v>0</v>
      </c>
      <c r="W410" s="209">
        <f t="shared" si="122"/>
        <v>0</v>
      </c>
      <c r="X410" s="209">
        <f t="shared" si="123"/>
        <v>0</v>
      </c>
      <c r="Y410" s="209">
        <f t="shared" si="124"/>
        <v>0</v>
      </c>
      <c r="Z410" s="209">
        <f t="shared" si="125"/>
        <v>0</v>
      </c>
      <c r="AA410" s="205">
        <f t="shared" si="126"/>
        <v>0</v>
      </c>
      <c r="AB410" s="209">
        <f t="shared" si="127"/>
        <v>5.55</v>
      </c>
      <c r="AC410" s="205">
        <f t="shared" si="128"/>
        <v>0</v>
      </c>
      <c r="AD410" s="210">
        <f t="shared" si="129"/>
        <v>19.333333333328483</v>
      </c>
      <c r="AE410" s="210">
        <f t="shared" si="130"/>
        <v>19.333333333328483</v>
      </c>
      <c r="AF410" s="210">
        <f t="shared" si="131"/>
        <v>0</v>
      </c>
      <c r="AG410" s="210">
        <f t="shared" si="132"/>
        <v>0</v>
      </c>
    </row>
    <row r="411" spans="2:33" ht="15" customHeight="1" x14ac:dyDescent="0.3">
      <c r="B411" s="196" t="s">
        <v>5</v>
      </c>
      <c r="C411" s="197" t="s">
        <v>15</v>
      </c>
      <c r="D411" s="198" t="str">
        <f t="shared" si="114"/>
        <v>C</v>
      </c>
      <c r="E411" s="199">
        <v>43956.590277777781</v>
      </c>
      <c r="F411" s="200" t="s">
        <v>90</v>
      </c>
      <c r="G411" s="201">
        <v>5402.2</v>
      </c>
      <c r="H411" s="201">
        <v>5310.39</v>
      </c>
      <c r="I411" s="202">
        <f t="shared" si="115"/>
        <v>91.809999999999491</v>
      </c>
      <c r="J411" s="201">
        <v>6626.34</v>
      </c>
      <c r="K411" s="199">
        <v>43963.152083333334</v>
      </c>
      <c r="L411" s="201">
        <v>5401.67</v>
      </c>
      <c r="M411" s="203">
        <f t="shared" si="116"/>
        <v>-0.53</v>
      </c>
      <c r="N411" s="204">
        <f t="shared" si="117"/>
        <v>-0.01</v>
      </c>
      <c r="O411" s="205">
        <f t="shared" si="118"/>
        <v>0</v>
      </c>
      <c r="P411" s="206">
        <f t="shared" si="119"/>
        <v>0</v>
      </c>
      <c r="Q411" s="206">
        <f t="shared" si="120"/>
        <v>-0.01</v>
      </c>
      <c r="R41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205380</v>
      </c>
      <c r="T41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11" s="208">
        <f ca="1">IF(Tabla33610673[[#This Row],[Equity]]&lt;Tabla33610673[[#This Row],[Equity Peak]],(Tabla33610673[[#This Row],[Equity Peak]]-Tabla33610673[[#This Row],[Equity]])/Tabla33610673[[#This Row],[Equity Peak]],"")</f>
        <v>9.4404515190264118E-2</v>
      </c>
      <c r="V411" s="209">
        <f t="shared" si="121"/>
        <v>0</v>
      </c>
      <c r="W411" s="209">
        <f t="shared" si="122"/>
        <v>0</v>
      </c>
      <c r="X411" s="209">
        <f t="shared" si="123"/>
        <v>0</v>
      </c>
      <c r="Y411" s="209">
        <f t="shared" si="124"/>
        <v>0</v>
      </c>
      <c r="Z411" s="209">
        <f t="shared" si="125"/>
        <v>-0.01</v>
      </c>
      <c r="AA411" s="205">
        <f t="shared" si="126"/>
        <v>0</v>
      </c>
      <c r="AB411" s="209">
        <f t="shared" si="127"/>
        <v>0</v>
      </c>
      <c r="AC411" s="205">
        <f t="shared" si="128"/>
        <v>0</v>
      </c>
      <c r="AD411" s="210">
        <f t="shared" si="129"/>
        <v>6.5618055555532919</v>
      </c>
      <c r="AE411" s="210">
        <f t="shared" si="130"/>
        <v>0</v>
      </c>
      <c r="AF411" s="210">
        <f t="shared" si="131"/>
        <v>6.5618055555532919</v>
      </c>
      <c r="AG411" s="210">
        <f t="shared" si="132"/>
        <v>0</v>
      </c>
    </row>
    <row r="412" spans="2:33" ht="15" customHeight="1" x14ac:dyDescent="0.3">
      <c r="B412" s="196" t="s">
        <v>7</v>
      </c>
      <c r="C412" s="197" t="s">
        <v>15</v>
      </c>
      <c r="D412" s="198" t="str">
        <f t="shared" si="114"/>
        <v>C</v>
      </c>
      <c r="E412" s="199">
        <v>43958.833333333336</v>
      </c>
      <c r="F412" s="200" t="s">
        <v>122</v>
      </c>
      <c r="G412" s="201">
        <v>69.021000000000001</v>
      </c>
      <c r="H412" s="201">
        <v>68.463999999999999</v>
      </c>
      <c r="I412" s="202">
        <f t="shared" si="115"/>
        <v>0.55700000000000216</v>
      </c>
      <c r="J412" s="201">
        <v>78.668999999999997</v>
      </c>
      <c r="K412" s="199">
        <v>43963.11041666667</v>
      </c>
      <c r="L412" s="201">
        <v>69.138999999999996</v>
      </c>
      <c r="M412" s="203">
        <f t="shared" si="116"/>
        <v>0.11799999999999999</v>
      </c>
      <c r="N412" s="204">
        <f t="shared" si="117"/>
        <v>0.21</v>
      </c>
      <c r="O412" s="205">
        <f t="shared" si="118"/>
        <v>0</v>
      </c>
      <c r="P412" s="206">
        <f t="shared" si="119"/>
        <v>0.21</v>
      </c>
      <c r="Q412" s="206">
        <f t="shared" si="120"/>
        <v>0</v>
      </c>
      <c r="R41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205390</v>
      </c>
      <c r="T41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12" s="208">
        <f ca="1">IF(Tabla33610673[[#This Row],[Equity]]&lt;Tabla33610673[[#This Row],[Equity Peak]],(Tabla33610673[[#This Row],[Equity Peak]]-Tabla33610673[[#This Row],[Equity]])/Tabla33610673[[#This Row],[Equity Peak]],"")</f>
        <v>9.4360421535341063E-2</v>
      </c>
      <c r="V412" s="209">
        <f t="shared" si="121"/>
        <v>0.21</v>
      </c>
      <c r="W412" s="209">
        <f t="shared" si="122"/>
        <v>0</v>
      </c>
      <c r="X412" s="209">
        <f t="shared" si="123"/>
        <v>0</v>
      </c>
      <c r="Y412" s="209">
        <f t="shared" si="124"/>
        <v>0</v>
      </c>
      <c r="Z412" s="209">
        <f t="shared" si="125"/>
        <v>0</v>
      </c>
      <c r="AA412" s="205">
        <f t="shared" si="126"/>
        <v>0</v>
      </c>
      <c r="AB412" s="209">
        <f t="shared" si="127"/>
        <v>0</v>
      </c>
      <c r="AC412" s="205">
        <f t="shared" si="128"/>
        <v>0</v>
      </c>
      <c r="AD412" s="210">
        <f t="shared" si="129"/>
        <v>4.2770833333343035</v>
      </c>
      <c r="AE412" s="210">
        <f t="shared" si="130"/>
        <v>4.2770833333343035</v>
      </c>
      <c r="AF412" s="210">
        <f t="shared" si="131"/>
        <v>0</v>
      </c>
      <c r="AG412" s="210">
        <f t="shared" si="132"/>
        <v>0</v>
      </c>
    </row>
    <row r="413" spans="2:33" ht="15" customHeight="1" x14ac:dyDescent="0.3">
      <c r="B413" s="196" t="s">
        <v>19</v>
      </c>
      <c r="C413" s="197" t="s">
        <v>15</v>
      </c>
      <c r="D413" s="198" t="str">
        <f t="shared" si="114"/>
        <v>C</v>
      </c>
      <c r="E413" s="199">
        <v>43955.708333333336</v>
      </c>
      <c r="F413" s="200" t="s">
        <v>88</v>
      </c>
      <c r="G413" s="201">
        <v>1703.96</v>
      </c>
      <c r="H413" s="201">
        <v>1669.06</v>
      </c>
      <c r="I413" s="202">
        <f t="shared" si="115"/>
        <v>34.900000000000091</v>
      </c>
      <c r="J413" s="201">
        <v>1927.32</v>
      </c>
      <c r="K413" s="199">
        <v>43962.568055555559</v>
      </c>
      <c r="L413" s="201">
        <v>1695.04</v>
      </c>
      <c r="M413" s="203">
        <f t="shared" si="116"/>
        <v>-8.92</v>
      </c>
      <c r="N413" s="204">
        <f t="shared" si="117"/>
        <v>-0.26</v>
      </c>
      <c r="O413" s="205">
        <f t="shared" si="118"/>
        <v>0</v>
      </c>
      <c r="P413" s="206">
        <f t="shared" si="119"/>
        <v>0</v>
      </c>
      <c r="Q413" s="206">
        <f t="shared" si="120"/>
        <v>-0.26</v>
      </c>
      <c r="R41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205180</v>
      </c>
      <c r="T41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13" s="208">
        <f ca="1">IF(Tabla33610673[[#This Row],[Equity]]&lt;Tabla33610673[[#This Row],[Equity Peak]],(Tabla33610673[[#This Row],[Equity Peak]]-Tabla33610673[[#This Row],[Equity]])/Tabla33610673[[#This Row],[Equity Peak]],"")</f>
        <v>9.5286388288725252E-2</v>
      </c>
      <c r="V413" s="209">
        <f t="shared" si="121"/>
        <v>0</v>
      </c>
      <c r="W413" s="209">
        <f t="shared" si="122"/>
        <v>0</v>
      </c>
      <c r="X413" s="209">
        <f t="shared" si="123"/>
        <v>-0.26</v>
      </c>
      <c r="Y413" s="209">
        <f t="shared" si="124"/>
        <v>0</v>
      </c>
      <c r="Z413" s="209">
        <f t="shared" si="125"/>
        <v>0</v>
      </c>
      <c r="AA413" s="205">
        <f t="shared" si="126"/>
        <v>0</v>
      </c>
      <c r="AB413" s="209">
        <f t="shared" si="127"/>
        <v>0</v>
      </c>
      <c r="AC413" s="205">
        <f t="shared" si="128"/>
        <v>0</v>
      </c>
      <c r="AD413" s="210">
        <f t="shared" si="129"/>
        <v>6.859722222223354</v>
      </c>
      <c r="AE413" s="210">
        <f t="shared" si="130"/>
        <v>0</v>
      </c>
      <c r="AF413" s="210">
        <f t="shared" si="131"/>
        <v>6.859722222223354</v>
      </c>
      <c r="AG413" s="210">
        <f t="shared" si="132"/>
        <v>0</v>
      </c>
    </row>
    <row r="414" spans="2:33" ht="15" customHeight="1" x14ac:dyDescent="0.3">
      <c r="B414" s="196" t="s">
        <v>7</v>
      </c>
      <c r="C414" s="197" t="s">
        <v>13</v>
      </c>
      <c r="D414" s="198" t="str">
        <f t="shared" si="114"/>
        <v>C</v>
      </c>
      <c r="E414" s="199">
        <v>43957.5</v>
      </c>
      <c r="F414" s="200" t="s">
        <v>117</v>
      </c>
      <c r="G414" s="201">
        <v>1.0802</v>
      </c>
      <c r="H414" s="201">
        <v>1.0876399999999999</v>
      </c>
      <c r="I414" s="202">
        <f t="shared" si="115"/>
        <v>7.4399999999998911E-3</v>
      </c>
      <c r="J414" s="201">
        <v>1.0325899999999999</v>
      </c>
      <c r="K414" s="199">
        <v>43959.734722222223</v>
      </c>
      <c r="L414" s="201">
        <v>1.08684</v>
      </c>
      <c r="M414" s="203">
        <f t="shared" si="116"/>
        <v>-6.6E-3</v>
      </c>
      <c r="N414" s="204">
        <f t="shared" si="117"/>
        <v>-0.89</v>
      </c>
      <c r="O414" s="205">
        <f t="shared" si="118"/>
        <v>0</v>
      </c>
      <c r="P414" s="206">
        <f t="shared" si="119"/>
        <v>0</v>
      </c>
      <c r="Q414" s="206">
        <f t="shared" si="120"/>
        <v>-0.89</v>
      </c>
      <c r="R41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205440</v>
      </c>
      <c r="T41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14" s="208">
        <f ca="1">IF(Tabla33610673[[#This Row],[Equity]]&lt;Tabla33610673[[#This Row],[Equity Peak]],(Tabla33610673[[#This Row],[Equity Peak]]-Tabla33610673[[#This Row],[Equity]])/Tabla33610673[[#This Row],[Equity Peak]],"")</f>
        <v>9.4139953260725787E-2</v>
      </c>
      <c r="V414" s="209">
        <f t="shared" si="121"/>
        <v>-0.89</v>
      </c>
      <c r="W414" s="209">
        <f t="shared" si="122"/>
        <v>0</v>
      </c>
      <c r="X414" s="209">
        <f t="shared" si="123"/>
        <v>0</v>
      </c>
      <c r="Y414" s="209">
        <f t="shared" si="124"/>
        <v>0</v>
      </c>
      <c r="Z414" s="209">
        <f t="shared" si="125"/>
        <v>0</v>
      </c>
      <c r="AA414" s="205">
        <f t="shared" si="126"/>
        <v>0</v>
      </c>
      <c r="AB414" s="209">
        <f t="shared" si="127"/>
        <v>0</v>
      </c>
      <c r="AC414" s="205">
        <f t="shared" si="128"/>
        <v>0</v>
      </c>
      <c r="AD414" s="210">
        <f t="shared" si="129"/>
        <v>2.234722222223354</v>
      </c>
      <c r="AE414" s="210">
        <f t="shared" si="130"/>
        <v>0</v>
      </c>
      <c r="AF414" s="210">
        <f t="shared" si="131"/>
        <v>2.234722222223354</v>
      </c>
      <c r="AG414" s="210">
        <f t="shared" si="132"/>
        <v>0</v>
      </c>
    </row>
    <row r="415" spans="2:33" ht="15" customHeight="1" x14ac:dyDescent="0.3">
      <c r="B415" s="196" t="s">
        <v>7</v>
      </c>
      <c r="C415" s="197" t="s">
        <v>13</v>
      </c>
      <c r="D415" s="198" t="str">
        <f t="shared" si="114"/>
        <v>C</v>
      </c>
      <c r="E415" s="199">
        <v>43957.666666666664</v>
      </c>
      <c r="F415" s="200" t="s">
        <v>114</v>
      </c>
      <c r="G415" s="201">
        <v>1.23872</v>
      </c>
      <c r="H415" s="201">
        <v>1.2480899999999999</v>
      </c>
      <c r="I415" s="202">
        <f t="shared" si="115"/>
        <v>9.3699999999998784E-3</v>
      </c>
      <c r="J415" s="201">
        <v>1.20123</v>
      </c>
      <c r="K415" s="199">
        <v>43959.73333333333</v>
      </c>
      <c r="L415" s="201">
        <v>1.24448</v>
      </c>
      <c r="M415" s="203">
        <f t="shared" si="116"/>
        <v>-5.7999999999999996E-3</v>
      </c>
      <c r="N415" s="204">
        <f t="shared" si="117"/>
        <v>-0.62</v>
      </c>
      <c r="O415" s="205">
        <f t="shared" si="118"/>
        <v>0</v>
      </c>
      <c r="P415" s="206">
        <f t="shared" si="119"/>
        <v>0</v>
      </c>
      <c r="Q415" s="206">
        <f t="shared" si="120"/>
        <v>-0.62</v>
      </c>
      <c r="R41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206330</v>
      </c>
      <c r="T41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15" s="208">
        <f ca="1">IF(Tabla33610673[[#This Row],[Equity]]&lt;Tabla33610673[[#This Row],[Equity Peak]],(Tabla33610673[[#This Row],[Equity Peak]]-Tabla33610673[[#This Row],[Equity]])/Tabla33610673[[#This Row],[Equity Peak]],"")</f>
        <v>9.0215617972573742E-2</v>
      </c>
      <c r="V415" s="209">
        <f t="shared" si="121"/>
        <v>-0.62</v>
      </c>
      <c r="W415" s="209">
        <f t="shared" si="122"/>
        <v>0</v>
      </c>
      <c r="X415" s="209">
        <f t="shared" si="123"/>
        <v>0</v>
      </c>
      <c r="Y415" s="209">
        <f t="shared" si="124"/>
        <v>0</v>
      </c>
      <c r="Z415" s="209">
        <f t="shared" si="125"/>
        <v>0</v>
      </c>
      <c r="AA415" s="205">
        <f t="shared" si="126"/>
        <v>0</v>
      </c>
      <c r="AB415" s="209">
        <f t="shared" si="127"/>
        <v>0</v>
      </c>
      <c r="AC415" s="205">
        <f t="shared" si="128"/>
        <v>0</v>
      </c>
      <c r="AD415" s="210">
        <f t="shared" si="129"/>
        <v>2.0666666666656965</v>
      </c>
      <c r="AE415" s="210">
        <f t="shared" si="130"/>
        <v>0</v>
      </c>
      <c r="AF415" s="210">
        <f t="shared" si="131"/>
        <v>2.0666666666656965</v>
      </c>
      <c r="AG415" s="210">
        <f t="shared" si="132"/>
        <v>0</v>
      </c>
    </row>
    <row r="416" spans="2:33" ht="15" customHeight="1" x14ac:dyDescent="0.3">
      <c r="B416" s="196" t="s">
        <v>7</v>
      </c>
      <c r="C416" s="197" t="s">
        <v>13</v>
      </c>
      <c r="D416" s="198" t="str">
        <f t="shared" si="114"/>
        <v>C</v>
      </c>
      <c r="E416" s="199">
        <v>43955.333333333336</v>
      </c>
      <c r="F416" s="200" t="s">
        <v>118</v>
      </c>
      <c r="G416" s="201">
        <v>116.71899999999999</v>
      </c>
      <c r="H416" s="201">
        <v>117.97499999999999</v>
      </c>
      <c r="I416" s="202">
        <f t="shared" si="115"/>
        <v>1.2560000000000002</v>
      </c>
      <c r="J416" s="201">
        <v>111.69499999999999</v>
      </c>
      <c r="K416" s="199">
        <v>43959.068749999999</v>
      </c>
      <c r="L416" s="201">
        <v>115.28400000000001</v>
      </c>
      <c r="M416" s="203">
        <f t="shared" si="116"/>
        <v>1.4350000000000001</v>
      </c>
      <c r="N416" s="204">
        <f t="shared" si="117"/>
        <v>1.1399999999999999</v>
      </c>
      <c r="O416" s="205">
        <f t="shared" si="118"/>
        <v>0</v>
      </c>
      <c r="P416" s="206">
        <f t="shared" si="119"/>
        <v>1.1399999999999999</v>
      </c>
      <c r="Q416" s="206">
        <f t="shared" si="120"/>
        <v>0</v>
      </c>
      <c r="R41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206950</v>
      </c>
      <c r="T41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16" s="208">
        <f ca="1">IF(Tabla33610673[[#This Row],[Equity]]&lt;Tabla33610673[[#This Row],[Equity Peak]],(Tabla33610673[[#This Row],[Equity Peak]]-Tabla33610673[[#This Row],[Equity]])/Tabla33610673[[#This Row],[Equity Peak]],"")</f>
        <v>8.7481811367344245E-2</v>
      </c>
      <c r="V416" s="209">
        <f t="shared" si="121"/>
        <v>1.1399999999999999</v>
      </c>
      <c r="W416" s="209">
        <f t="shared" si="122"/>
        <v>0</v>
      </c>
      <c r="X416" s="209">
        <f t="shared" si="123"/>
        <v>0</v>
      </c>
      <c r="Y416" s="209">
        <f t="shared" si="124"/>
        <v>0</v>
      </c>
      <c r="Z416" s="209">
        <f t="shared" si="125"/>
        <v>0</v>
      </c>
      <c r="AA416" s="205">
        <f t="shared" si="126"/>
        <v>0</v>
      </c>
      <c r="AB416" s="209">
        <f t="shared" si="127"/>
        <v>0</v>
      </c>
      <c r="AC416" s="205">
        <f t="shared" si="128"/>
        <v>0</v>
      </c>
      <c r="AD416" s="210">
        <f t="shared" si="129"/>
        <v>3.7354166666627862</v>
      </c>
      <c r="AE416" s="210">
        <f t="shared" si="130"/>
        <v>3.7354166666627862</v>
      </c>
      <c r="AF416" s="210">
        <f t="shared" si="131"/>
        <v>0</v>
      </c>
      <c r="AG416" s="210">
        <f t="shared" si="132"/>
        <v>0</v>
      </c>
    </row>
    <row r="417" spans="2:33" ht="15" customHeight="1" x14ac:dyDescent="0.3">
      <c r="B417" s="196" t="s">
        <v>19</v>
      </c>
      <c r="C417" s="197" t="s">
        <v>13</v>
      </c>
      <c r="D417" s="198" t="str">
        <f t="shared" si="114"/>
        <v>C</v>
      </c>
      <c r="E417" s="199">
        <v>43952.708333333336</v>
      </c>
      <c r="F417" s="200" t="s">
        <v>89</v>
      </c>
      <c r="G417" s="201">
        <v>14.861000000000001</v>
      </c>
      <c r="H417" s="201">
        <v>15.393000000000001</v>
      </c>
      <c r="I417" s="202">
        <f t="shared" si="115"/>
        <v>0.53200000000000003</v>
      </c>
      <c r="J417" s="201">
        <v>12.308</v>
      </c>
      <c r="K417" s="199">
        <v>43958.852777777778</v>
      </c>
      <c r="L417" s="201">
        <v>15.393000000000001</v>
      </c>
      <c r="M417" s="203">
        <f t="shared" si="116"/>
        <v>-0.53200000000000003</v>
      </c>
      <c r="N417" s="204">
        <f t="shared" si="117"/>
        <v>-1</v>
      </c>
      <c r="O417" s="205">
        <f t="shared" si="118"/>
        <v>0</v>
      </c>
      <c r="P417" s="206">
        <f t="shared" si="119"/>
        <v>0</v>
      </c>
      <c r="Q417" s="206">
        <f t="shared" si="120"/>
        <v>-1</v>
      </c>
      <c r="R4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205810</v>
      </c>
      <c r="T4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17" s="208">
        <f ca="1">IF(Tabla33610673[[#This Row],[Equity]]&lt;Tabla33610673[[#This Row],[Equity Peak]],(Tabla33610673[[#This Row],[Equity Peak]]-Tabla33610673[[#This Row],[Equity]])/Tabla33610673[[#This Row],[Equity Peak]],"")</f>
        <v>9.2508488028572686E-2</v>
      </c>
      <c r="V417" s="209">
        <f t="shared" si="121"/>
        <v>0</v>
      </c>
      <c r="W417" s="209">
        <f t="shared" si="122"/>
        <v>0</v>
      </c>
      <c r="X417" s="209">
        <f t="shared" si="123"/>
        <v>-1</v>
      </c>
      <c r="Y417" s="209">
        <f t="shared" si="124"/>
        <v>0</v>
      </c>
      <c r="Z417" s="209">
        <f t="shared" si="125"/>
        <v>0</v>
      </c>
      <c r="AA417" s="205">
        <f t="shared" si="126"/>
        <v>0</v>
      </c>
      <c r="AB417" s="209">
        <f t="shared" si="127"/>
        <v>0</v>
      </c>
      <c r="AC417" s="205">
        <f t="shared" si="128"/>
        <v>0</v>
      </c>
      <c r="AD417" s="210">
        <f t="shared" si="129"/>
        <v>6.1444444444423425</v>
      </c>
      <c r="AE417" s="210">
        <f t="shared" si="130"/>
        <v>0</v>
      </c>
      <c r="AF417" s="210">
        <f t="shared" si="131"/>
        <v>6.1444444444423425</v>
      </c>
      <c r="AG417" s="210">
        <f t="shared" si="132"/>
        <v>0</v>
      </c>
    </row>
    <row r="418" spans="2:33" ht="15" customHeight="1" x14ac:dyDescent="0.3">
      <c r="B418" s="196" t="s">
        <v>7</v>
      </c>
      <c r="C418" s="197" t="s">
        <v>13</v>
      </c>
      <c r="D418" s="198" t="str">
        <f t="shared" si="114"/>
        <v>C</v>
      </c>
      <c r="E418" s="199">
        <v>43957.5</v>
      </c>
      <c r="F418" s="200" t="s">
        <v>122</v>
      </c>
      <c r="G418" s="201">
        <v>68.337999999999994</v>
      </c>
      <c r="H418" s="201">
        <v>68.808999999999997</v>
      </c>
      <c r="I418" s="202">
        <f t="shared" si="115"/>
        <v>0.47100000000000364</v>
      </c>
      <c r="J418" s="201">
        <v>60.171999999999997</v>
      </c>
      <c r="K418" s="199">
        <v>43958.4375</v>
      </c>
      <c r="L418" s="201">
        <v>68.703999999999994</v>
      </c>
      <c r="M418" s="203">
        <f t="shared" si="116"/>
        <v>-0.36599999999999999</v>
      </c>
      <c r="N418" s="204">
        <f t="shared" si="117"/>
        <v>-0.78</v>
      </c>
      <c r="O418" s="205">
        <f t="shared" si="118"/>
        <v>0</v>
      </c>
      <c r="P418" s="206">
        <f t="shared" si="119"/>
        <v>0</v>
      </c>
      <c r="Q418" s="206">
        <f t="shared" si="120"/>
        <v>-0.78</v>
      </c>
      <c r="R4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206810</v>
      </c>
      <c r="T4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18" s="208">
        <f ca="1">IF(Tabla33610673[[#This Row],[Equity]]&lt;Tabla33610673[[#This Row],[Equity Peak]],(Tabla33610673[[#This Row],[Equity Peak]]-Tabla33610673[[#This Row],[Equity]])/Tabla33610673[[#This Row],[Equity Peak]],"")</f>
        <v>8.8099122536267033E-2</v>
      </c>
      <c r="V418" s="209">
        <f t="shared" si="121"/>
        <v>-0.78</v>
      </c>
      <c r="W418" s="209">
        <f t="shared" si="122"/>
        <v>0</v>
      </c>
      <c r="X418" s="209">
        <f t="shared" si="123"/>
        <v>0</v>
      </c>
      <c r="Y418" s="209">
        <f t="shared" si="124"/>
        <v>0</v>
      </c>
      <c r="Z418" s="209">
        <f t="shared" si="125"/>
        <v>0</v>
      </c>
      <c r="AA418" s="205">
        <f t="shared" si="126"/>
        <v>0</v>
      </c>
      <c r="AB418" s="209">
        <f t="shared" si="127"/>
        <v>0</v>
      </c>
      <c r="AC418" s="205">
        <f t="shared" si="128"/>
        <v>0</v>
      </c>
      <c r="AD418" s="210">
        <f t="shared" si="129"/>
        <v>0.9375</v>
      </c>
      <c r="AE418" s="210">
        <f t="shared" si="130"/>
        <v>0</v>
      </c>
      <c r="AF418" s="210">
        <f t="shared" si="131"/>
        <v>0.9375</v>
      </c>
      <c r="AG418" s="210">
        <f t="shared" si="132"/>
        <v>0</v>
      </c>
    </row>
    <row r="419" spans="2:33" ht="15" customHeight="1" x14ac:dyDescent="0.3">
      <c r="B419" s="196" t="s">
        <v>7</v>
      </c>
      <c r="C419" s="197" t="s">
        <v>13</v>
      </c>
      <c r="D419" s="198" t="str">
        <f t="shared" si="114"/>
        <v>C</v>
      </c>
      <c r="E419" s="199">
        <v>43955.017361111109</v>
      </c>
      <c r="F419" s="200" t="s">
        <v>115</v>
      </c>
      <c r="G419" s="201">
        <v>133.24700000000001</v>
      </c>
      <c r="H419" s="201">
        <v>135.101</v>
      </c>
      <c r="I419" s="202">
        <f t="shared" si="115"/>
        <v>1.853999999999985</v>
      </c>
      <c r="J419" s="201">
        <v>122.863</v>
      </c>
      <c r="K419" s="199">
        <v>43958.436805555553</v>
      </c>
      <c r="L419" s="201">
        <v>131.881</v>
      </c>
      <c r="M419" s="203">
        <f t="shared" si="116"/>
        <v>1.3660000000000001</v>
      </c>
      <c r="N419" s="204">
        <f t="shared" si="117"/>
        <v>0.74</v>
      </c>
      <c r="O419" s="205">
        <f t="shared" si="118"/>
        <v>0</v>
      </c>
      <c r="P419" s="206">
        <f t="shared" si="119"/>
        <v>0.74</v>
      </c>
      <c r="Q419" s="206">
        <f t="shared" si="120"/>
        <v>0</v>
      </c>
      <c r="R4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207590</v>
      </c>
      <c r="T4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19" s="208">
        <f ca="1">IF(Tabla33610673[[#This Row],[Equity]]&lt;Tabla33610673[[#This Row],[Equity Peak]],(Tabla33610673[[#This Row],[Equity Peak]]-Tabla33610673[[#This Row],[Equity]])/Tabla33610673[[#This Row],[Equity Peak]],"")</f>
        <v>8.4659817452268624E-2</v>
      </c>
      <c r="V419" s="209">
        <f t="shared" si="121"/>
        <v>0.74</v>
      </c>
      <c r="W419" s="209">
        <f t="shared" si="122"/>
        <v>0</v>
      </c>
      <c r="X419" s="209">
        <f t="shared" si="123"/>
        <v>0</v>
      </c>
      <c r="Y419" s="209">
        <f t="shared" si="124"/>
        <v>0</v>
      </c>
      <c r="Z419" s="209">
        <f t="shared" si="125"/>
        <v>0</v>
      </c>
      <c r="AA419" s="205">
        <f t="shared" si="126"/>
        <v>0</v>
      </c>
      <c r="AB419" s="209">
        <f t="shared" si="127"/>
        <v>0</v>
      </c>
      <c r="AC419" s="205">
        <f t="shared" si="128"/>
        <v>0</v>
      </c>
      <c r="AD419" s="210">
        <f t="shared" si="129"/>
        <v>3.4194444444437977</v>
      </c>
      <c r="AE419" s="210">
        <f t="shared" si="130"/>
        <v>3.4194444444437977</v>
      </c>
      <c r="AF419" s="210">
        <f t="shared" si="131"/>
        <v>0</v>
      </c>
      <c r="AG419" s="210">
        <f t="shared" si="132"/>
        <v>0</v>
      </c>
    </row>
    <row r="420" spans="2:33" ht="15" customHeight="1" x14ac:dyDescent="0.3">
      <c r="B420" s="196" t="s">
        <v>7</v>
      </c>
      <c r="C420" s="197" t="s">
        <v>13</v>
      </c>
      <c r="D420" s="198" t="str">
        <f t="shared" si="114"/>
        <v>C</v>
      </c>
      <c r="E420" s="199">
        <v>43956.166666666664</v>
      </c>
      <c r="F420" s="200" t="s">
        <v>120</v>
      </c>
      <c r="G420" s="201">
        <v>1.69282</v>
      </c>
      <c r="H420" s="201">
        <v>1.7055199999999999</v>
      </c>
      <c r="I420" s="202">
        <f t="shared" si="115"/>
        <v>1.2699999999999934E-2</v>
      </c>
      <c r="J420" s="201">
        <v>1.55738</v>
      </c>
      <c r="K420" s="199">
        <v>43958.067361111112</v>
      </c>
      <c r="L420" s="201">
        <v>1.6914</v>
      </c>
      <c r="M420" s="203">
        <f t="shared" si="116"/>
        <v>1.4E-3</v>
      </c>
      <c r="N420" s="204">
        <f t="shared" si="117"/>
        <v>0.11</v>
      </c>
      <c r="O420" s="205">
        <f t="shared" si="118"/>
        <v>0</v>
      </c>
      <c r="P420" s="206">
        <f t="shared" si="119"/>
        <v>0.11</v>
      </c>
      <c r="Q420" s="206">
        <f t="shared" si="120"/>
        <v>0</v>
      </c>
      <c r="R4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206850</v>
      </c>
      <c r="T4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20" s="208">
        <f ca="1">IF(Tabla33610673[[#This Row],[Equity]]&lt;Tabla33610673[[#This Row],[Equity Peak]],(Tabla33610673[[#This Row],[Equity Peak]]-Tabla33610673[[#This Row],[Equity]])/Tabla33610673[[#This Row],[Equity Peak]],"")</f>
        <v>8.7922747916574812E-2</v>
      </c>
      <c r="V420" s="209">
        <f t="shared" si="121"/>
        <v>0.11</v>
      </c>
      <c r="W420" s="209">
        <f t="shared" si="122"/>
        <v>0</v>
      </c>
      <c r="X420" s="209">
        <f t="shared" si="123"/>
        <v>0</v>
      </c>
      <c r="Y420" s="209">
        <f t="shared" si="124"/>
        <v>0</v>
      </c>
      <c r="Z420" s="209">
        <f t="shared" si="125"/>
        <v>0</v>
      </c>
      <c r="AA420" s="205">
        <f t="shared" si="126"/>
        <v>0</v>
      </c>
      <c r="AB420" s="209">
        <f t="shared" si="127"/>
        <v>0</v>
      </c>
      <c r="AC420" s="205">
        <f t="shared" si="128"/>
        <v>0</v>
      </c>
      <c r="AD420" s="210">
        <f t="shared" si="129"/>
        <v>1.9006944444481633</v>
      </c>
      <c r="AE420" s="210">
        <f t="shared" si="130"/>
        <v>1.9006944444481633</v>
      </c>
      <c r="AF420" s="210">
        <f t="shared" si="131"/>
        <v>0</v>
      </c>
      <c r="AG420" s="210">
        <f t="shared" si="132"/>
        <v>0</v>
      </c>
    </row>
    <row r="421" spans="2:33" ht="15" customHeight="1" x14ac:dyDescent="0.3">
      <c r="B421" s="196" t="s">
        <v>5</v>
      </c>
      <c r="C421" s="197" t="s">
        <v>15</v>
      </c>
      <c r="D421" s="198" t="str">
        <f t="shared" si="114"/>
        <v>C</v>
      </c>
      <c r="E421" s="199">
        <v>43957.5</v>
      </c>
      <c r="F421" s="200" t="s">
        <v>94</v>
      </c>
      <c r="G421" s="201">
        <v>5877.37</v>
      </c>
      <c r="H421" s="201">
        <v>5769.58</v>
      </c>
      <c r="I421" s="202">
        <f t="shared" si="115"/>
        <v>107.78999999999996</v>
      </c>
      <c r="J421" s="201">
        <v>6416.31</v>
      </c>
      <c r="K421" s="199">
        <v>43957.98541666667</v>
      </c>
      <c r="L421" s="201">
        <v>5805.2</v>
      </c>
      <c r="M421" s="203">
        <f t="shared" si="116"/>
        <v>-72.17</v>
      </c>
      <c r="N421" s="204">
        <f t="shared" si="117"/>
        <v>-0.67</v>
      </c>
      <c r="O421" s="205">
        <f t="shared" si="118"/>
        <v>0</v>
      </c>
      <c r="P421" s="206">
        <f t="shared" si="119"/>
        <v>0</v>
      </c>
      <c r="Q421" s="206">
        <f t="shared" si="120"/>
        <v>-0.67</v>
      </c>
      <c r="R4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206740</v>
      </c>
      <c r="T4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21" s="208">
        <f ca="1">IF(Tabla33610673[[#This Row],[Equity]]&lt;Tabla33610673[[#This Row],[Equity Peak]],(Tabla33610673[[#This Row],[Equity Peak]]-Tabla33610673[[#This Row],[Equity]])/Tabla33610673[[#This Row],[Equity Peak]],"")</f>
        <v>8.8407778120728434E-2</v>
      </c>
      <c r="V421" s="209">
        <f t="shared" si="121"/>
        <v>0</v>
      </c>
      <c r="W421" s="209">
        <f t="shared" si="122"/>
        <v>0</v>
      </c>
      <c r="X421" s="209">
        <f t="shared" si="123"/>
        <v>0</v>
      </c>
      <c r="Y421" s="209">
        <f t="shared" si="124"/>
        <v>0</v>
      </c>
      <c r="Z421" s="209">
        <f t="shared" si="125"/>
        <v>-0.67</v>
      </c>
      <c r="AA421" s="205">
        <f t="shared" si="126"/>
        <v>0</v>
      </c>
      <c r="AB421" s="209">
        <f t="shared" si="127"/>
        <v>0</v>
      </c>
      <c r="AC421" s="205">
        <f t="shared" si="128"/>
        <v>0</v>
      </c>
      <c r="AD421" s="210">
        <f t="shared" si="129"/>
        <v>0.48541666667006211</v>
      </c>
      <c r="AE421" s="210">
        <f t="shared" si="130"/>
        <v>0</v>
      </c>
      <c r="AF421" s="210">
        <f t="shared" si="131"/>
        <v>0.48541666667006211</v>
      </c>
      <c r="AG421" s="210">
        <f t="shared" si="132"/>
        <v>0</v>
      </c>
    </row>
    <row r="422" spans="2:33" ht="15" customHeight="1" x14ac:dyDescent="0.3">
      <c r="B422" s="196" t="s">
        <v>5</v>
      </c>
      <c r="C422" s="197" t="s">
        <v>13</v>
      </c>
      <c r="D422" s="198" t="str">
        <f t="shared" si="114"/>
        <v>C</v>
      </c>
      <c r="E422" s="199">
        <v>43955.75</v>
      </c>
      <c r="F422" s="200" t="s">
        <v>95</v>
      </c>
      <c r="G422" s="201">
        <v>23480.400000000001</v>
      </c>
      <c r="H422" s="201">
        <v>24071.26</v>
      </c>
      <c r="I422" s="202">
        <f t="shared" si="115"/>
        <v>590.85999999999694</v>
      </c>
      <c r="J422" s="201">
        <v>21116.959999999999</v>
      </c>
      <c r="K422" s="199">
        <v>43956.743055555555</v>
      </c>
      <c r="L422" s="201">
        <v>24071.26</v>
      </c>
      <c r="M422" s="203">
        <f t="shared" si="116"/>
        <v>-590.86</v>
      </c>
      <c r="N422" s="204">
        <f t="shared" si="117"/>
        <v>-1</v>
      </c>
      <c r="O422" s="205">
        <f t="shared" si="118"/>
        <v>0</v>
      </c>
      <c r="P422" s="206">
        <f t="shared" si="119"/>
        <v>0</v>
      </c>
      <c r="Q422" s="206">
        <f t="shared" si="120"/>
        <v>-1</v>
      </c>
      <c r="R4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207410</v>
      </c>
      <c r="T4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22" s="208">
        <f ca="1">IF(Tabla33610673[[#This Row],[Equity]]&lt;Tabla33610673[[#This Row],[Equity Peak]],(Tabla33610673[[#This Row],[Equity Peak]]-Tabla33610673[[#This Row],[Equity]])/Tabla33610673[[#This Row],[Equity Peak]],"")</f>
        <v>8.5453503240883633E-2</v>
      </c>
      <c r="V422" s="209">
        <f t="shared" si="121"/>
        <v>0</v>
      </c>
      <c r="W422" s="209">
        <f t="shared" si="122"/>
        <v>0</v>
      </c>
      <c r="X422" s="209">
        <f t="shared" si="123"/>
        <v>0</v>
      </c>
      <c r="Y422" s="209">
        <f t="shared" si="124"/>
        <v>0</v>
      </c>
      <c r="Z422" s="209">
        <f t="shared" si="125"/>
        <v>-1</v>
      </c>
      <c r="AA422" s="205">
        <f t="shared" si="126"/>
        <v>0</v>
      </c>
      <c r="AB422" s="209">
        <f t="shared" si="127"/>
        <v>0</v>
      </c>
      <c r="AC422" s="205">
        <f t="shared" si="128"/>
        <v>0</v>
      </c>
      <c r="AD422" s="210">
        <f t="shared" si="129"/>
        <v>0.99305555555474712</v>
      </c>
      <c r="AE422" s="210">
        <f t="shared" si="130"/>
        <v>0</v>
      </c>
      <c r="AF422" s="210">
        <f t="shared" si="131"/>
        <v>0.99305555555474712</v>
      </c>
      <c r="AG422" s="210">
        <f t="shared" si="132"/>
        <v>0</v>
      </c>
    </row>
    <row r="423" spans="2:33" ht="15" customHeight="1" x14ac:dyDescent="0.3">
      <c r="B423" s="196" t="s">
        <v>5</v>
      </c>
      <c r="C423" s="197" t="s">
        <v>13</v>
      </c>
      <c r="D423" s="198" t="str">
        <f t="shared" si="114"/>
        <v>C</v>
      </c>
      <c r="E423" s="199">
        <v>43952.5</v>
      </c>
      <c r="F423" s="200" t="s">
        <v>94</v>
      </c>
      <c r="G423" s="201">
        <v>5773.08</v>
      </c>
      <c r="H423" s="201">
        <v>5932.33</v>
      </c>
      <c r="I423" s="202">
        <f t="shared" si="115"/>
        <v>159.25</v>
      </c>
      <c r="J423" s="201">
        <v>4976.82</v>
      </c>
      <c r="K423" s="199">
        <v>43955.943055555559</v>
      </c>
      <c r="L423" s="201">
        <v>5810.34</v>
      </c>
      <c r="M423" s="203">
        <f t="shared" si="116"/>
        <v>-37.26</v>
      </c>
      <c r="N423" s="204">
        <f t="shared" si="117"/>
        <v>-0.23</v>
      </c>
      <c r="O423" s="205">
        <f t="shared" si="118"/>
        <v>0</v>
      </c>
      <c r="P423" s="206">
        <f t="shared" si="119"/>
        <v>0</v>
      </c>
      <c r="Q423" s="206">
        <f t="shared" si="120"/>
        <v>-0.23</v>
      </c>
      <c r="R4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208410</v>
      </c>
      <c r="T4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23" s="208">
        <f ca="1">IF(Tabla33610673[[#This Row],[Equity]]&lt;Tabla33610673[[#This Row],[Equity Peak]],(Tabla33610673[[#This Row],[Equity Peak]]-Tabla33610673[[#This Row],[Equity]])/Tabla33610673[[#This Row],[Equity Peak]],"")</f>
        <v>8.104413774857798E-2</v>
      </c>
      <c r="V423" s="209">
        <f t="shared" si="121"/>
        <v>0</v>
      </c>
      <c r="W423" s="209">
        <f t="shared" si="122"/>
        <v>0</v>
      </c>
      <c r="X423" s="209">
        <f t="shared" si="123"/>
        <v>0</v>
      </c>
      <c r="Y423" s="209">
        <f t="shared" si="124"/>
        <v>0</v>
      </c>
      <c r="Z423" s="209">
        <f t="shared" si="125"/>
        <v>-0.23</v>
      </c>
      <c r="AA423" s="205">
        <f t="shared" si="126"/>
        <v>0</v>
      </c>
      <c r="AB423" s="209">
        <f t="shared" si="127"/>
        <v>0</v>
      </c>
      <c r="AC423" s="205">
        <f t="shared" si="128"/>
        <v>0</v>
      </c>
      <c r="AD423" s="210">
        <f t="shared" si="129"/>
        <v>3.4430555555591127</v>
      </c>
      <c r="AE423" s="210">
        <f t="shared" si="130"/>
        <v>0</v>
      </c>
      <c r="AF423" s="210">
        <f t="shared" si="131"/>
        <v>3.4430555555591127</v>
      </c>
      <c r="AG423" s="210">
        <f t="shared" si="132"/>
        <v>0</v>
      </c>
    </row>
    <row r="424" spans="2:33" ht="15" customHeight="1" x14ac:dyDescent="0.3">
      <c r="B424" s="196" t="s">
        <v>7</v>
      </c>
      <c r="C424" s="197" t="s">
        <v>15</v>
      </c>
      <c r="D424" s="198" t="str">
        <f t="shared" si="114"/>
        <v>C</v>
      </c>
      <c r="E424" s="199">
        <v>43955.333333333336</v>
      </c>
      <c r="F424" s="200" t="s">
        <v>116</v>
      </c>
      <c r="G424" s="201">
        <v>1.9476899999999999</v>
      </c>
      <c r="H424" s="201">
        <v>1.9214500000000001</v>
      </c>
      <c r="I424" s="202">
        <f t="shared" si="115"/>
        <v>2.6239999999999819E-2</v>
      </c>
      <c r="J424" s="201">
        <v>2.0351499999999998</v>
      </c>
      <c r="K424" s="199">
        <v>43955.513194444444</v>
      </c>
      <c r="L424" s="201">
        <v>1.9346099999999999</v>
      </c>
      <c r="M424" s="203">
        <f t="shared" si="116"/>
        <v>-1.3100000000000001E-2</v>
      </c>
      <c r="N424" s="204">
        <f t="shared" si="117"/>
        <v>-0.5</v>
      </c>
      <c r="O424" s="205">
        <f t="shared" si="118"/>
        <v>0</v>
      </c>
      <c r="P424" s="206">
        <f t="shared" si="119"/>
        <v>0</v>
      </c>
      <c r="Q424" s="206">
        <f t="shared" si="120"/>
        <v>-0.5</v>
      </c>
      <c r="R4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208640</v>
      </c>
      <c r="T4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24" s="208">
        <f ca="1">IF(Tabla33610673[[#This Row],[Equity]]&lt;Tabla33610673[[#This Row],[Equity Peak]],(Tabla33610673[[#This Row],[Equity Peak]]-Tabla33610673[[#This Row],[Equity]])/Tabla33610673[[#This Row],[Equity Peak]],"")</f>
        <v>8.002998368534768E-2</v>
      </c>
      <c r="V424" s="209">
        <f t="shared" si="121"/>
        <v>-0.5</v>
      </c>
      <c r="W424" s="209">
        <f t="shared" si="122"/>
        <v>0</v>
      </c>
      <c r="X424" s="209">
        <f t="shared" si="123"/>
        <v>0</v>
      </c>
      <c r="Y424" s="209">
        <f t="shared" si="124"/>
        <v>0</v>
      </c>
      <c r="Z424" s="209">
        <f t="shared" si="125"/>
        <v>0</v>
      </c>
      <c r="AA424" s="205">
        <f t="shared" si="126"/>
        <v>0</v>
      </c>
      <c r="AB424" s="209">
        <f t="shared" si="127"/>
        <v>0</v>
      </c>
      <c r="AC424" s="205">
        <f t="shared" si="128"/>
        <v>0</v>
      </c>
      <c r="AD424" s="210">
        <f t="shared" si="129"/>
        <v>0.17986111110803904</v>
      </c>
      <c r="AE424" s="210">
        <f t="shared" si="130"/>
        <v>0</v>
      </c>
      <c r="AF424" s="210">
        <f t="shared" si="131"/>
        <v>0.17986111110803904</v>
      </c>
      <c r="AG424" s="210">
        <f t="shared" si="132"/>
        <v>0</v>
      </c>
    </row>
    <row r="425" spans="2:33" ht="15" customHeight="1" x14ac:dyDescent="0.3">
      <c r="B425" s="196" t="s">
        <v>19</v>
      </c>
      <c r="C425" s="197" t="s">
        <v>15</v>
      </c>
      <c r="D425" s="198" t="str">
        <f t="shared" si="114"/>
        <v>C</v>
      </c>
      <c r="E425" s="199">
        <v>43927.125</v>
      </c>
      <c r="F425" s="200" t="s">
        <v>108</v>
      </c>
      <c r="G425" s="201">
        <v>28.164999999999999</v>
      </c>
      <c r="H425" s="201">
        <v>25.420999999999999</v>
      </c>
      <c r="I425" s="202">
        <f t="shared" si="115"/>
        <v>2.7439999999999998</v>
      </c>
      <c r="J425" s="201">
        <v>61.097000000000001</v>
      </c>
      <c r="K425" s="199">
        <v>43955.458333333336</v>
      </c>
      <c r="L425" s="201">
        <v>20.016999999999999</v>
      </c>
      <c r="M425" s="203">
        <f t="shared" si="116"/>
        <v>-8.1479999999999997</v>
      </c>
      <c r="N425" s="204">
        <f t="shared" si="117"/>
        <v>-2.97</v>
      </c>
      <c r="O425" s="205">
        <f t="shared" si="118"/>
        <v>0</v>
      </c>
      <c r="P425" s="206">
        <f t="shared" si="119"/>
        <v>0</v>
      </c>
      <c r="Q425" s="206">
        <f t="shared" si="120"/>
        <v>-2.97</v>
      </c>
      <c r="R4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209140</v>
      </c>
      <c r="T4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25" s="208">
        <f ca="1">IF(Tabla33610673[[#This Row],[Equity]]&lt;Tabla33610673[[#This Row],[Equity Peak]],(Tabla33610673[[#This Row],[Equity Peak]]-Tabla33610673[[#This Row],[Equity]])/Tabla33610673[[#This Row],[Equity Peak]],"")</f>
        <v>7.7825300939194847E-2</v>
      </c>
      <c r="V425" s="209">
        <f t="shared" si="121"/>
        <v>0</v>
      </c>
      <c r="W425" s="209">
        <f t="shared" si="122"/>
        <v>0</v>
      </c>
      <c r="X425" s="209">
        <f t="shared" si="123"/>
        <v>-2.97</v>
      </c>
      <c r="Y425" s="209">
        <f t="shared" si="124"/>
        <v>0</v>
      </c>
      <c r="Z425" s="209">
        <f t="shared" si="125"/>
        <v>0</v>
      </c>
      <c r="AA425" s="205">
        <f t="shared" si="126"/>
        <v>0</v>
      </c>
      <c r="AB425" s="209">
        <f t="shared" si="127"/>
        <v>0</v>
      </c>
      <c r="AC425" s="205">
        <f t="shared" si="128"/>
        <v>0</v>
      </c>
      <c r="AD425" s="210">
        <f t="shared" si="129"/>
        <v>28.333333333335759</v>
      </c>
      <c r="AE425" s="210">
        <f t="shared" si="130"/>
        <v>0</v>
      </c>
      <c r="AF425" s="210">
        <f t="shared" si="131"/>
        <v>28.333333333335759</v>
      </c>
      <c r="AG425" s="210">
        <f t="shared" si="132"/>
        <v>0</v>
      </c>
    </row>
    <row r="426" spans="2:33" ht="15" customHeight="1" x14ac:dyDescent="0.3">
      <c r="B426" s="196" t="s">
        <v>7</v>
      </c>
      <c r="C426" s="197" t="s">
        <v>15</v>
      </c>
      <c r="D426" s="198" t="str">
        <f t="shared" si="114"/>
        <v>C</v>
      </c>
      <c r="E426" s="199">
        <v>43952.5</v>
      </c>
      <c r="F426" s="200" t="s">
        <v>118</v>
      </c>
      <c r="G426" s="201">
        <v>117.315</v>
      </c>
      <c r="H426" s="201">
        <v>116.172</v>
      </c>
      <c r="I426" s="202">
        <f t="shared" si="115"/>
        <v>1.1430000000000007</v>
      </c>
      <c r="J426" s="201">
        <v>121.886</v>
      </c>
      <c r="K426" s="199">
        <v>43955.333333333336</v>
      </c>
      <c r="L426" s="201">
        <v>116.71899999999999</v>
      </c>
      <c r="M426" s="203">
        <f t="shared" si="116"/>
        <v>-0.59599999999999997</v>
      </c>
      <c r="N426" s="204">
        <f t="shared" si="117"/>
        <v>-0.52</v>
      </c>
      <c r="O426" s="205">
        <f t="shared" si="118"/>
        <v>0</v>
      </c>
      <c r="P426" s="206">
        <f t="shared" si="119"/>
        <v>0</v>
      </c>
      <c r="Q426" s="206">
        <f t="shared" si="120"/>
        <v>-0.52</v>
      </c>
      <c r="R4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212110</v>
      </c>
      <c r="T4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26" s="208">
        <f ca="1">IF(Tabla33610673[[#This Row],[Equity]]&lt;Tabla33610673[[#This Row],[Equity Peak]],(Tabla33610673[[#This Row],[Equity Peak]]-Tabla33610673[[#This Row],[Equity]])/Tabla33610673[[#This Row],[Equity Peak]],"")</f>
        <v>6.4729485427047054E-2</v>
      </c>
      <c r="V426" s="209">
        <f t="shared" si="121"/>
        <v>-0.52</v>
      </c>
      <c r="W426" s="209">
        <f t="shared" si="122"/>
        <v>0</v>
      </c>
      <c r="X426" s="209">
        <f t="shared" si="123"/>
        <v>0</v>
      </c>
      <c r="Y426" s="209">
        <f t="shared" si="124"/>
        <v>0</v>
      </c>
      <c r="Z426" s="209">
        <f t="shared" si="125"/>
        <v>0</v>
      </c>
      <c r="AA426" s="205">
        <f t="shared" si="126"/>
        <v>0</v>
      </c>
      <c r="AB426" s="209">
        <f t="shared" si="127"/>
        <v>0</v>
      </c>
      <c r="AC426" s="205">
        <f t="shared" si="128"/>
        <v>0</v>
      </c>
      <c r="AD426" s="210">
        <f t="shared" si="129"/>
        <v>2.8333333333357587</v>
      </c>
      <c r="AE426" s="210">
        <f t="shared" si="130"/>
        <v>0</v>
      </c>
      <c r="AF426" s="210">
        <f t="shared" si="131"/>
        <v>2.8333333333357587</v>
      </c>
      <c r="AG426" s="210">
        <f t="shared" si="132"/>
        <v>0</v>
      </c>
    </row>
    <row r="427" spans="2:33" ht="15" customHeight="1" x14ac:dyDescent="0.3">
      <c r="B427" s="196" t="s">
        <v>5</v>
      </c>
      <c r="C427" s="197" t="s">
        <v>13</v>
      </c>
      <c r="D427" s="198" t="str">
        <f t="shared" si="114"/>
        <v>C</v>
      </c>
      <c r="E427" s="199">
        <v>43955.118055555555</v>
      </c>
      <c r="F427" s="200" t="s">
        <v>90</v>
      </c>
      <c r="G427" s="201">
        <v>5156</v>
      </c>
      <c r="H427" s="201">
        <v>5248.2</v>
      </c>
      <c r="I427" s="202">
        <f t="shared" si="115"/>
        <v>92.199999999999818</v>
      </c>
      <c r="J427" s="201">
        <v>3926.71</v>
      </c>
      <c r="K427" s="199">
        <v>43955.213194444441</v>
      </c>
      <c r="L427" s="201">
        <v>5248.2</v>
      </c>
      <c r="M427" s="203">
        <f t="shared" si="116"/>
        <v>-92.2</v>
      </c>
      <c r="N427" s="204">
        <f t="shared" si="117"/>
        <v>-1</v>
      </c>
      <c r="O427" s="205">
        <f t="shared" si="118"/>
        <v>0</v>
      </c>
      <c r="P427" s="206">
        <f t="shared" si="119"/>
        <v>0</v>
      </c>
      <c r="Q427" s="206">
        <f t="shared" si="120"/>
        <v>-1</v>
      </c>
      <c r="R4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212630</v>
      </c>
      <c r="T4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27" s="208">
        <f ca="1">IF(Tabla33610673[[#This Row],[Equity]]&lt;Tabla33610673[[#This Row],[Equity Peak]],(Tabla33610673[[#This Row],[Equity Peak]]-Tabla33610673[[#This Row],[Equity]])/Tabla33610673[[#This Row],[Equity Peak]],"")</f>
        <v>6.2436615371048103E-2</v>
      </c>
      <c r="V427" s="209">
        <f t="shared" si="121"/>
        <v>0</v>
      </c>
      <c r="W427" s="209">
        <f t="shared" si="122"/>
        <v>0</v>
      </c>
      <c r="X427" s="209">
        <f t="shared" si="123"/>
        <v>0</v>
      </c>
      <c r="Y427" s="209">
        <f t="shared" si="124"/>
        <v>0</v>
      </c>
      <c r="Z427" s="209">
        <f t="shared" si="125"/>
        <v>-1</v>
      </c>
      <c r="AA427" s="205">
        <f t="shared" si="126"/>
        <v>0</v>
      </c>
      <c r="AB427" s="209">
        <f t="shared" si="127"/>
        <v>0</v>
      </c>
      <c r="AC427" s="205">
        <f t="shared" si="128"/>
        <v>0</v>
      </c>
      <c r="AD427" s="210">
        <f t="shared" si="129"/>
        <v>9.5138888886140194E-2</v>
      </c>
      <c r="AE427" s="210">
        <f t="shared" si="130"/>
        <v>0</v>
      </c>
      <c r="AF427" s="210">
        <f t="shared" si="131"/>
        <v>9.5138888886140194E-2</v>
      </c>
      <c r="AG427" s="210">
        <f t="shared" si="132"/>
        <v>0</v>
      </c>
    </row>
    <row r="428" spans="2:33" ht="15" customHeight="1" x14ac:dyDescent="0.3">
      <c r="B428" s="196" t="s">
        <v>7</v>
      </c>
      <c r="C428" s="197" t="s">
        <v>15</v>
      </c>
      <c r="D428" s="198" t="str">
        <f t="shared" si="114"/>
        <v>C</v>
      </c>
      <c r="E428" s="199">
        <v>43952.666666666664</v>
      </c>
      <c r="F428" s="200" t="s">
        <v>115</v>
      </c>
      <c r="G428" s="201">
        <v>133.66399999999999</v>
      </c>
      <c r="H428" s="201">
        <v>131.90100000000001</v>
      </c>
      <c r="I428" s="202">
        <f t="shared" si="115"/>
        <v>1.7629999999999768</v>
      </c>
      <c r="J428" s="201">
        <v>143.53800000000001</v>
      </c>
      <c r="K428" s="199">
        <v>43955.017361111109</v>
      </c>
      <c r="L428" s="201">
        <v>133.24700000000001</v>
      </c>
      <c r="M428" s="203">
        <f t="shared" si="116"/>
        <v>-0.41699999999999998</v>
      </c>
      <c r="N428" s="204">
        <f t="shared" si="117"/>
        <v>-0.24</v>
      </c>
      <c r="O428" s="205">
        <f t="shared" si="118"/>
        <v>0</v>
      </c>
      <c r="P428" s="206">
        <f t="shared" si="119"/>
        <v>0</v>
      </c>
      <c r="Q428" s="206">
        <f t="shared" si="120"/>
        <v>-0.24</v>
      </c>
      <c r="R4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213630</v>
      </c>
      <c r="T4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28" s="208">
        <f ca="1">IF(Tabla33610673[[#This Row],[Equity]]&lt;Tabla33610673[[#This Row],[Equity Peak]],(Tabla33610673[[#This Row],[Equity Peak]]-Tabla33610673[[#This Row],[Equity]])/Tabla33610673[[#This Row],[Equity Peak]],"")</f>
        <v>5.802724987874245E-2</v>
      </c>
      <c r="V428" s="209">
        <f t="shared" si="121"/>
        <v>-0.24</v>
      </c>
      <c r="W428" s="209">
        <f t="shared" si="122"/>
        <v>0</v>
      </c>
      <c r="X428" s="209">
        <f t="shared" si="123"/>
        <v>0</v>
      </c>
      <c r="Y428" s="209">
        <f t="shared" si="124"/>
        <v>0</v>
      </c>
      <c r="Z428" s="209">
        <f t="shared" si="125"/>
        <v>0</v>
      </c>
      <c r="AA428" s="205">
        <f t="shared" si="126"/>
        <v>0</v>
      </c>
      <c r="AB428" s="209">
        <f t="shared" si="127"/>
        <v>0</v>
      </c>
      <c r="AC428" s="205">
        <f t="shared" si="128"/>
        <v>0</v>
      </c>
      <c r="AD428" s="210">
        <f t="shared" si="129"/>
        <v>2.3506944444452529</v>
      </c>
      <c r="AE428" s="210">
        <f t="shared" si="130"/>
        <v>0</v>
      </c>
      <c r="AF428" s="210">
        <f t="shared" si="131"/>
        <v>2.3506944444452529</v>
      </c>
      <c r="AG428" s="210">
        <f t="shared" si="132"/>
        <v>0</v>
      </c>
    </row>
    <row r="429" spans="2:33" ht="15" customHeight="1" x14ac:dyDescent="0.3">
      <c r="B429" s="196" t="s">
        <v>5</v>
      </c>
      <c r="C429" s="197" t="s">
        <v>15</v>
      </c>
      <c r="D429" s="198" t="str">
        <f t="shared" si="114"/>
        <v>C</v>
      </c>
      <c r="E429" s="199">
        <v>43950.666666666664</v>
      </c>
      <c r="F429" s="200" t="s">
        <v>93</v>
      </c>
      <c r="G429" s="201">
        <v>2929.82</v>
      </c>
      <c r="H429" s="201">
        <v>2890.44</v>
      </c>
      <c r="I429" s="202">
        <f t="shared" si="115"/>
        <v>39.380000000000109</v>
      </c>
      <c r="J429" s="201">
        <v>3034.84</v>
      </c>
      <c r="K429" s="199">
        <v>43951.984722222223</v>
      </c>
      <c r="L429" s="201">
        <v>2890.44</v>
      </c>
      <c r="M429" s="203">
        <f t="shared" si="116"/>
        <v>-39.380000000000003</v>
      </c>
      <c r="N429" s="204">
        <f t="shared" si="117"/>
        <v>-1</v>
      </c>
      <c r="O429" s="205">
        <f t="shared" si="118"/>
        <v>0</v>
      </c>
      <c r="P429" s="206">
        <f t="shared" si="119"/>
        <v>0</v>
      </c>
      <c r="Q429" s="206">
        <f t="shared" si="120"/>
        <v>-1</v>
      </c>
      <c r="R4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213870</v>
      </c>
      <c r="T4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29" s="208">
        <f ca="1">IF(Tabla33610673[[#This Row],[Equity]]&lt;Tabla33610673[[#This Row],[Equity Peak]],(Tabla33610673[[#This Row],[Equity Peak]]-Tabla33610673[[#This Row],[Equity]])/Tabla33610673[[#This Row],[Equity Peak]],"")</f>
        <v>5.6969002160589088E-2</v>
      </c>
      <c r="V429" s="209">
        <f t="shared" si="121"/>
        <v>0</v>
      </c>
      <c r="W429" s="209">
        <f t="shared" si="122"/>
        <v>0</v>
      </c>
      <c r="X429" s="209">
        <f t="shared" si="123"/>
        <v>0</v>
      </c>
      <c r="Y429" s="209">
        <f t="shared" si="124"/>
        <v>0</v>
      </c>
      <c r="Z429" s="209">
        <f t="shared" si="125"/>
        <v>-1</v>
      </c>
      <c r="AA429" s="205">
        <f t="shared" si="126"/>
        <v>0</v>
      </c>
      <c r="AB429" s="209">
        <f t="shared" si="127"/>
        <v>0</v>
      </c>
      <c r="AC429" s="205">
        <f t="shared" si="128"/>
        <v>0</v>
      </c>
      <c r="AD429" s="210">
        <f t="shared" si="129"/>
        <v>1.3180555555591127</v>
      </c>
      <c r="AE429" s="210">
        <f t="shared" si="130"/>
        <v>0</v>
      </c>
      <c r="AF429" s="210">
        <f t="shared" si="131"/>
        <v>1.3180555555591127</v>
      </c>
      <c r="AG429" s="210">
        <f t="shared" si="132"/>
        <v>0</v>
      </c>
    </row>
    <row r="430" spans="2:33" ht="15" customHeight="1" x14ac:dyDescent="0.3">
      <c r="B430" s="196" t="s">
        <v>5</v>
      </c>
      <c r="C430" s="197" t="s">
        <v>15</v>
      </c>
      <c r="D430" s="198" t="str">
        <f t="shared" si="114"/>
        <v>C</v>
      </c>
      <c r="E430" s="199">
        <v>43951.118055555555</v>
      </c>
      <c r="F430" s="200" t="s">
        <v>90</v>
      </c>
      <c r="G430" s="201">
        <v>5472</v>
      </c>
      <c r="H430" s="201">
        <v>5392.64</v>
      </c>
      <c r="I430" s="202">
        <f t="shared" si="115"/>
        <v>79.359999999999673</v>
      </c>
      <c r="J430" s="201">
        <v>6530.14</v>
      </c>
      <c r="K430" s="199">
        <v>43951.781944444447</v>
      </c>
      <c r="L430" s="201">
        <v>5434.44</v>
      </c>
      <c r="M430" s="203">
        <f t="shared" si="116"/>
        <v>-37.56</v>
      </c>
      <c r="N430" s="204">
        <f t="shared" si="117"/>
        <v>-0.47</v>
      </c>
      <c r="O430" s="205">
        <f t="shared" si="118"/>
        <v>0</v>
      </c>
      <c r="P430" s="206">
        <f t="shared" si="119"/>
        <v>0</v>
      </c>
      <c r="Q430" s="206">
        <f t="shared" si="120"/>
        <v>-0.47</v>
      </c>
      <c r="R4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214870</v>
      </c>
      <c r="T4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30" s="208">
        <f ca="1">IF(Tabla33610673[[#This Row],[Equity]]&lt;Tabla33610673[[#This Row],[Equity Peak]],(Tabla33610673[[#This Row],[Equity Peak]]-Tabla33610673[[#This Row],[Equity]])/Tabla33610673[[#This Row],[Equity Peak]],"")</f>
        <v>5.2559636668283435E-2</v>
      </c>
      <c r="V430" s="209">
        <f t="shared" si="121"/>
        <v>0</v>
      </c>
      <c r="W430" s="209">
        <f t="shared" si="122"/>
        <v>0</v>
      </c>
      <c r="X430" s="209">
        <f t="shared" si="123"/>
        <v>0</v>
      </c>
      <c r="Y430" s="209">
        <f t="shared" si="124"/>
        <v>0</v>
      </c>
      <c r="Z430" s="209">
        <f t="shared" si="125"/>
        <v>-0.47</v>
      </c>
      <c r="AA430" s="205">
        <f t="shared" si="126"/>
        <v>0</v>
      </c>
      <c r="AB430" s="209">
        <f t="shared" si="127"/>
        <v>0</v>
      </c>
      <c r="AC430" s="205">
        <f t="shared" si="128"/>
        <v>0</v>
      </c>
      <c r="AD430" s="210">
        <f t="shared" si="129"/>
        <v>0.66388888889196096</v>
      </c>
      <c r="AE430" s="210">
        <f t="shared" si="130"/>
        <v>0</v>
      </c>
      <c r="AF430" s="210">
        <f t="shared" si="131"/>
        <v>0.66388888889196096</v>
      </c>
      <c r="AG430" s="210">
        <f t="shared" si="132"/>
        <v>0</v>
      </c>
    </row>
    <row r="431" spans="2:33" ht="15" customHeight="1" x14ac:dyDescent="0.3">
      <c r="B431" s="196" t="s">
        <v>7</v>
      </c>
      <c r="C431" s="197" t="s">
        <v>15</v>
      </c>
      <c r="D431" s="198" t="str">
        <f t="shared" si="114"/>
        <v>C</v>
      </c>
      <c r="E431" s="199">
        <v>43949.5</v>
      </c>
      <c r="F431" s="200" t="s">
        <v>122</v>
      </c>
      <c r="G431" s="201">
        <v>69.39</v>
      </c>
      <c r="H431" s="201">
        <v>68.957999999999998</v>
      </c>
      <c r="I431" s="202">
        <f t="shared" si="115"/>
        <v>0.43200000000000216</v>
      </c>
      <c r="J431" s="201">
        <v>76.885000000000005</v>
      </c>
      <c r="K431" s="199">
        <v>43951.705555555556</v>
      </c>
      <c r="L431" s="201">
        <v>69.269000000000005</v>
      </c>
      <c r="M431" s="203">
        <f t="shared" si="116"/>
        <v>-0.121</v>
      </c>
      <c r="N431" s="204">
        <f t="shared" si="117"/>
        <v>-0.28000000000000003</v>
      </c>
      <c r="O431" s="205">
        <f t="shared" si="118"/>
        <v>0</v>
      </c>
      <c r="P431" s="206">
        <f t="shared" si="119"/>
        <v>0</v>
      </c>
      <c r="Q431" s="206">
        <f t="shared" si="120"/>
        <v>-0.28000000000000003</v>
      </c>
      <c r="R4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215340</v>
      </c>
      <c r="T4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31" s="208">
        <f ca="1">IF(Tabla33610673[[#This Row],[Equity]]&lt;Tabla33610673[[#This Row],[Equity Peak]],(Tabla33610673[[#This Row],[Equity Peak]]-Tabla33610673[[#This Row],[Equity]])/Tabla33610673[[#This Row],[Equity Peak]],"")</f>
        <v>5.0487234886899775E-2</v>
      </c>
      <c r="V431" s="209">
        <f t="shared" si="121"/>
        <v>-0.28000000000000003</v>
      </c>
      <c r="W431" s="209">
        <f t="shared" si="122"/>
        <v>0</v>
      </c>
      <c r="X431" s="209">
        <f t="shared" si="123"/>
        <v>0</v>
      </c>
      <c r="Y431" s="209">
        <f t="shared" si="124"/>
        <v>0</v>
      </c>
      <c r="Z431" s="209">
        <f t="shared" si="125"/>
        <v>0</v>
      </c>
      <c r="AA431" s="205">
        <f t="shared" si="126"/>
        <v>0</v>
      </c>
      <c r="AB431" s="209">
        <f t="shared" si="127"/>
        <v>0</v>
      </c>
      <c r="AC431" s="205">
        <f t="shared" si="128"/>
        <v>0</v>
      </c>
      <c r="AD431" s="210">
        <f t="shared" si="129"/>
        <v>2.2055555555562023</v>
      </c>
      <c r="AE431" s="210">
        <f t="shared" si="130"/>
        <v>0</v>
      </c>
      <c r="AF431" s="210">
        <f t="shared" si="131"/>
        <v>2.2055555555562023</v>
      </c>
      <c r="AG431" s="210">
        <f t="shared" si="132"/>
        <v>0</v>
      </c>
    </row>
    <row r="432" spans="2:33" ht="15" customHeight="1" x14ac:dyDescent="0.3">
      <c r="B432" s="196" t="s">
        <v>7</v>
      </c>
      <c r="C432" s="197" t="s">
        <v>13</v>
      </c>
      <c r="D432" s="198" t="str">
        <f t="shared" si="114"/>
        <v>C</v>
      </c>
      <c r="E432" s="199">
        <v>43949.833333333336</v>
      </c>
      <c r="F432" s="200" t="s">
        <v>120</v>
      </c>
      <c r="G432" s="201">
        <v>1.6673199999999999</v>
      </c>
      <c r="H432" s="201">
        <v>1.6762600000000001</v>
      </c>
      <c r="I432" s="202">
        <f t="shared" si="115"/>
        <v>8.94000000000017E-3</v>
      </c>
      <c r="J432" s="201">
        <v>1.57196</v>
      </c>
      <c r="K432" s="199">
        <v>43951.650694444441</v>
      </c>
      <c r="L432" s="201">
        <v>1.6669400000000001</v>
      </c>
      <c r="M432" s="203">
        <f t="shared" si="116"/>
        <v>4.0000000000000002E-4</v>
      </c>
      <c r="N432" s="204">
        <f t="shared" si="117"/>
        <v>0.04</v>
      </c>
      <c r="O432" s="205">
        <f t="shared" si="118"/>
        <v>0</v>
      </c>
      <c r="P432" s="206">
        <f t="shared" si="119"/>
        <v>0.04</v>
      </c>
      <c r="Q432" s="206">
        <f t="shared" si="120"/>
        <v>0</v>
      </c>
      <c r="R4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215620</v>
      </c>
      <c r="T4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32" s="208">
        <f ca="1">IF(Tabla33610673[[#This Row],[Equity]]&lt;Tabla33610673[[#This Row],[Equity Peak]],(Tabla33610673[[#This Row],[Equity Peak]]-Tabla33610673[[#This Row],[Equity]])/Tabla33610673[[#This Row],[Equity Peak]],"")</f>
        <v>4.9252612549054192E-2</v>
      </c>
      <c r="V432" s="209">
        <f t="shared" si="121"/>
        <v>0.04</v>
      </c>
      <c r="W432" s="209">
        <f t="shared" si="122"/>
        <v>0</v>
      </c>
      <c r="X432" s="209">
        <f t="shared" si="123"/>
        <v>0</v>
      </c>
      <c r="Y432" s="209">
        <f t="shared" si="124"/>
        <v>0</v>
      </c>
      <c r="Z432" s="209">
        <f t="shared" si="125"/>
        <v>0</v>
      </c>
      <c r="AA432" s="205">
        <f t="shared" si="126"/>
        <v>0</v>
      </c>
      <c r="AB432" s="209">
        <f t="shared" si="127"/>
        <v>0</v>
      </c>
      <c r="AC432" s="205">
        <f t="shared" si="128"/>
        <v>0</v>
      </c>
      <c r="AD432" s="210">
        <f t="shared" si="129"/>
        <v>1.8173611111051287</v>
      </c>
      <c r="AE432" s="210">
        <f t="shared" si="130"/>
        <v>1.8173611111051287</v>
      </c>
      <c r="AF432" s="210">
        <f t="shared" si="131"/>
        <v>0</v>
      </c>
      <c r="AG432" s="210">
        <f t="shared" si="132"/>
        <v>0</v>
      </c>
    </row>
    <row r="433" spans="2:33" ht="15" customHeight="1" x14ac:dyDescent="0.3">
      <c r="B433" s="196" t="s">
        <v>5</v>
      </c>
      <c r="C433" s="197" t="s">
        <v>15</v>
      </c>
      <c r="D433" s="198" t="str">
        <f t="shared" si="114"/>
        <v>C</v>
      </c>
      <c r="E433" s="199">
        <v>43943.5</v>
      </c>
      <c r="F433" s="200" t="s">
        <v>94</v>
      </c>
      <c r="G433" s="201">
        <v>5740.04</v>
      </c>
      <c r="H433" s="201">
        <v>5602.56</v>
      </c>
      <c r="I433" s="202">
        <f t="shared" si="115"/>
        <v>137.47999999999956</v>
      </c>
      <c r="J433" s="201">
        <v>6427.45</v>
      </c>
      <c r="K433" s="199">
        <v>43951.561111111114</v>
      </c>
      <c r="L433" s="201">
        <v>6077.52</v>
      </c>
      <c r="M433" s="203">
        <f t="shared" si="116"/>
        <v>337.48</v>
      </c>
      <c r="N433" s="204">
        <f t="shared" si="117"/>
        <v>2.4500000000000002</v>
      </c>
      <c r="O433" s="205">
        <f t="shared" si="118"/>
        <v>0</v>
      </c>
      <c r="P433" s="206">
        <f t="shared" si="119"/>
        <v>2.4500000000000002</v>
      </c>
      <c r="Q433" s="206">
        <f t="shared" si="120"/>
        <v>0</v>
      </c>
      <c r="R4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215580</v>
      </c>
      <c r="T4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33" s="208">
        <f ca="1">IF(Tabla33610673[[#This Row],[Equity]]&lt;Tabla33610673[[#This Row],[Equity Peak]],(Tabla33610673[[#This Row],[Equity Peak]]-Tabla33610673[[#This Row],[Equity]])/Tabla33610673[[#This Row],[Equity Peak]],"")</f>
        <v>4.942898716874642E-2</v>
      </c>
      <c r="V433" s="209">
        <f t="shared" si="121"/>
        <v>0</v>
      </c>
      <c r="W433" s="209">
        <f t="shared" si="122"/>
        <v>0</v>
      </c>
      <c r="X433" s="209">
        <f t="shared" si="123"/>
        <v>0</v>
      </c>
      <c r="Y433" s="209">
        <f t="shared" si="124"/>
        <v>0</v>
      </c>
      <c r="Z433" s="209">
        <f t="shared" si="125"/>
        <v>2.4500000000000002</v>
      </c>
      <c r="AA433" s="205">
        <f t="shared" si="126"/>
        <v>0</v>
      </c>
      <c r="AB433" s="209">
        <f t="shared" si="127"/>
        <v>0</v>
      </c>
      <c r="AC433" s="205">
        <f t="shared" si="128"/>
        <v>0</v>
      </c>
      <c r="AD433" s="210">
        <f t="shared" si="129"/>
        <v>8.0611111111138598</v>
      </c>
      <c r="AE433" s="210">
        <f t="shared" si="130"/>
        <v>8.0611111111138598</v>
      </c>
      <c r="AF433" s="210">
        <f t="shared" si="131"/>
        <v>0</v>
      </c>
      <c r="AG433" s="210">
        <f t="shared" si="132"/>
        <v>0</v>
      </c>
    </row>
    <row r="434" spans="2:33" ht="15" customHeight="1" x14ac:dyDescent="0.3">
      <c r="B434" s="196" t="s">
        <v>5</v>
      </c>
      <c r="C434" s="197" t="s">
        <v>15</v>
      </c>
      <c r="D434" s="198" t="str">
        <f t="shared" si="114"/>
        <v>C</v>
      </c>
      <c r="E434" s="199">
        <v>43949.666666666664</v>
      </c>
      <c r="F434" s="200" t="s">
        <v>93</v>
      </c>
      <c r="G434" s="201">
        <v>2920.2</v>
      </c>
      <c r="H434" s="201">
        <v>2882.38</v>
      </c>
      <c r="I434" s="202">
        <f t="shared" si="115"/>
        <v>37.819999999999709</v>
      </c>
      <c r="J434" s="201">
        <v>3021.05</v>
      </c>
      <c r="K434" s="199">
        <v>43949.727777777778</v>
      </c>
      <c r="L434" s="201">
        <v>2882.38</v>
      </c>
      <c r="M434" s="203">
        <f t="shared" si="116"/>
        <v>-37.82</v>
      </c>
      <c r="N434" s="204">
        <f t="shared" si="117"/>
        <v>-1</v>
      </c>
      <c r="O434" s="205">
        <f t="shared" si="118"/>
        <v>0</v>
      </c>
      <c r="P434" s="206">
        <f t="shared" si="119"/>
        <v>0</v>
      </c>
      <c r="Q434" s="206">
        <f t="shared" si="120"/>
        <v>-1</v>
      </c>
      <c r="R4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213130</v>
      </c>
      <c r="T4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34" s="208">
        <f ca="1">IF(Tabla33610673[[#This Row],[Equity]]&lt;Tabla33610673[[#This Row],[Equity Peak]],(Tabla33610673[[#This Row],[Equity Peak]]-Tabla33610673[[#This Row],[Equity]])/Tabla33610673[[#This Row],[Equity Peak]],"")</f>
        <v>6.0231932624895276E-2</v>
      </c>
      <c r="V434" s="209">
        <f t="shared" si="121"/>
        <v>0</v>
      </c>
      <c r="W434" s="209">
        <f t="shared" si="122"/>
        <v>0</v>
      </c>
      <c r="X434" s="209">
        <f t="shared" si="123"/>
        <v>0</v>
      </c>
      <c r="Y434" s="209">
        <f t="shared" si="124"/>
        <v>0</v>
      </c>
      <c r="Z434" s="209">
        <f t="shared" si="125"/>
        <v>-1</v>
      </c>
      <c r="AA434" s="205">
        <f t="shared" si="126"/>
        <v>0</v>
      </c>
      <c r="AB434" s="209">
        <f t="shared" si="127"/>
        <v>0</v>
      </c>
      <c r="AC434" s="205">
        <f t="shared" si="128"/>
        <v>0</v>
      </c>
      <c r="AD434" s="210">
        <f t="shared" si="129"/>
        <v>6.1111111113859806E-2</v>
      </c>
      <c r="AE434" s="210">
        <f t="shared" si="130"/>
        <v>0</v>
      </c>
      <c r="AF434" s="210">
        <f t="shared" si="131"/>
        <v>6.1111111113859806E-2</v>
      </c>
      <c r="AG434" s="210">
        <f t="shared" si="132"/>
        <v>0</v>
      </c>
    </row>
    <row r="435" spans="2:33" ht="15" customHeight="1" x14ac:dyDescent="0.3">
      <c r="B435" s="196" t="s">
        <v>7</v>
      </c>
      <c r="C435" s="197" t="s">
        <v>13</v>
      </c>
      <c r="D435" s="198" t="str">
        <f t="shared" si="114"/>
        <v>C</v>
      </c>
      <c r="E435" s="199">
        <v>43936.666666666664</v>
      </c>
      <c r="F435" s="200" t="s">
        <v>117</v>
      </c>
      <c r="G435" s="201">
        <v>1.08589</v>
      </c>
      <c r="H435" s="201">
        <v>1.09474</v>
      </c>
      <c r="I435" s="202">
        <f t="shared" si="115"/>
        <v>8.8500000000000245E-3</v>
      </c>
      <c r="J435" s="201">
        <v>1.0292399999999999</v>
      </c>
      <c r="K435" s="199">
        <v>43945.98333333333</v>
      </c>
      <c r="L435" s="201">
        <v>1.0824499999999999</v>
      </c>
      <c r="M435" s="203">
        <f t="shared" si="116"/>
        <v>3.3999999999999998E-3</v>
      </c>
      <c r="N435" s="204">
        <f t="shared" si="117"/>
        <v>0.38</v>
      </c>
      <c r="O435" s="205">
        <f t="shared" si="118"/>
        <v>0</v>
      </c>
      <c r="P435" s="206">
        <f t="shared" si="119"/>
        <v>0.38</v>
      </c>
      <c r="Q435" s="206">
        <f t="shared" si="120"/>
        <v>0</v>
      </c>
      <c r="R4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214130</v>
      </c>
      <c r="T4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35" s="208">
        <f ca="1">IF(Tabla33610673[[#This Row],[Equity]]&lt;Tabla33610673[[#This Row],[Equity Peak]],(Tabla33610673[[#This Row],[Equity Peak]]-Tabla33610673[[#This Row],[Equity]])/Tabla33610673[[#This Row],[Equity Peak]],"")</f>
        <v>5.5822567132589623E-2</v>
      </c>
      <c r="V435" s="209">
        <f t="shared" si="121"/>
        <v>0.38</v>
      </c>
      <c r="W435" s="209">
        <f t="shared" si="122"/>
        <v>0</v>
      </c>
      <c r="X435" s="209">
        <f t="shared" si="123"/>
        <v>0</v>
      </c>
      <c r="Y435" s="209">
        <f t="shared" si="124"/>
        <v>0</v>
      </c>
      <c r="Z435" s="209">
        <f t="shared" si="125"/>
        <v>0</v>
      </c>
      <c r="AA435" s="205">
        <f t="shared" si="126"/>
        <v>0</v>
      </c>
      <c r="AB435" s="209">
        <f t="shared" si="127"/>
        <v>0</v>
      </c>
      <c r="AC435" s="205">
        <f t="shared" si="128"/>
        <v>0</v>
      </c>
      <c r="AD435" s="210">
        <f t="shared" si="129"/>
        <v>9.3166666666656965</v>
      </c>
      <c r="AE435" s="210">
        <f t="shared" si="130"/>
        <v>9.3166666666656965</v>
      </c>
      <c r="AF435" s="210">
        <f t="shared" si="131"/>
        <v>0</v>
      </c>
      <c r="AG435" s="210">
        <f t="shared" si="132"/>
        <v>0</v>
      </c>
    </row>
    <row r="436" spans="2:33" ht="15" customHeight="1" x14ac:dyDescent="0.3">
      <c r="B436" s="196" t="s">
        <v>84</v>
      </c>
      <c r="C436" s="197" t="s">
        <v>15</v>
      </c>
      <c r="D436" s="198" t="str">
        <f t="shared" si="114"/>
        <v>C</v>
      </c>
      <c r="E436" s="199">
        <v>43678.666666666664</v>
      </c>
      <c r="F436" s="200" t="s">
        <v>80</v>
      </c>
      <c r="G436" s="201">
        <v>10019.36</v>
      </c>
      <c r="H436" s="201">
        <v>9712.65</v>
      </c>
      <c r="I436" s="202">
        <f t="shared" si="115"/>
        <v>306.71000000000095</v>
      </c>
      <c r="J436" s="201">
        <v>14620.01</v>
      </c>
      <c r="K436" s="199">
        <v>43944.833333333336</v>
      </c>
      <c r="L436" s="201">
        <v>7507.85</v>
      </c>
      <c r="M436" s="203">
        <f t="shared" si="116"/>
        <v>-2511.5100000000002</v>
      </c>
      <c r="N436" s="204">
        <f t="shared" si="117"/>
        <v>-8.19</v>
      </c>
      <c r="O436" s="205">
        <f t="shared" si="118"/>
        <v>0</v>
      </c>
      <c r="P436" s="206">
        <f t="shared" si="119"/>
        <v>0</v>
      </c>
      <c r="Q436" s="206">
        <f t="shared" si="120"/>
        <v>-8.19</v>
      </c>
      <c r="R4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213750</v>
      </c>
      <c r="T4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36" s="208">
        <f ca="1">IF(Tabla33610673[[#This Row],[Equity]]&lt;Tabla33610673[[#This Row],[Equity Peak]],(Tabla33610673[[#This Row],[Equity Peak]]-Tabla33610673[[#This Row],[Equity]])/Tabla33610673[[#This Row],[Equity Peak]],"")</f>
        <v>5.7498126019665773E-2</v>
      </c>
      <c r="V436" s="209">
        <f t="shared" si="121"/>
        <v>0</v>
      </c>
      <c r="W436" s="209">
        <f t="shared" si="122"/>
        <v>0</v>
      </c>
      <c r="X436" s="209">
        <f t="shared" si="123"/>
        <v>0</v>
      </c>
      <c r="Y436" s="209">
        <f t="shared" si="124"/>
        <v>0</v>
      </c>
      <c r="Z436" s="209">
        <f t="shared" si="125"/>
        <v>0</v>
      </c>
      <c r="AA436" s="205">
        <f t="shared" si="126"/>
        <v>0</v>
      </c>
      <c r="AB436" s="209">
        <f t="shared" si="127"/>
        <v>-8.19</v>
      </c>
      <c r="AC436" s="205">
        <f t="shared" si="128"/>
        <v>0</v>
      </c>
      <c r="AD436" s="210">
        <f t="shared" si="129"/>
        <v>266.16666666667152</v>
      </c>
      <c r="AE436" s="210">
        <f t="shared" si="130"/>
        <v>0</v>
      </c>
      <c r="AF436" s="210">
        <f t="shared" si="131"/>
        <v>266.16666666667152</v>
      </c>
      <c r="AG436" s="210">
        <f t="shared" si="132"/>
        <v>0</v>
      </c>
    </row>
    <row r="437" spans="2:33" ht="15" customHeight="1" x14ac:dyDescent="0.3">
      <c r="B437" s="196" t="s">
        <v>7</v>
      </c>
      <c r="C437" s="197" t="s">
        <v>13</v>
      </c>
      <c r="D437" s="198" t="str">
        <f t="shared" si="114"/>
        <v>C</v>
      </c>
      <c r="E437" s="199">
        <v>43944.666666666664</v>
      </c>
      <c r="F437" s="200" t="s">
        <v>118</v>
      </c>
      <c r="G437" s="201">
        <v>115.871</v>
      </c>
      <c r="H437" s="201">
        <v>116.82</v>
      </c>
      <c r="I437" s="202">
        <f t="shared" si="115"/>
        <v>0.94899999999999807</v>
      </c>
      <c r="J437" s="201">
        <v>112.077</v>
      </c>
      <c r="K437" s="199">
        <v>43944.73541666667</v>
      </c>
      <c r="L437" s="201">
        <v>116.82</v>
      </c>
      <c r="M437" s="203">
        <f t="shared" si="116"/>
        <v>-0.94899999999999995</v>
      </c>
      <c r="N437" s="204">
        <f t="shared" si="117"/>
        <v>-1</v>
      </c>
      <c r="O437" s="205">
        <f t="shared" si="118"/>
        <v>0</v>
      </c>
      <c r="P437" s="206">
        <f t="shared" si="119"/>
        <v>0</v>
      </c>
      <c r="Q437" s="206">
        <f t="shared" si="120"/>
        <v>-1</v>
      </c>
      <c r="R4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221940</v>
      </c>
      <c r="T4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37" s="208">
        <f ca="1">IF(Tabla33610673[[#This Row],[Equity]]&lt;Tabla33610673[[#This Row],[Equity Peak]],(Tabla33610673[[#This Row],[Equity Peak]]-Tabla33610673[[#This Row],[Equity]])/Tabla33610673[[#This Row],[Equity Peak]],"")</f>
        <v>2.1385422637682436E-2</v>
      </c>
      <c r="V437" s="209">
        <f t="shared" si="121"/>
        <v>-1</v>
      </c>
      <c r="W437" s="209">
        <f t="shared" si="122"/>
        <v>0</v>
      </c>
      <c r="X437" s="209">
        <f t="shared" si="123"/>
        <v>0</v>
      </c>
      <c r="Y437" s="209">
        <f t="shared" si="124"/>
        <v>0</v>
      </c>
      <c r="Z437" s="209">
        <f t="shared" si="125"/>
        <v>0</v>
      </c>
      <c r="AA437" s="205">
        <f t="shared" si="126"/>
        <v>0</v>
      </c>
      <c r="AB437" s="209">
        <f t="shared" si="127"/>
        <v>0</v>
      </c>
      <c r="AC437" s="205">
        <f t="shared" si="128"/>
        <v>0</v>
      </c>
      <c r="AD437" s="210">
        <f t="shared" si="129"/>
        <v>6.8750000005820766E-2</v>
      </c>
      <c r="AE437" s="210">
        <f t="shared" si="130"/>
        <v>0</v>
      </c>
      <c r="AF437" s="210">
        <f t="shared" si="131"/>
        <v>6.8750000005820766E-2</v>
      </c>
      <c r="AG437" s="210">
        <f t="shared" si="132"/>
        <v>0</v>
      </c>
    </row>
    <row r="438" spans="2:33" ht="15" customHeight="1" x14ac:dyDescent="0.3">
      <c r="B438" s="196" t="s">
        <v>7</v>
      </c>
      <c r="C438" s="197" t="s">
        <v>13</v>
      </c>
      <c r="D438" s="198" t="str">
        <f t="shared" si="114"/>
        <v>C</v>
      </c>
      <c r="E438" s="199">
        <v>43942.666666666664</v>
      </c>
      <c r="F438" s="200" t="s">
        <v>114</v>
      </c>
      <c r="G438" s="201">
        <v>1.2276899999999999</v>
      </c>
      <c r="H438" s="201">
        <v>1.2412000000000001</v>
      </c>
      <c r="I438" s="202">
        <f t="shared" si="115"/>
        <v>1.3510000000000133E-2</v>
      </c>
      <c r="J438" s="201">
        <v>1.17364</v>
      </c>
      <c r="K438" s="199">
        <v>43944.73541666667</v>
      </c>
      <c r="L438" s="201">
        <v>1.2412000000000001</v>
      </c>
      <c r="M438" s="203">
        <f t="shared" si="116"/>
        <v>-1.35E-2</v>
      </c>
      <c r="N438" s="204">
        <f t="shared" si="117"/>
        <v>-1</v>
      </c>
      <c r="O438" s="205">
        <f t="shared" si="118"/>
        <v>0</v>
      </c>
      <c r="P438" s="206">
        <f t="shared" si="119"/>
        <v>0</v>
      </c>
      <c r="Q438" s="206">
        <f t="shared" si="120"/>
        <v>-1</v>
      </c>
      <c r="R4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222940</v>
      </c>
      <c r="T4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38" s="208">
        <f ca="1">IF(Tabla33610673[[#This Row],[Equity]]&lt;Tabla33610673[[#This Row],[Equity Peak]],(Tabla33610673[[#This Row],[Equity Peak]]-Tabla33610673[[#This Row],[Equity]])/Tabla33610673[[#This Row],[Equity Peak]],"")</f>
        <v>1.6976057145376779E-2</v>
      </c>
      <c r="V438" s="209">
        <f t="shared" si="121"/>
        <v>-1</v>
      </c>
      <c r="W438" s="209">
        <f t="shared" si="122"/>
        <v>0</v>
      </c>
      <c r="X438" s="209">
        <f t="shared" si="123"/>
        <v>0</v>
      </c>
      <c r="Y438" s="209">
        <f t="shared" si="124"/>
        <v>0</v>
      </c>
      <c r="Z438" s="209">
        <f t="shared" si="125"/>
        <v>0</v>
      </c>
      <c r="AA438" s="205">
        <f t="shared" si="126"/>
        <v>0</v>
      </c>
      <c r="AB438" s="209">
        <f t="shared" si="127"/>
        <v>0</v>
      </c>
      <c r="AC438" s="205">
        <f t="shared" si="128"/>
        <v>0</v>
      </c>
      <c r="AD438" s="210">
        <f t="shared" si="129"/>
        <v>2.0687500000058208</v>
      </c>
      <c r="AE438" s="210">
        <f t="shared" si="130"/>
        <v>0</v>
      </c>
      <c r="AF438" s="210">
        <f t="shared" si="131"/>
        <v>2.0687500000058208</v>
      </c>
      <c r="AG438" s="210">
        <f t="shared" si="132"/>
        <v>0</v>
      </c>
    </row>
    <row r="439" spans="2:33" ht="15" customHeight="1" x14ac:dyDescent="0.3">
      <c r="B439" s="196" t="s">
        <v>7</v>
      </c>
      <c r="C439" s="197" t="s">
        <v>13</v>
      </c>
      <c r="D439" s="198" t="str">
        <f t="shared" si="114"/>
        <v>C</v>
      </c>
      <c r="E439" s="199">
        <v>43942.666666666664</v>
      </c>
      <c r="F439" s="200" t="s">
        <v>115</v>
      </c>
      <c r="G439" s="201">
        <v>132.03299999999999</v>
      </c>
      <c r="H439" s="201">
        <v>133.43</v>
      </c>
      <c r="I439" s="202">
        <f t="shared" si="115"/>
        <v>1.3970000000000198</v>
      </c>
      <c r="J439" s="201">
        <v>124.21299999999999</v>
      </c>
      <c r="K439" s="199">
        <v>43944.384027777778</v>
      </c>
      <c r="L439" s="201">
        <v>133.43</v>
      </c>
      <c r="M439" s="203">
        <f t="shared" si="116"/>
        <v>-1.397</v>
      </c>
      <c r="N439" s="204">
        <f t="shared" si="117"/>
        <v>-1</v>
      </c>
      <c r="O439" s="205">
        <f t="shared" si="118"/>
        <v>0</v>
      </c>
      <c r="P439" s="206">
        <f t="shared" si="119"/>
        <v>0</v>
      </c>
      <c r="Q439" s="206">
        <f t="shared" si="120"/>
        <v>-1</v>
      </c>
      <c r="R4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223940</v>
      </c>
      <c r="T4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39" s="208">
        <f ca="1">IF(Tabla33610673[[#This Row],[Equity]]&lt;Tabla33610673[[#This Row],[Equity Peak]],(Tabla33610673[[#This Row],[Equity Peak]]-Tabla33610673[[#This Row],[Equity]])/Tabla33610673[[#This Row],[Equity Peak]],"")</f>
        <v>1.2566691653071123E-2</v>
      </c>
      <c r="V439" s="209">
        <f t="shared" si="121"/>
        <v>-1</v>
      </c>
      <c r="W439" s="209">
        <f t="shared" si="122"/>
        <v>0</v>
      </c>
      <c r="X439" s="209">
        <f t="shared" si="123"/>
        <v>0</v>
      </c>
      <c r="Y439" s="209">
        <f t="shared" si="124"/>
        <v>0</v>
      </c>
      <c r="Z439" s="209">
        <f t="shared" si="125"/>
        <v>0</v>
      </c>
      <c r="AA439" s="205">
        <f t="shared" si="126"/>
        <v>0</v>
      </c>
      <c r="AB439" s="209">
        <f t="shared" si="127"/>
        <v>0</v>
      </c>
      <c r="AC439" s="205">
        <f t="shared" si="128"/>
        <v>0</v>
      </c>
      <c r="AD439" s="210">
        <f t="shared" si="129"/>
        <v>1.7173611111138598</v>
      </c>
      <c r="AE439" s="210">
        <f t="shared" si="130"/>
        <v>0</v>
      </c>
      <c r="AF439" s="210">
        <f t="shared" si="131"/>
        <v>1.7173611111138598</v>
      </c>
      <c r="AG439" s="210">
        <f t="shared" si="132"/>
        <v>0</v>
      </c>
    </row>
    <row r="440" spans="2:33" ht="15" customHeight="1" x14ac:dyDescent="0.3">
      <c r="B440" s="196" t="s">
        <v>5</v>
      </c>
      <c r="C440" s="197" t="s">
        <v>13</v>
      </c>
      <c r="D440" s="198" t="str">
        <f t="shared" si="114"/>
        <v>C</v>
      </c>
      <c r="E440" s="199">
        <v>43943.017361111109</v>
      </c>
      <c r="F440" s="200" t="s">
        <v>94</v>
      </c>
      <c r="G440" s="201">
        <v>5655</v>
      </c>
      <c r="H440" s="201">
        <v>5792.33</v>
      </c>
      <c r="I440" s="202">
        <f t="shared" si="115"/>
        <v>137.32999999999993</v>
      </c>
      <c r="J440" s="201">
        <v>4968.34</v>
      </c>
      <c r="K440" s="199">
        <v>43943.5</v>
      </c>
      <c r="L440" s="201">
        <v>5740.04</v>
      </c>
      <c r="M440" s="203">
        <f t="shared" si="116"/>
        <v>-85.04</v>
      </c>
      <c r="N440" s="204">
        <f t="shared" si="117"/>
        <v>-0.62</v>
      </c>
      <c r="O440" s="205">
        <f t="shared" si="118"/>
        <v>0</v>
      </c>
      <c r="P440" s="206">
        <f t="shared" si="119"/>
        <v>0</v>
      </c>
      <c r="Q440" s="206">
        <f t="shared" si="120"/>
        <v>-0.62</v>
      </c>
      <c r="R4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224940</v>
      </c>
      <c r="T4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40" s="208">
        <f ca="1">IF(Tabla33610673[[#This Row],[Equity]]&lt;Tabla33610673[[#This Row],[Equity Peak]],(Tabla33610673[[#This Row],[Equity Peak]]-Tabla33610673[[#This Row],[Equity]])/Tabla33610673[[#This Row],[Equity Peak]],"")</f>
        <v>8.1573261607654664E-3</v>
      </c>
      <c r="V440" s="209">
        <f t="shared" si="121"/>
        <v>0</v>
      </c>
      <c r="W440" s="209">
        <f t="shared" si="122"/>
        <v>0</v>
      </c>
      <c r="X440" s="209">
        <f t="shared" si="123"/>
        <v>0</v>
      </c>
      <c r="Y440" s="209">
        <f t="shared" si="124"/>
        <v>0</v>
      </c>
      <c r="Z440" s="209">
        <f t="shared" si="125"/>
        <v>-0.62</v>
      </c>
      <c r="AA440" s="205">
        <f t="shared" si="126"/>
        <v>0</v>
      </c>
      <c r="AB440" s="209">
        <f t="shared" si="127"/>
        <v>0</v>
      </c>
      <c r="AC440" s="205">
        <f t="shared" si="128"/>
        <v>0</v>
      </c>
      <c r="AD440" s="210">
        <f t="shared" si="129"/>
        <v>0.48263888889050577</v>
      </c>
      <c r="AE440" s="210">
        <f t="shared" si="130"/>
        <v>0</v>
      </c>
      <c r="AF440" s="210">
        <f t="shared" si="131"/>
        <v>0.48263888889050577</v>
      </c>
      <c r="AG440" s="210">
        <f t="shared" si="132"/>
        <v>0</v>
      </c>
    </row>
    <row r="441" spans="2:33" ht="15" customHeight="1" x14ac:dyDescent="0.3">
      <c r="B441" s="196" t="s">
        <v>5</v>
      </c>
      <c r="C441" s="197" t="s">
        <v>13</v>
      </c>
      <c r="D441" s="198" t="str">
        <f t="shared" si="114"/>
        <v>C</v>
      </c>
      <c r="E441" s="199">
        <v>43942.590277777781</v>
      </c>
      <c r="F441" s="200" t="s">
        <v>90</v>
      </c>
      <c r="G441" s="201">
        <v>5145.6000000000004</v>
      </c>
      <c r="H441" s="201">
        <v>5260.45</v>
      </c>
      <c r="I441" s="202">
        <f t="shared" si="115"/>
        <v>114.84999999999945</v>
      </c>
      <c r="J441" s="201">
        <v>3614.31</v>
      </c>
      <c r="K441" s="199">
        <v>43943.353472222225</v>
      </c>
      <c r="L441" s="201">
        <v>5248.07</v>
      </c>
      <c r="M441" s="203">
        <f t="shared" si="116"/>
        <v>-102.47</v>
      </c>
      <c r="N441" s="204">
        <f t="shared" si="117"/>
        <v>-0.89</v>
      </c>
      <c r="O441" s="205">
        <f t="shared" si="118"/>
        <v>0</v>
      </c>
      <c r="P441" s="206">
        <f t="shared" si="119"/>
        <v>0</v>
      </c>
      <c r="Q441" s="206">
        <f t="shared" si="120"/>
        <v>-0.89</v>
      </c>
      <c r="R4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225560</v>
      </c>
      <c r="T4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41" s="208">
        <f ca="1">IF(Tabla33610673[[#This Row],[Equity]]&lt;Tabla33610673[[#This Row],[Equity Peak]],(Tabla33610673[[#This Row],[Equity Peak]]-Tabla33610673[[#This Row],[Equity]])/Tabla33610673[[#This Row],[Equity Peak]],"")</f>
        <v>5.4235195555359583E-3</v>
      </c>
      <c r="V441" s="209">
        <f t="shared" si="121"/>
        <v>0</v>
      </c>
      <c r="W441" s="209">
        <f t="shared" si="122"/>
        <v>0</v>
      </c>
      <c r="X441" s="209">
        <f t="shared" si="123"/>
        <v>0</v>
      </c>
      <c r="Y441" s="209">
        <f t="shared" si="124"/>
        <v>0</v>
      </c>
      <c r="Z441" s="209">
        <f t="shared" si="125"/>
        <v>-0.89</v>
      </c>
      <c r="AA441" s="205">
        <f t="shared" si="126"/>
        <v>0</v>
      </c>
      <c r="AB441" s="209">
        <f t="shared" si="127"/>
        <v>0</v>
      </c>
      <c r="AC441" s="205">
        <f t="shared" si="128"/>
        <v>0</v>
      </c>
      <c r="AD441" s="210">
        <f t="shared" si="129"/>
        <v>0.76319444444379769</v>
      </c>
      <c r="AE441" s="210">
        <f t="shared" si="130"/>
        <v>0</v>
      </c>
      <c r="AF441" s="210">
        <f t="shared" si="131"/>
        <v>0.76319444444379769</v>
      </c>
      <c r="AG441" s="210">
        <f t="shared" si="132"/>
        <v>0</v>
      </c>
    </row>
    <row r="442" spans="2:33" ht="15" customHeight="1" x14ac:dyDescent="0.3">
      <c r="B442" s="196" t="s">
        <v>19</v>
      </c>
      <c r="C442" s="197" t="s">
        <v>15</v>
      </c>
      <c r="D442" s="198" t="str">
        <f t="shared" si="114"/>
        <v>C</v>
      </c>
      <c r="E442" s="199">
        <v>43927.875</v>
      </c>
      <c r="F442" s="200" t="s">
        <v>89</v>
      </c>
      <c r="G442" s="201">
        <v>14.935</v>
      </c>
      <c r="H442" s="201">
        <v>13.956</v>
      </c>
      <c r="I442" s="202">
        <f t="shared" si="115"/>
        <v>0.97900000000000098</v>
      </c>
      <c r="J442" s="201">
        <v>19.635999999999999</v>
      </c>
      <c r="K442" s="199">
        <v>43942.61041666667</v>
      </c>
      <c r="L442" s="201">
        <v>14.641</v>
      </c>
      <c r="M442" s="203">
        <f t="shared" si="116"/>
        <v>-0.29399999999999998</v>
      </c>
      <c r="N442" s="204">
        <f t="shared" si="117"/>
        <v>-0.3</v>
      </c>
      <c r="O442" s="205">
        <f t="shared" si="118"/>
        <v>0</v>
      </c>
      <c r="P442" s="206">
        <f t="shared" si="119"/>
        <v>0</v>
      </c>
      <c r="Q442" s="206">
        <f t="shared" si="120"/>
        <v>-0.3</v>
      </c>
      <c r="R4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226450</v>
      </c>
      <c r="T4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42" s="208">
        <f ca="1">IF(Tabla33610673[[#This Row],[Equity]]&lt;Tabla33610673[[#This Row],[Equity Peak]],(Tabla33610673[[#This Row],[Equity Peak]]-Tabla33610673[[#This Row],[Equity]])/Tabla33610673[[#This Row],[Equity Peak]],"")</f>
        <v>1.4991842673839234E-3</v>
      </c>
      <c r="V442" s="209">
        <f t="shared" si="121"/>
        <v>0</v>
      </c>
      <c r="W442" s="209">
        <f t="shared" si="122"/>
        <v>0</v>
      </c>
      <c r="X442" s="209">
        <f t="shared" si="123"/>
        <v>-0.3</v>
      </c>
      <c r="Y442" s="209">
        <f t="shared" si="124"/>
        <v>0</v>
      </c>
      <c r="Z442" s="209">
        <f t="shared" si="125"/>
        <v>0</v>
      </c>
      <c r="AA442" s="205">
        <f t="shared" si="126"/>
        <v>0</v>
      </c>
      <c r="AB442" s="209">
        <f t="shared" si="127"/>
        <v>0</v>
      </c>
      <c r="AC442" s="205">
        <f t="shared" si="128"/>
        <v>0</v>
      </c>
      <c r="AD442" s="210">
        <f t="shared" si="129"/>
        <v>14.735416666670062</v>
      </c>
      <c r="AE442" s="210">
        <f t="shared" si="130"/>
        <v>0</v>
      </c>
      <c r="AF442" s="210">
        <f t="shared" si="131"/>
        <v>14.735416666670062</v>
      </c>
      <c r="AG442" s="210">
        <f t="shared" si="132"/>
        <v>0</v>
      </c>
    </row>
    <row r="443" spans="2:33" ht="15" customHeight="1" x14ac:dyDescent="0.3">
      <c r="B443" s="196" t="s">
        <v>5</v>
      </c>
      <c r="C443" s="197" t="s">
        <v>15</v>
      </c>
      <c r="D443" s="198" t="str">
        <f t="shared" si="114"/>
        <v>C</v>
      </c>
      <c r="E443" s="199">
        <v>43938.017361111109</v>
      </c>
      <c r="F443" s="200" t="s">
        <v>94</v>
      </c>
      <c r="G443" s="201">
        <v>5734.43</v>
      </c>
      <c r="H443" s="201">
        <v>5604.28</v>
      </c>
      <c r="I443" s="202">
        <f t="shared" si="115"/>
        <v>130.15000000000055</v>
      </c>
      <c r="J443" s="201">
        <v>6385.16</v>
      </c>
      <c r="K443" s="199">
        <v>43941.602777777778</v>
      </c>
      <c r="L443" s="201">
        <v>5728.95</v>
      </c>
      <c r="M443" s="203">
        <f t="shared" si="116"/>
        <v>-5.48</v>
      </c>
      <c r="N443" s="204">
        <f t="shared" si="117"/>
        <v>-0.04</v>
      </c>
      <c r="O443" s="205">
        <f t="shared" si="118"/>
        <v>0</v>
      </c>
      <c r="P443" s="206">
        <f t="shared" si="119"/>
        <v>0</v>
      </c>
      <c r="Q443" s="206">
        <f t="shared" si="120"/>
        <v>-0.04</v>
      </c>
      <c r="R4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226750</v>
      </c>
      <c r="T4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43" s="208">
        <f ca="1">IF(Tabla33610673[[#This Row],[Equity]]&lt;Tabla33610673[[#This Row],[Equity Peak]],(Tabla33610673[[#This Row],[Equity Peak]]-Tabla33610673[[#This Row],[Equity]])/Tabla33610673[[#This Row],[Equity Peak]],"")</f>
        <v>1.763746196922263E-4</v>
      </c>
      <c r="V443" s="209">
        <f t="shared" si="121"/>
        <v>0</v>
      </c>
      <c r="W443" s="209">
        <f t="shared" si="122"/>
        <v>0</v>
      </c>
      <c r="X443" s="209">
        <f t="shared" si="123"/>
        <v>0</v>
      </c>
      <c r="Y443" s="209">
        <f t="shared" si="124"/>
        <v>0</v>
      </c>
      <c r="Z443" s="209">
        <f t="shared" si="125"/>
        <v>-0.04</v>
      </c>
      <c r="AA443" s="205">
        <f t="shared" si="126"/>
        <v>0</v>
      </c>
      <c r="AB443" s="209">
        <f t="shared" si="127"/>
        <v>0</v>
      </c>
      <c r="AC443" s="205">
        <f t="shared" si="128"/>
        <v>0</v>
      </c>
      <c r="AD443" s="210">
        <f t="shared" si="129"/>
        <v>3.5854166666686069</v>
      </c>
      <c r="AE443" s="210">
        <f t="shared" si="130"/>
        <v>0</v>
      </c>
      <c r="AF443" s="210">
        <f t="shared" si="131"/>
        <v>3.5854166666686069</v>
      </c>
      <c r="AG443" s="210">
        <f t="shared" si="132"/>
        <v>0</v>
      </c>
    </row>
    <row r="444" spans="2:33" ht="15" customHeight="1" x14ac:dyDescent="0.3">
      <c r="B444" s="196" t="s">
        <v>84</v>
      </c>
      <c r="C444" s="197" t="s">
        <v>13</v>
      </c>
      <c r="D444" s="198" t="str">
        <f t="shared" si="114"/>
        <v>C</v>
      </c>
      <c r="E444" s="199">
        <v>43657.333333333336</v>
      </c>
      <c r="F444" s="200" t="s">
        <v>82</v>
      </c>
      <c r="G444" s="201">
        <v>268.94</v>
      </c>
      <c r="H444" s="201">
        <v>282.99</v>
      </c>
      <c r="I444" s="202">
        <f t="shared" si="115"/>
        <v>14.050000000000011</v>
      </c>
      <c r="J444" s="201">
        <v>6.7</v>
      </c>
      <c r="K444" s="199">
        <v>43941</v>
      </c>
      <c r="L444" s="201">
        <v>177.42</v>
      </c>
      <c r="M444" s="203">
        <f t="shared" si="116"/>
        <v>91.52</v>
      </c>
      <c r="N444" s="204">
        <f t="shared" si="117"/>
        <v>6.51</v>
      </c>
      <c r="O444" s="205">
        <f t="shared" si="118"/>
        <v>0</v>
      </c>
      <c r="P444" s="206">
        <f t="shared" si="119"/>
        <v>6.51</v>
      </c>
      <c r="Q444" s="206">
        <f t="shared" si="120"/>
        <v>0</v>
      </c>
      <c r="R4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226790</v>
      </c>
      <c r="T4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226790</v>
      </c>
      <c r="U44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44" s="209">
        <f t="shared" si="121"/>
        <v>0</v>
      </c>
      <c r="W444" s="209">
        <f t="shared" si="122"/>
        <v>0</v>
      </c>
      <c r="X444" s="209">
        <f t="shared" si="123"/>
        <v>0</v>
      </c>
      <c r="Y444" s="209">
        <f t="shared" si="124"/>
        <v>0</v>
      </c>
      <c r="Z444" s="209">
        <f t="shared" si="125"/>
        <v>0</v>
      </c>
      <c r="AA444" s="205">
        <f t="shared" si="126"/>
        <v>0</v>
      </c>
      <c r="AB444" s="209">
        <f t="shared" si="127"/>
        <v>6.51</v>
      </c>
      <c r="AC444" s="205">
        <f t="shared" si="128"/>
        <v>0</v>
      </c>
      <c r="AD444" s="210">
        <f t="shared" si="129"/>
        <v>283.66666666666424</v>
      </c>
      <c r="AE444" s="210">
        <f t="shared" si="130"/>
        <v>283.66666666666424</v>
      </c>
      <c r="AF444" s="210">
        <f t="shared" si="131"/>
        <v>0</v>
      </c>
      <c r="AG444" s="210">
        <f t="shared" si="132"/>
        <v>0</v>
      </c>
    </row>
    <row r="445" spans="2:33" ht="15" customHeight="1" x14ac:dyDescent="0.3">
      <c r="B445" s="196" t="s">
        <v>19</v>
      </c>
      <c r="C445" s="197" t="s">
        <v>15</v>
      </c>
      <c r="D445" s="198" t="str">
        <f t="shared" si="114"/>
        <v>C</v>
      </c>
      <c r="E445" s="199">
        <v>43922.541666666664</v>
      </c>
      <c r="F445" s="200" t="s">
        <v>88</v>
      </c>
      <c r="G445" s="201">
        <v>1594.72</v>
      </c>
      <c r="H445" s="201">
        <v>1559.56</v>
      </c>
      <c r="I445" s="202">
        <f t="shared" si="115"/>
        <v>35.160000000000082</v>
      </c>
      <c r="J445" s="201">
        <v>1819.71</v>
      </c>
      <c r="K445" s="199">
        <v>43938.067361111112</v>
      </c>
      <c r="L445" s="201">
        <v>1703.77</v>
      </c>
      <c r="M445" s="203">
        <f t="shared" si="116"/>
        <v>109.05</v>
      </c>
      <c r="N445" s="204">
        <f t="shared" si="117"/>
        <v>3.1</v>
      </c>
      <c r="O445" s="205">
        <f t="shared" si="118"/>
        <v>0</v>
      </c>
      <c r="P445" s="206">
        <f t="shared" si="119"/>
        <v>3.1</v>
      </c>
      <c r="Q445" s="206">
        <f t="shared" si="120"/>
        <v>0</v>
      </c>
      <c r="R4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220280</v>
      </c>
      <c r="T4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220280</v>
      </c>
      <c r="U44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45" s="209">
        <f t="shared" si="121"/>
        <v>0</v>
      </c>
      <c r="W445" s="209">
        <f t="shared" si="122"/>
        <v>0</v>
      </c>
      <c r="X445" s="209">
        <f t="shared" si="123"/>
        <v>3.1</v>
      </c>
      <c r="Y445" s="209">
        <f t="shared" si="124"/>
        <v>0</v>
      </c>
      <c r="Z445" s="209">
        <f t="shared" si="125"/>
        <v>0</v>
      </c>
      <c r="AA445" s="205">
        <f t="shared" si="126"/>
        <v>0</v>
      </c>
      <c r="AB445" s="209">
        <f t="shared" si="127"/>
        <v>0</v>
      </c>
      <c r="AC445" s="205">
        <f t="shared" si="128"/>
        <v>0</v>
      </c>
      <c r="AD445" s="210">
        <f t="shared" si="129"/>
        <v>15.525694444448163</v>
      </c>
      <c r="AE445" s="210">
        <f t="shared" si="130"/>
        <v>15.525694444448163</v>
      </c>
      <c r="AF445" s="210">
        <f t="shared" si="131"/>
        <v>0</v>
      </c>
      <c r="AG445" s="210">
        <f t="shared" si="132"/>
        <v>0</v>
      </c>
    </row>
    <row r="446" spans="2:33" ht="15" customHeight="1" x14ac:dyDescent="0.3">
      <c r="B446" s="196" t="s">
        <v>5</v>
      </c>
      <c r="C446" s="197" t="s">
        <v>13</v>
      </c>
      <c r="D446" s="198" t="str">
        <f t="shared" si="114"/>
        <v>C</v>
      </c>
      <c r="E446" s="199">
        <v>43937.017361111109</v>
      </c>
      <c r="F446" s="200" t="s">
        <v>94</v>
      </c>
      <c r="G446" s="201">
        <v>5560.65</v>
      </c>
      <c r="H446" s="201">
        <v>5704.74</v>
      </c>
      <c r="I446" s="202">
        <f t="shared" si="115"/>
        <v>144.09000000000015</v>
      </c>
      <c r="J446" s="201">
        <v>4840.21</v>
      </c>
      <c r="K446" s="199">
        <v>43937.402083333334</v>
      </c>
      <c r="L446" s="201">
        <v>5653.15</v>
      </c>
      <c r="M446" s="203">
        <f t="shared" si="116"/>
        <v>-92.5</v>
      </c>
      <c r="N446" s="204">
        <f t="shared" si="117"/>
        <v>-0.64</v>
      </c>
      <c r="O446" s="205">
        <f t="shared" si="118"/>
        <v>0</v>
      </c>
      <c r="P446" s="206">
        <f t="shared" si="119"/>
        <v>0</v>
      </c>
      <c r="Q446" s="206">
        <f t="shared" si="120"/>
        <v>-0.64</v>
      </c>
      <c r="R4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217180</v>
      </c>
      <c r="T4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218820</v>
      </c>
      <c r="U446" s="208">
        <f ca="1">IF(Tabla33610673[[#This Row],[Equity]]&lt;Tabla33610673[[#This Row],[Equity Peak]],(Tabla33610673[[#This Row],[Equity Peak]]-Tabla33610673[[#This Row],[Equity]])/Tabla33610673[[#This Row],[Equity Peak]],"")</f>
        <v>7.4947445388904126E-3</v>
      </c>
      <c r="V446" s="209">
        <f t="shared" si="121"/>
        <v>0</v>
      </c>
      <c r="W446" s="209">
        <f t="shared" si="122"/>
        <v>0</v>
      </c>
      <c r="X446" s="209">
        <f t="shared" si="123"/>
        <v>0</v>
      </c>
      <c r="Y446" s="209">
        <f t="shared" si="124"/>
        <v>0</v>
      </c>
      <c r="Z446" s="209">
        <f t="shared" si="125"/>
        <v>-0.64</v>
      </c>
      <c r="AA446" s="205">
        <f t="shared" si="126"/>
        <v>0</v>
      </c>
      <c r="AB446" s="209">
        <f t="shared" si="127"/>
        <v>0</v>
      </c>
      <c r="AC446" s="205">
        <f t="shared" si="128"/>
        <v>0</v>
      </c>
      <c r="AD446" s="210">
        <f t="shared" si="129"/>
        <v>0.38472222222480923</v>
      </c>
      <c r="AE446" s="210">
        <f t="shared" si="130"/>
        <v>0</v>
      </c>
      <c r="AF446" s="210">
        <f t="shared" si="131"/>
        <v>0.38472222222480923</v>
      </c>
      <c r="AG446" s="210">
        <f t="shared" si="132"/>
        <v>0</v>
      </c>
    </row>
    <row r="447" spans="2:33" ht="15" customHeight="1" x14ac:dyDescent="0.3">
      <c r="B447" s="196" t="s">
        <v>5</v>
      </c>
      <c r="C447" s="197" t="s">
        <v>15</v>
      </c>
      <c r="D447" s="198" t="str">
        <f t="shared" si="114"/>
        <v>C</v>
      </c>
      <c r="E447" s="199">
        <v>43936.423611111109</v>
      </c>
      <c r="F447" s="200" t="s">
        <v>90</v>
      </c>
      <c r="G447" s="201">
        <v>5485.1</v>
      </c>
      <c r="H447" s="201">
        <v>5356.2</v>
      </c>
      <c r="I447" s="202">
        <f t="shared" si="115"/>
        <v>128.90000000000055</v>
      </c>
      <c r="J447" s="201">
        <v>7203.81</v>
      </c>
      <c r="K447" s="199">
        <v>43936.756944444445</v>
      </c>
      <c r="L447" s="201">
        <v>5356.2</v>
      </c>
      <c r="M447" s="203">
        <f t="shared" si="116"/>
        <v>-128.9</v>
      </c>
      <c r="N447" s="204">
        <f t="shared" si="117"/>
        <v>-1</v>
      </c>
      <c r="O447" s="205">
        <f t="shared" si="118"/>
        <v>0</v>
      </c>
      <c r="P447" s="206">
        <f t="shared" si="119"/>
        <v>0</v>
      </c>
      <c r="Q447" s="206">
        <f t="shared" si="120"/>
        <v>-1</v>
      </c>
      <c r="R4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217820</v>
      </c>
      <c r="T4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218820</v>
      </c>
      <c r="U447" s="208">
        <f ca="1">IF(Tabla33610673[[#This Row],[Equity]]&lt;Tabla33610673[[#This Row],[Equity Peak]],(Tabla33610673[[#This Row],[Equity Peak]]-Tabla33610673[[#This Row],[Equity]])/Tabla33610673[[#This Row],[Equity Peak]],"")</f>
        <v>4.5699661822502513E-3</v>
      </c>
      <c r="V447" s="209">
        <f t="shared" si="121"/>
        <v>0</v>
      </c>
      <c r="W447" s="209">
        <f t="shared" si="122"/>
        <v>0</v>
      </c>
      <c r="X447" s="209">
        <f t="shared" si="123"/>
        <v>0</v>
      </c>
      <c r="Y447" s="209">
        <f t="shared" si="124"/>
        <v>0</v>
      </c>
      <c r="Z447" s="209">
        <f t="shared" si="125"/>
        <v>-1</v>
      </c>
      <c r="AA447" s="205">
        <f t="shared" si="126"/>
        <v>0</v>
      </c>
      <c r="AB447" s="209">
        <f t="shared" si="127"/>
        <v>0</v>
      </c>
      <c r="AC447" s="205">
        <f t="shared" si="128"/>
        <v>0</v>
      </c>
      <c r="AD447" s="210">
        <f t="shared" si="129"/>
        <v>0.33333333333575865</v>
      </c>
      <c r="AE447" s="210">
        <f t="shared" si="130"/>
        <v>0</v>
      </c>
      <c r="AF447" s="210">
        <f t="shared" si="131"/>
        <v>0.33333333333575865</v>
      </c>
      <c r="AG447" s="210">
        <f t="shared" si="132"/>
        <v>0</v>
      </c>
    </row>
    <row r="448" spans="2:33" ht="15" customHeight="1" x14ac:dyDescent="0.3">
      <c r="B448" s="196" t="s">
        <v>7</v>
      </c>
      <c r="C448" s="197" t="s">
        <v>13</v>
      </c>
      <c r="D448" s="198" t="str">
        <f t="shared" si="114"/>
        <v>C</v>
      </c>
      <c r="E448" s="199">
        <v>43931.5</v>
      </c>
      <c r="F448" s="200" t="s">
        <v>113</v>
      </c>
      <c r="G448" s="201">
        <v>108.381</v>
      </c>
      <c r="H448" s="201">
        <v>109.114</v>
      </c>
      <c r="I448" s="202">
        <f t="shared" si="115"/>
        <v>0.73300000000000409</v>
      </c>
      <c r="J448" s="201">
        <v>104.959</v>
      </c>
      <c r="K448" s="199">
        <v>43936.678472222222</v>
      </c>
      <c r="L448" s="201">
        <v>107.611</v>
      </c>
      <c r="M448" s="203">
        <f t="shared" si="116"/>
        <v>0.77</v>
      </c>
      <c r="N448" s="204">
        <f t="shared" si="117"/>
        <v>1.05</v>
      </c>
      <c r="O448" s="205">
        <f t="shared" si="118"/>
        <v>0</v>
      </c>
      <c r="P448" s="206">
        <f t="shared" si="119"/>
        <v>1.05</v>
      </c>
      <c r="Q448" s="206">
        <f t="shared" si="120"/>
        <v>0</v>
      </c>
      <c r="R4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218820</v>
      </c>
      <c r="T4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218820</v>
      </c>
      <c r="U44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48" s="209">
        <f t="shared" si="121"/>
        <v>1.05</v>
      </c>
      <c r="W448" s="209">
        <f t="shared" si="122"/>
        <v>0</v>
      </c>
      <c r="X448" s="209">
        <f t="shared" si="123"/>
        <v>0</v>
      </c>
      <c r="Y448" s="209">
        <f t="shared" si="124"/>
        <v>0</v>
      </c>
      <c r="Z448" s="209">
        <f t="shared" si="125"/>
        <v>0</v>
      </c>
      <c r="AA448" s="205">
        <f t="shared" si="126"/>
        <v>0</v>
      </c>
      <c r="AB448" s="209">
        <f t="shared" si="127"/>
        <v>0</v>
      </c>
      <c r="AC448" s="205">
        <f t="shared" si="128"/>
        <v>0</v>
      </c>
      <c r="AD448" s="210">
        <f t="shared" si="129"/>
        <v>5.1784722222218988</v>
      </c>
      <c r="AE448" s="210">
        <f t="shared" si="130"/>
        <v>5.1784722222218988</v>
      </c>
      <c r="AF448" s="210">
        <f t="shared" si="131"/>
        <v>0</v>
      </c>
      <c r="AG448" s="210">
        <f t="shared" si="132"/>
        <v>0</v>
      </c>
    </row>
    <row r="449" spans="2:33" ht="15" customHeight="1" x14ac:dyDescent="0.3">
      <c r="B449" s="196" t="s">
        <v>7</v>
      </c>
      <c r="C449" s="197" t="s">
        <v>15</v>
      </c>
      <c r="D449" s="198" t="str">
        <f t="shared" si="114"/>
        <v>C</v>
      </c>
      <c r="E449" s="199">
        <v>43927.833333333336</v>
      </c>
      <c r="F449" s="200" t="s">
        <v>115</v>
      </c>
      <c r="G449" s="201">
        <v>134.16300000000001</v>
      </c>
      <c r="H449" s="201">
        <v>132.232</v>
      </c>
      <c r="I449" s="202">
        <f t="shared" si="115"/>
        <v>1.9310000000000116</v>
      </c>
      <c r="J449" s="201">
        <v>144.97800000000001</v>
      </c>
      <c r="K449" s="199">
        <v>43936.567361111112</v>
      </c>
      <c r="L449" s="201">
        <v>134.08600000000001</v>
      </c>
      <c r="M449" s="203">
        <f t="shared" si="116"/>
        <v>-7.6999999999999999E-2</v>
      </c>
      <c r="N449" s="204">
        <f t="shared" si="117"/>
        <v>-0.04</v>
      </c>
      <c r="O449" s="205">
        <f t="shared" si="118"/>
        <v>0</v>
      </c>
      <c r="P449" s="206">
        <f t="shared" si="119"/>
        <v>0</v>
      </c>
      <c r="Q449" s="206">
        <f t="shared" si="120"/>
        <v>-0.04</v>
      </c>
      <c r="R4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217770</v>
      </c>
      <c r="T4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49" s="208">
        <f ca="1">IF(Tabla33610673[[#This Row],[Equity]]&lt;Tabla33610673[[#This Row],[Equity Peak]],(Tabla33610673[[#This Row],[Equity Peak]]-Tabla33610673[[#This Row],[Equity]])/Tabla33610673[[#This Row],[Equity Peak]],"")</f>
        <v>4.2979287641168673E-3</v>
      </c>
      <c r="V449" s="209">
        <f t="shared" si="121"/>
        <v>-0.04</v>
      </c>
      <c r="W449" s="209">
        <f t="shared" si="122"/>
        <v>0</v>
      </c>
      <c r="X449" s="209">
        <f t="shared" si="123"/>
        <v>0</v>
      </c>
      <c r="Y449" s="209">
        <f t="shared" si="124"/>
        <v>0</v>
      </c>
      <c r="Z449" s="209">
        <f t="shared" si="125"/>
        <v>0</v>
      </c>
      <c r="AA449" s="205">
        <f t="shared" si="126"/>
        <v>0</v>
      </c>
      <c r="AB449" s="209">
        <f t="shared" si="127"/>
        <v>0</v>
      </c>
      <c r="AC449" s="205">
        <f t="shared" si="128"/>
        <v>0</v>
      </c>
      <c r="AD449" s="210">
        <f t="shared" si="129"/>
        <v>8.734027777776646</v>
      </c>
      <c r="AE449" s="210">
        <f t="shared" si="130"/>
        <v>0</v>
      </c>
      <c r="AF449" s="210">
        <f t="shared" si="131"/>
        <v>8.734027777776646</v>
      </c>
      <c r="AG449" s="210">
        <f t="shared" si="132"/>
        <v>0</v>
      </c>
    </row>
    <row r="450" spans="2:33" ht="15" customHeight="1" x14ac:dyDescent="0.3">
      <c r="B450" s="196" t="s">
        <v>7</v>
      </c>
      <c r="C450" s="197" t="s">
        <v>15</v>
      </c>
      <c r="D450" s="198" t="str">
        <f t="shared" si="114"/>
        <v>C</v>
      </c>
      <c r="E450" s="199">
        <v>43928.333333333336</v>
      </c>
      <c r="F450" s="200" t="s">
        <v>122</v>
      </c>
      <c r="G450" s="201">
        <v>66.855000000000004</v>
      </c>
      <c r="H450" s="201">
        <v>66.213999999999999</v>
      </c>
      <c r="I450" s="202">
        <f t="shared" si="115"/>
        <v>0.64100000000000534</v>
      </c>
      <c r="J450" s="201">
        <v>77.960999999999999</v>
      </c>
      <c r="K450" s="199">
        <v>43936.384027777778</v>
      </c>
      <c r="L450" s="201">
        <v>68.44</v>
      </c>
      <c r="M450" s="203">
        <f t="shared" si="116"/>
        <v>1.585</v>
      </c>
      <c r="N450" s="204">
        <f t="shared" si="117"/>
        <v>2.4700000000000002</v>
      </c>
      <c r="O450" s="205">
        <f t="shared" si="118"/>
        <v>0</v>
      </c>
      <c r="P450" s="206">
        <f t="shared" si="119"/>
        <v>2.4700000000000002</v>
      </c>
      <c r="Q450" s="206">
        <f t="shared" si="120"/>
        <v>0</v>
      </c>
      <c r="R4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217810</v>
      </c>
      <c r="T4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50" s="208">
        <f ca="1">IF(Tabla33610673[[#This Row],[Equity]]&lt;Tabla33610673[[#This Row],[Equity Peak]],(Tabla33610673[[#This Row],[Equity Peak]]-Tabla33610673[[#This Row],[Equity]])/Tabla33610673[[#This Row],[Equity Peak]],"")</f>
        <v>4.1150381784097667E-3</v>
      </c>
      <c r="V450" s="209">
        <f t="shared" si="121"/>
        <v>2.4700000000000002</v>
      </c>
      <c r="W450" s="209">
        <f t="shared" si="122"/>
        <v>0</v>
      </c>
      <c r="X450" s="209">
        <f t="shared" si="123"/>
        <v>0</v>
      </c>
      <c r="Y450" s="209">
        <f t="shared" si="124"/>
        <v>0</v>
      </c>
      <c r="Z450" s="209">
        <f t="shared" si="125"/>
        <v>0</v>
      </c>
      <c r="AA450" s="205">
        <f t="shared" si="126"/>
        <v>0</v>
      </c>
      <c r="AB450" s="209">
        <f t="shared" si="127"/>
        <v>0</v>
      </c>
      <c r="AC450" s="205">
        <f t="shared" si="128"/>
        <v>0</v>
      </c>
      <c r="AD450" s="210">
        <f t="shared" si="129"/>
        <v>8.0506944444423425</v>
      </c>
      <c r="AE450" s="210">
        <f t="shared" si="130"/>
        <v>8.0506944444423425</v>
      </c>
      <c r="AF450" s="210">
        <f t="shared" si="131"/>
        <v>0</v>
      </c>
      <c r="AG450" s="210">
        <f t="shared" si="132"/>
        <v>0</v>
      </c>
    </row>
    <row r="451" spans="2:33" ht="15" customHeight="1" x14ac:dyDescent="0.3">
      <c r="B451" s="196" t="s">
        <v>5</v>
      </c>
      <c r="C451" s="197" t="s">
        <v>15</v>
      </c>
      <c r="D451" s="198" t="str">
        <f t="shared" si="114"/>
        <v>C</v>
      </c>
      <c r="E451" s="199">
        <v>43927.583333333336</v>
      </c>
      <c r="F451" s="200" t="s">
        <v>94</v>
      </c>
      <c r="G451" s="201">
        <v>5535.2</v>
      </c>
      <c r="H451" s="201">
        <v>5358.27</v>
      </c>
      <c r="I451" s="202">
        <f t="shared" si="115"/>
        <v>176.92999999999938</v>
      </c>
      <c r="J451" s="201">
        <v>6419.83</v>
      </c>
      <c r="K451" s="199">
        <v>43929.401388888888</v>
      </c>
      <c r="L451" s="201">
        <v>5583.86</v>
      </c>
      <c r="M451" s="203">
        <f t="shared" si="116"/>
        <v>48.66</v>
      </c>
      <c r="N451" s="204">
        <f t="shared" si="117"/>
        <v>0.28000000000000003</v>
      </c>
      <c r="O451" s="205">
        <f t="shared" si="118"/>
        <v>0</v>
      </c>
      <c r="P451" s="206">
        <f t="shared" si="119"/>
        <v>0.28000000000000003</v>
      </c>
      <c r="Q451" s="206">
        <f t="shared" si="120"/>
        <v>0</v>
      </c>
      <c r="R4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215340</v>
      </c>
      <c r="T4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51" s="208">
        <f ca="1">IF(Tabla33610673[[#This Row],[Equity]]&lt;Tabla33610673[[#This Row],[Equity Peak]],(Tabla33610673[[#This Row],[Equity Peak]]-Tabla33610673[[#This Row],[Equity]])/Tabla33610673[[#This Row],[Equity Peak]],"")</f>
        <v>1.5408531845823236E-2</v>
      </c>
      <c r="V451" s="209">
        <f t="shared" si="121"/>
        <v>0</v>
      </c>
      <c r="W451" s="209">
        <f t="shared" si="122"/>
        <v>0</v>
      </c>
      <c r="X451" s="209">
        <f t="shared" si="123"/>
        <v>0</v>
      </c>
      <c r="Y451" s="209">
        <f t="shared" si="124"/>
        <v>0</v>
      </c>
      <c r="Z451" s="209">
        <f t="shared" si="125"/>
        <v>0.28000000000000003</v>
      </c>
      <c r="AA451" s="205">
        <f t="shared" si="126"/>
        <v>0</v>
      </c>
      <c r="AB451" s="209">
        <f t="shared" si="127"/>
        <v>0</v>
      </c>
      <c r="AC451" s="205">
        <f t="shared" si="128"/>
        <v>0</v>
      </c>
      <c r="AD451" s="210">
        <f t="shared" si="129"/>
        <v>1.8180555555518367</v>
      </c>
      <c r="AE451" s="210">
        <f t="shared" si="130"/>
        <v>1.8180555555518367</v>
      </c>
      <c r="AF451" s="210">
        <f t="shared" si="131"/>
        <v>0</v>
      </c>
      <c r="AG451" s="210">
        <f t="shared" si="132"/>
        <v>0</v>
      </c>
    </row>
    <row r="452" spans="2:33" ht="15" customHeight="1" x14ac:dyDescent="0.3">
      <c r="B452" s="196" t="s">
        <v>7</v>
      </c>
      <c r="C452" s="197" t="s">
        <v>15</v>
      </c>
      <c r="D452" s="198" t="str">
        <f t="shared" si="114"/>
        <v>C</v>
      </c>
      <c r="E452" s="199">
        <v>43927.333333333336</v>
      </c>
      <c r="F452" s="200" t="s">
        <v>113</v>
      </c>
      <c r="G452" s="201">
        <v>108.93600000000001</v>
      </c>
      <c r="H452" s="201">
        <v>107.602</v>
      </c>
      <c r="I452" s="202">
        <f t="shared" si="115"/>
        <v>1.3340000000000032</v>
      </c>
      <c r="J452" s="201">
        <v>115.16200000000001</v>
      </c>
      <c r="K452" s="199">
        <v>43929.11041666667</v>
      </c>
      <c r="L452" s="201">
        <v>108.61499999999999</v>
      </c>
      <c r="M452" s="203">
        <f t="shared" si="116"/>
        <v>-0.32100000000000001</v>
      </c>
      <c r="N452" s="204">
        <f t="shared" si="117"/>
        <v>-0.24</v>
      </c>
      <c r="O452" s="205">
        <f t="shared" si="118"/>
        <v>0</v>
      </c>
      <c r="P452" s="206">
        <f t="shared" si="119"/>
        <v>0</v>
      </c>
      <c r="Q452" s="206">
        <f t="shared" si="120"/>
        <v>-0.24</v>
      </c>
      <c r="R4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215060</v>
      </c>
      <c r="T4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52" s="208">
        <f ca="1">IF(Tabla33610673[[#This Row],[Equity]]&lt;Tabla33610673[[#This Row],[Equity Peak]],(Tabla33610673[[#This Row],[Equity Peak]]-Tabla33610673[[#This Row],[Equity]])/Tabla33610673[[#This Row],[Equity Peak]],"")</f>
        <v>1.668876594577294E-2</v>
      </c>
      <c r="V452" s="209">
        <f t="shared" si="121"/>
        <v>-0.24</v>
      </c>
      <c r="W452" s="209">
        <f t="shared" si="122"/>
        <v>0</v>
      </c>
      <c r="X452" s="209">
        <f t="shared" si="123"/>
        <v>0</v>
      </c>
      <c r="Y452" s="209">
        <f t="shared" si="124"/>
        <v>0</v>
      </c>
      <c r="Z452" s="209">
        <f t="shared" si="125"/>
        <v>0</v>
      </c>
      <c r="AA452" s="205">
        <f t="shared" si="126"/>
        <v>0</v>
      </c>
      <c r="AB452" s="209">
        <f t="shared" si="127"/>
        <v>0</v>
      </c>
      <c r="AC452" s="205">
        <f t="shared" si="128"/>
        <v>0</v>
      </c>
      <c r="AD452" s="210">
        <f t="shared" si="129"/>
        <v>1.7770833333343035</v>
      </c>
      <c r="AE452" s="210">
        <f t="shared" si="130"/>
        <v>0</v>
      </c>
      <c r="AF452" s="210">
        <f t="shared" si="131"/>
        <v>1.7770833333343035</v>
      </c>
      <c r="AG452" s="210">
        <f t="shared" si="132"/>
        <v>0</v>
      </c>
    </row>
    <row r="453" spans="2:33" ht="15" customHeight="1" x14ac:dyDescent="0.3">
      <c r="B453" s="196" t="s">
        <v>7</v>
      </c>
      <c r="C453" s="197" t="s">
        <v>13</v>
      </c>
      <c r="D453" s="198" t="str">
        <f t="shared" si="114"/>
        <v>C</v>
      </c>
      <c r="E453" s="199">
        <v>43921.666666666664</v>
      </c>
      <c r="F453" s="200" t="s">
        <v>117</v>
      </c>
      <c r="G453" s="201">
        <v>1.09718</v>
      </c>
      <c r="H453" s="201">
        <v>1.1128199999999999</v>
      </c>
      <c r="I453" s="202">
        <f t="shared" si="115"/>
        <v>1.5639999999999876E-2</v>
      </c>
      <c r="J453" s="201">
        <v>0.99709999999999999</v>
      </c>
      <c r="K453" s="199">
        <v>43928.43472222222</v>
      </c>
      <c r="L453" s="201">
        <v>1.0866199999999999</v>
      </c>
      <c r="M453" s="203">
        <f t="shared" si="116"/>
        <v>1.06E-2</v>
      </c>
      <c r="N453" s="204">
        <f t="shared" si="117"/>
        <v>0.68</v>
      </c>
      <c r="O453" s="205">
        <f t="shared" si="118"/>
        <v>0</v>
      </c>
      <c r="P453" s="206">
        <f t="shared" si="119"/>
        <v>0.68</v>
      </c>
      <c r="Q453" s="206">
        <f t="shared" si="120"/>
        <v>0</v>
      </c>
      <c r="R4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215300</v>
      </c>
      <c r="T4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53" s="208">
        <f ca="1">IF(Tabla33610673[[#This Row],[Equity]]&lt;Tabla33610673[[#This Row],[Equity Peak]],(Tabla33610673[[#This Row],[Equity Peak]]-Tabla33610673[[#This Row],[Equity]])/Tabla33610673[[#This Row],[Equity Peak]],"")</f>
        <v>1.5591422431530336E-2</v>
      </c>
      <c r="V453" s="209">
        <f t="shared" si="121"/>
        <v>0.68</v>
      </c>
      <c r="W453" s="209">
        <f t="shared" si="122"/>
        <v>0</v>
      </c>
      <c r="X453" s="209">
        <f t="shared" si="123"/>
        <v>0</v>
      </c>
      <c r="Y453" s="209">
        <f t="shared" si="124"/>
        <v>0</v>
      </c>
      <c r="Z453" s="209">
        <f t="shared" si="125"/>
        <v>0</v>
      </c>
      <c r="AA453" s="205">
        <f t="shared" si="126"/>
        <v>0</v>
      </c>
      <c r="AB453" s="209">
        <f t="shared" si="127"/>
        <v>0</v>
      </c>
      <c r="AC453" s="205">
        <f t="shared" si="128"/>
        <v>0</v>
      </c>
      <c r="AD453" s="210">
        <f t="shared" si="129"/>
        <v>6.7680555555562023</v>
      </c>
      <c r="AE453" s="210">
        <f t="shared" si="130"/>
        <v>6.7680555555562023</v>
      </c>
      <c r="AF453" s="210">
        <f t="shared" si="131"/>
        <v>0</v>
      </c>
      <c r="AG453" s="210">
        <f t="shared" si="132"/>
        <v>0</v>
      </c>
    </row>
    <row r="454" spans="2:33" ht="15" customHeight="1" x14ac:dyDescent="0.3">
      <c r="B454" s="196" t="s">
        <v>7</v>
      </c>
      <c r="C454" s="197" t="s">
        <v>13</v>
      </c>
      <c r="D454" s="198" t="str">
        <f t="shared" si="114"/>
        <v>C</v>
      </c>
      <c r="E454" s="199">
        <v>43924.666666666664</v>
      </c>
      <c r="F454" s="200" t="s">
        <v>121</v>
      </c>
      <c r="G454" s="201">
        <v>0.59938999999999998</v>
      </c>
      <c r="H454" s="201">
        <v>0.60718000000000005</v>
      </c>
      <c r="I454" s="202">
        <f t="shared" si="115"/>
        <v>7.7900000000000746E-3</v>
      </c>
      <c r="J454" s="201">
        <v>0.55786999999999998</v>
      </c>
      <c r="K454" s="199">
        <v>43927.575694444444</v>
      </c>
      <c r="L454" s="201">
        <v>0.60718000000000005</v>
      </c>
      <c r="M454" s="203">
        <f t="shared" si="116"/>
        <v>-7.7999999999999996E-3</v>
      </c>
      <c r="N454" s="204">
        <f t="shared" si="117"/>
        <v>-1</v>
      </c>
      <c r="O454" s="205">
        <f t="shared" si="118"/>
        <v>0</v>
      </c>
      <c r="P454" s="206">
        <f t="shared" si="119"/>
        <v>0</v>
      </c>
      <c r="Q454" s="206">
        <f t="shared" si="120"/>
        <v>-1</v>
      </c>
      <c r="R4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214620</v>
      </c>
      <c r="T4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54" s="208">
        <f ca="1">IF(Tabla33610673[[#This Row],[Equity]]&lt;Tabla33610673[[#This Row],[Equity Peak]],(Tabla33610673[[#This Row],[Equity Peak]]-Tabla33610673[[#This Row],[Equity]])/Tabla33610673[[#This Row],[Equity Peak]],"")</f>
        <v>1.8700562388551049E-2</v>
      </c>
      <c r="V454" s="209">
        <f t="shared" si="121"/>
        <v>-1</v>
      </c>
      <c r="W454" s="209">
        <f t="shared" si="122"/>
        <v>0</v>
      </c>
      <c r="X454" s="209">
        <f t="shared" si="123"/>
        <v>0</v>
      </c>
      <c r="Y454" s="209">
        <f t="shared" si="124"/>
        <v>0</v>
      </c>
      <c r="Z454" s="209">
        <f t="shared" si="125"/>
        <v>0</v>
      </c>
      <c r="AA454" s="205">
        <f t="shared" si="126"/>
        <v>0</v>
      </c>
      <c r="AB454" s="209">
        <f t="shared" si="127"/>
        <v>0</v>
      </c>
      <c r="AC454" s="205">
        <f t="shared" si="128"/>
        <v>0</v>
      </c>
      <c r="AD454" s="210">
        <f t="shared" si="129"/>
        <v>2.9090277777795563</v>
      </c>
      <c r="AE454" s="210">
        <f t="shared" si="130"/>
        <v>0</v>
      </c>
      <c r="AF454" s="210">
        <f t="shared" si="131"/>
        <v>2.9090277777795563</v>
      </c>
      <c r="AG454" s="210">
        <f t="shared" si="132"/>
        <v>0</v>
      </c>
    </row>
    <row r="455" spans="2:33" ht="15" customHeight="1" x14ac:dyDescent="0.3">
      <c r="B455" s="196" t="s">
        <v>5</v>
      </c>
      <c r="C455" s="197" t="s">
        <v>13</v>
      </c>
      <c r="D455" s="198" t="str">
        <f t="shared" si="114"/>
        <v>C</v>
      </c>
      <c r="E455" s="199">
        <v>43923.017361111109</v>
      </c>
      <c r="F455" s="200" t="s">
        <v>92</v>
      </c>
      <c r="G455" s="201">
        <v>7478.55</v>
      </c>
      <c r="H455" s="201">
        <v>7813.05</v>
      </c>
      <c r="I455" s="202">
        <f t="shared" si="115"/>
        <v>334.5</v>
      </c>
      <c r="J455" s="201">
        <v>5248.55</v>
      </c>
      <c r="K455" s="199">
        <v>43927.19027777778</v>
      </c>
      <c r="L455" s="201">
        <v>7813.05</v>
      </c>
      <c r="M455" s="203">
        <f t="shared" si="116"/>
        <v>-334.5</v>
      </c>
      <c r="N455" s="204">
        <f t="shared" si="117"/>
        <v>-1</v>
      </c>
      <c r="O455" s="205">
        <f t="shared" si="118"/>
        <v>0</v>
      </c>
      <c r="P455" s="206">
        <f t="shared" si="119"/>
        <v>0</v>
      </c>
      <c r="Q455" s="206">
        <f t="shared" si="120"/>
        <v>-1</v>
      </c>
      <c r="R4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215620</v>
      </c>
      <c r="T4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55" s="208">
        <f ca="1">IF(Tabla33610673[[#This Row],[Equity]]&lt;Tabla33610673[[#This Row],[Equity Peak]],(Tabla33610673[[#This Row],[Equity Peak]]-Tabla33610673[[#This Row],[Equity]])/Tabla33610673[[#This Row],[Equity Peak]],"")</f>
        <v>1.4128297745873531E-2</v>
      </c>
      <c r="V455" s="209">
        <f t="shared" si="121"/>
        <v>0</v>
      </c>
      <c r="W455" s="209">
        <f t="shared" si="122"/>
        <v>0</v>
      </c>
      <c r="X455" s="209">
        <f t="shared" si="123"/>
        <v>0</v>
      </c>
      <c r="Y455" s="209">
        <f t="shared" si="124"/>
        <v>0</v>
      </c>
      <c r="Z455" s="209">
        <f t="shared" si="125"/>
        <v>-1</v>
      </c>
      <c r="AA455" s="205">
        <f t="shared" si="126"/>
        <v>0</v>
      </c>
      <c r="AB455" s="209">
        <f t="shared" si="127"/>
        <v>0</v>
      </c>
      <c r="AC455" s="205">
        <f t="shared" si="128"/>
        <v>0</v>
      </c>
      <c r="AD455" s="210">
        <f t="shared" si="129"/>
        <v>4.1729166666700621</v>
      </c>
      <c r="AE455" s="210">
        <f t="shared" si="130"/>
        <v>0</v>
      </c>
      <c r="AF455" s="210">
        <f t="shared" si="131"/>
        <v>4.1729166666700621</v>
      </c>
      <c r="AG455" s="210">
        <f t="shared" si="132"/>
        <v>0</v>
      </c>
    </row>
    <row r="456" spans="2:33" ht="15" customHeight="1" x14ac:dyDescent="0.3">
      <c r="B456" s="196" t="s">
        <v>7</v>
      </c>
      <c r="C456" s="197" t="s">
        <v>13</v>
      </c>
      <c r="D456" s="198" t="str">
        <f t="shared" si="114"/>
        <v>C</v>
      </c>
      <c r="E456" s="199">
        <v>43921.5</v>
      </c>
      <c r="F456" s="200" t="s">
        <v>118</v>
      </c>
      <c r="G456" s="201">
        <v>119.13</v>
      </c>
      <c r="H456" s="201">
        <v>120.68899999999999</v>
      </c>
      <c r="I456" s="202">
        <f t="shared" si="115"/>
        <v>1.5589999999999975</v>
      </c>
      <c r="J456" s="201">
        <v>112.895</v>
      </c>
      <c r="K456" s="199">
        <v>43927.143055555556</v>
      </c>
      <c r="L456" s="201">
        <v>117.71</v>
      </c>
      <c r="M456" s="203">
        <f t="shared" si="116"/>
        <v>1.42</v>
      </c>
      <c r="N456" s="204">
        <f t="shared" si="117"/>
        <v>0.91</v>
      </c>
      <c r="O456" s="205">
        <f t="shared" si="118"/>
        <v>0</v>
      </c>
      <c r="P456" s="206">
        <f t="shared" si="119"/>
        <v>0.91</v>
      </c>
      <c r="Q456" s="206">
        <f t="shared" si="120"/>
        <v>0</v>
      </c>
      <c r="R4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216620</v>
      </c>
      <c r="T4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56" s="208">
        <f ca="1">IF(Tabla33610673[[#This Row],[Equity]]&lt;Tabla33610673[[#This Row],[Equity Peak]],(Tabla33610673[[#This Row],[Equity Peak]]-Tabla33610673[[#This Row],[Equity]])/Tabla33610673[[#This Row],[Equity Peak]],"")</f>
        <v>9.5560331031960127E-3</v>
      </c>
      <c r="V456" s="209">
        <f t="shared" si="121"/>
        <v>0.91</v>
      </c>
      <c r="W456" s="209">
        <f t="shared" si="122"/>
        <v>0</v>
      </c>
      <c r="X456" s="209">
        <f t="shared" si="123"/>
        <v>0</v>
      </c>
      <c r="Y456" s="209">
        <f t="shared" si="124"/>
        <v>0</v>
      </c>
      <c r="Z456" s="209">
        <f t="shared" si="125"/>
        <v>0</v>
      </c>
      <c r="AA456" s="205">
        <f t="shared" si="126"/>
        <v>0</v>
      </c>
      <c r="AB456" s="209">
        <f t="shared" si="127"/>
        <v>0</v>
      </c>
      <c r="AC456" s="205">
        <f t="shared" si="128"/>
        <v>0</v>
      </c>
      <c r="AD456" s="210">
        <f t="shared" si="129"/>
        <v>5.6430555555562023</v>
      </c>
      <c r="AE456" s="210">
        <f t="shared" si="130"/>
        <v>5.6430555555562023</v>
      </c>
      <c r="AF456" s="210">
        <f t="shared" si="131"/>
        <v>0</v>
      </c>
      <c r="AG456" s="210">
        <f t="shared" si="132"/>
        <v>0</v>
      </c>
    </row>
    <row r="457" spans="2:33" ht="15" customHeight="1" x14ac:dyDescent="0.3">
      <c r="B457" s="196" t="s">
        <v>5</v>
      </c>
      <c r="C457" s="197" t="s">
        <v>13</v>
      </c>
      <c r="D457" s="198" t="str">
        <f t="shared" si="114"/>
        <v>C</v>
      </c>
      <c r="E457" s="199">
        <v>43922.833333333336</v>
      </c>
      <c r="F457" s="200" t="s">
        <v>94</v>
      </c>
      <c r="G457" s="201">
        <v>5391.59</v>
      </c>
      <c r="H457" s="201">
        <v>5597.8</v>
      </c>
      <c r="I457" s="202">
        <f t="shared" si="115"/>
        <v>206.21000000000004</v>
      </c>
      <c r="J457" s="201">
        <v>4360.5600000000004</v>
      </c>
      <c r="K457" s="199">
        <v>43923.728472222225</v>
      </c>
      <c r="L457" s="201">
        <v>5514.5</v>
      </c>
      <c r="M457" s="203">
        <f t="shared" si="116"/>
        <v>-122.91</v>
      </c>
      <c r="N457" s="204">
        <f t="shared" si="117"/>
        <v>-0.6</v>
      </c>
      <c r="O457" s="205">
        <f t="shared" si="118"/>
        <v>0</v>
      </c>
      <c r="P457" s="206">
        <f t="shared" si="119"/>
        <v>0</v>
      </c>
      <c r="Q457" s="206">
        <f t="shared" si="120"/>
        <v>-0.6</v>
      </c>
      <c r="R4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215710</v>
      </c>
      <c r="T4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57" s="208">
        <f ca="1">IF(Tabla33610673[[#This Row],[Equity]]&lt;Tabla33610673[[#This Row],[Equity Peak]],(Tabla33610673[[#This Row],[Equity Peak]]-Tabla33610673[[#This Row],[Equity]])/Tabla33610673[[#This Row],[Equity Peak]],"")</f>
        <v>1.3716793928032555E-2</v>
      </c>
      <c r="V457" s="209">
        <f t="shared" si="121"/>
        <v>0</v>
      </c>
      <c r="W457" s="209">
        <f t="shared" si="122"/>
        <v>0</v>
      </c>
      <c r="X457" s="209">
        <f t="shared" si="123"/>
        <v>0</v>
      </c>
      <c r="Y457" s="209">
        <f t="shared" si="124"/>
        <v>0</v>
      </c>
      <c r="Z457" s="209">
        <f t="shared" si="125"/>
        <v>-0.6</v>
      </c>
      <c r="AA457" s="205">
        <f t="shared" si="126"/>
        <v>0</v>
      </c>
      <c r="AB457" s="209">
        <f t="shared" si="127"/>
        <v>0</v>
      </c>
      <c r="AC457" s="205">
        <f t="shared" si="128"/>
        <v>0</v>
      </c>
      <c r="AD457" s="210">
        <f t="shared" si="129"/>
        <v>0.89513888888905058</v>
      </c>
      <c r="AE457" s="210">
        <f t="shared" si="130"/>
        <v>0</v>
      </c>
      <c r="AF457" s="210">
        <f t="shared" si="131"/>
        <v>0.89513888888905058</v>
      </c>
      <c r="AG457" s="210">
        <f t="shared" si="132"/>
        <v>0</v>
      </c>
    </row>
    <row r="458" spans="2:33" ht="15" customHeight="1" x14ac:dyDescent="0.3">
      <c r="B458" s="196" t="s">
        <v>19</v>
      </c>
      <c r="C458" s="197" t="s">
        <v>15</v>
      </c>
      <c r="D458" s="198" t="str">
        <f t="shared" si="114"/>
        <v>C</v>
      </c>
      <c r="E458" s="199">
        <v>43914.208333333336</v>
      </c>
      <c r="F458" s="200" t="s">
        <v>88</v>
      </c>
      <c r="G458" s="201">
        <v>1571.81</v>
      </c>
      <c r="H458" s="201">
        <v>1514.8</v>
      </c>
      <c r="I458" s="202">
        <f t="shared" si="115"/>
        <v>57.009999999999991</v>
      </c>
      <c r="J458" s="201">
        <v>1936.68</v>
      </c>
      <c r="K458" s="199">
        <v>43921.567361111112</v>
      </c>
      <c r="L458" s="201">
        <v>1596.67</v>
      </c>
      <c r="M458" s="203">
        <f t="shared" si="116"/>
        <v>24.86</v>
      </c>
      <c r="N458" s="204">
        <f t="shared" si="117"/>
        <v>0.44</v>
      </c>
      <c r="O458" s="205">
        <f t="shared" si="118"/>
        <v>0</v>
      </c>
      <c r="P458" s="206">
        <f t="shared" si="119"/>
        <v>0.44</v>
      </c>
      <c r="Q458" s="206">
        <f t="shared" si="120"/>
        <v>0</v>
      </c>
      <c r="R4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216310</v>
      </c>
      <c r="T4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58" s="208">
        <f ca="1">IF(Tabla33610673[[#This Row],[Equity]]&lt;Tabla33610673[[#This Row],[Equity Peak]],(Tabla33610673[[#This Row],[Equity Peak]]-Tabla33610673[[#This Row],[Equity]])/Tabla33610673[[#This Row],[Equity Peak]],"")</f>
        <v>1.0973435142426043E-2</v>
      </c>
      <c r="V458" s="209">
        <f t="shared" si="121"/>
        <v>0</v>
      </c>
      <c r="W458" s="209">
        <f t="shared" si="122"/>
        <v>0</v>
      </c>
      <c r="X458" s="209">
        <f t="shared" si="123"/>
        <v>0.44</v>
      </c>
      <c r="Y458" s="209">
        <f t="shared" si="124"/>
        <v>0</v>
      </c>
      <c r="Z458" s="209">
        <f t="shared" si="125"/>
        <v>0</v>
      </c>
      <c r="AA458" s="205">
        <f t="shared" si="126"/>
        <v>0</v>
      </c>
      <c r="AB458" s="209">
        <f t="shared" si="127"/>
        <v>0</v>
      </c>
      <c r="AC458" s="205">
        <f t="shared" si="128"/>
        <v>0</v>
      </c>
      <c r="AD458" s="210">
        <f t="shared" si="129"/>
        <v>7.359027777776646</v>
      </c>
      <c r="AE458" s="210">
        <f t="shared" si="130"/>
        <v>7.359027777776646</v>
      </c>
      <c r="AF458" s="210">
        <f t="shared" si="131"/>
        <v>0</v>
      </c>
      <c r="AG458" s="210">
        <f t="shared" si="132"/>
        <v>0</v>
      </c>
    </row>
    <row r="459" spans="2:33" ht="15" customHeight="1" x14ac:dyDescent="0.3">
      <c r="B459" s="196" t="s">
        <v>7</v>
      </c>
      <c r="C459" s="197" t="s">
        <v>15</v>
      </c>
      <c r="D459" s="198" t="str">
        <f t="shared" si="114"/>
        <v>C</v>
      </c>
      <c r="E459" s="199">
        <v>43921.166666666664</v>
      </c>
      <c r="F459" s="200" t="s">
        <v>118</v>
      </c>
      <c r="G459" s="201">
        <v>119.536</v>
      </c>
      <c r="H459" s="201">
        <v>117.904</v>
      </c>
      <c r="I459" s="202">
        <f t="shared" si="115"/>
        <v>1.632000000000005</v>
      </c>
      <c r="J459" s="201">
        <v>126.065</v>
      </c>
      <c r="K459" s="199">
        <v>43921.5</v>
      </c>
      <c r="L459" s="201">
        <v>119.13</v>
      </c>
      <c r="M459" s="203">
        <f t="shared" si="116"/>
        <v>-0.40600000000000003</v>
      </c>
      <c r="N459" s="204">
        <f t="shared" si="117"/>
        <v>-0.25</v>
      </c>
      <c r="O459" s="205">
        <f t="shared" si="118"/>
        <v>0</v>
      </c>
      <c r="P459" s="206">
        <f t="shared" si="119"/>
        <v>0</v>
      </c>
      <c r="Q459" s="206">
        <f t="shared" si="120"/>
        <v>-0.25</v>
      </c>
      <c r="R4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215870</v>
      </c>
      <c r="T4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59" s="208">
        <f ca="1">IF(Tabla33610673[[#This Row],[Equity]]&lt;Tabla33610673[[#This Row],[Equity Peak]],(Tabla33610673[[#This Row],[Equity Peak]]-Tabla33610673[[#This Row],[Equity]])/Tabla33610673[[#This Row],[Equity Peak]],"")</f>
        <v>1.2985231585204152E-2</v>
      </c>
      <c r="V459" s="209">
        <f t="shared" si="121"/>
        <v>-0.25</v>
      </c>
      <c r="W459" s="209">
        <f t="shared" si="122"/>
        <v>0</v>
      </c>
      <c r="X459" s="209">
        <f t="shared" si="123"/>
        <v>0</v>
      </c>
      <c r="Y459" s="209">
        <f t="shared" si="124"/>
        <v>0</v>
      </c>
      <c r="Z459" s="209">
        <f t="shared" si="125"/>
        <v>0</v>
      </c>
      <c r="AA459" s="205">
        <f t="shared" si="126"/>
        <v>0</v>
      </c>
      <c r="AB459" s="209">
        <f t="shared" si="127"/>
        <v>0</v>
      </c>
      <c r="AC459" s="205">
        <f t="shared" si="128"/>
        <v>0</v>
      </c>
      <c r="AD459" s="210">
        <f t="shared" si="129"/>
        <v>0.33333333333575865</v>
      </c>
      <c r="AE459" s="210">
        <f t="shared" si="130"/>
        <v>0</v>
      </c>
      <c r="AF459" s="210">
        <f t="shared" si="131"/>
        <v>0.33333333333575865</v>
      </c>
      <c r="AG459" s="210">
        <f t="shared" si="132"/>
        <v>0</v>
      </c>
    </row>
    <row r="460" spans="2:33" ht="15" customHeight="1" x14ac:dyDescent="0.3">
      <c r="B460" s="196" t="s">
        <v>7</v>
      </c>
      <c r="C460" s="197" t="s">
        <v>13</v>
      </c>
      <c r="D460" s="198" t="str">
        <f t="shared" si="114"/>
        <v>C</v>
      </c>
      <c r="E460" s="199">
        <v>43920.833333333336</v>
      </c>
      <c r="F460" s="200" t="s">
        <v>118</v>
      </c>
      <c r="G460" s="201">
        <v>118.916</v>
      </c>
      <c r="H460" s="201">
        <v>120.599</v>
      </c>
      <c r="I460" s="202">
        <f t="shared" si="115"/>
        <v>1.6830000000000069</v>
      </c>
      <c r="J460" s="201">
        <v>112.182</v>
      </c>
      <c r="K460" s="199">
        <v>43921.166666666664</v>
      </c>
      <c r="L460" s="201">
        <v>119.536</v>
      </c>
      <c r="M460" s="203">
        <f t="shared" si="116"/>
        <v>-0.62</v>
      </c>
      <c r="N460" s="204">
        <f t="shared" si="117"/>
        <v>-0.37</v>
      </c>
      <c r="O460" s="205">
        <f t="shared" si="118"/>
        <v>0</v>
      </c>
      <c r="P460" s="206">
        <f t="shared" si="119"/>
        <v>0</v>
      </c>
      <c r="Q460" s="206">
        <f t="shared" si="120"/>
        <v>-0.37</v>
      </c>
      <c r="R4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216120</v>
      </c>
      <c r="T4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60" s="208">
        <f ca="1">IF(Tabla33610673[[#This Row],[Equity]]&lt;Tabla33610673[[#This Row],[Equity Peak]],(Tabla33610673[[#This Row],[Equity Peak]]-Tabla33610673[[#This Row],[Equity]])/Tabla33610673[[#This Row],[Equity Peak]],"")</f>
        <v>1.1842165424534772E-2</v>
      </c>
      <c r="V460" s="209">
        <f t="shared" si="121"/>
        <v>-0.37</v>
      </c>
      <c r="W460" s="209">
        <f t="shared" si="122"/>
        <v>0</v>
      </c>
      <c r="X460" s="209">
        <f t="shared" si="123"/>
        <v>0</v>
      </c>
      <c r="Y460" s="209">
        <f t="shared" si="124"/>
        <v>0</v>
      </c>
      <c r="Z460" s="209">
        <f t="shared" si="125"/>
        <v>0</v>
      </c>
      <c r="AA460" s="205">
        <f t="shared" si="126"/>
        <v>0</v>
      </c>
      <c r="AB460" s="209">
        <f t="shared" si="127"/>
        <v>0</v>
      </c>
      <c r="AC460" s="205">
        <f t="shared" si="128"/>
        <v>0</v>
      </c>
      <c r="AD460" s="210">
        <f t="shared" si="129"/>
        <v>0.33333333332848269</v>
      </c>
      <c r="AE460" s="210">
        <f t="shared" si="130"/>
        <v>0</v>
      </c>
      <c r="AF460" s="210">
        <f t="shared" si="131"/>
        <v>0.33333333332848269</v>
      </c>
      <c r="AG460" s="210">
        <f t="shared" si="132"/>
        <v>0</v>
      </c>
    </row>
    <row r="461" spans="2:33" ht="15" customHeight="1" x14ac:dyDescent="0.3">
      <c r="B461" s="196" t="s">
        <v>7</v>
      </c>
      <c r="C461" s="197" t="s">
        <v>13</v>
      </c>
      <c r="D461" s="198" t="str">
        <f t="shared" si="114"/>
        <v>C</v>
      </c>
      <c r="E461" s="199">
        <v>43917.833333333336</v>
      </c>
      <c r="F461" s="200" t="s">
        <v>113</v>
      </c>
      <c r="G461" s="201">
        <v>107.99</v>
      </c>
      <c r="H461" s="201">
        <v>110.045</v>
      </c>
      <c r="I461" s="202">
        <f t="shared" si="115"/>
        <v>2.0550000000000068</v>
      </c>
      <c r="J461" s="201">
        <v>98.399000000000001</v>
      </c>
      <c r="K461" s="199">
        <v>43921.15</v>
      </c>
      <c r="L461" s="201">
        <v>108.53</v>
      </c>
      <c r="M461" s="203">
        <f t="shared" si="116"/>
        <v>-0.54</v>
      </c>
      <c r="N461" s="204">
        <f t="shared" si="117"/>
        <v>-0.26</v>
      </c>
      <c r="O461" s="205">
        <f t="shared" si="118"/>
        <v>0</v>
      </c>
      <c r="P461" s="206">
        <f t="shared" si="119"/>
        <v>0</v>
      </c>
      <c r="Q461" s="206">
        <f t="shared" si="120"/>
        <v>-0.26</v>
      </c>
      <c r="R4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216490</v>
      </c>
      <c r="T4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61" s="208">
        <f ca="1">IF(Tabla33610673[[#This Row],[Equity]]&lt;Tabla33610673[[#This Row],[Equity Peak]],(Tabla33610673[[#This Row],[Equity Peak]]-Tabla33610673[[#This Row],[Equity]])/Tabla33610673[[#This Row],[Equity Peak]],"")</f>
        <v>1.0150427506744091E-2</v>
      </c>
      <c r="V461" s="209">
        <f t="shared" si="121"/>
        <v>-0.26</v>
      </c>
      <c r="W461" s="209">
        <f t="shared" si="122"/>
        <v>0</v>
      </c>
      <c r="X461" s="209">
        <f t="shared" si="123"/>
        <v>0</v>
      </c>
      <c r="Y461" s="209">
        <f t="shared" si="124"/>
        <v>0</v>
      </c>
      <c r="Z461" s="209">
        <f t="shared" si="125"/>
        <v>0</v>
      </c>
      <c r="AA461" s="205">
        <f t="shared" si="126"/>
        <v>0</v>
      </c>
      <c r="AB461" s="209">
        <f t="shared" si="127"/>
        <v>0</v>
      </c>
      <c r="AC461" s="205">
        <f t="shared" si="128"/>
        <v>0</v>
      </c>
      <c r="AD461" s="210">
        <f t="shared" si="129"/>
        <v>3.3166666666656965</v>
      </c>
      <c r="AE461" s="210">
        <f t="shared" si="130"/>
        <v>0</v>
      </c>
      <c r="AF461" s="210">
        <f t="shared" si="131"/>
        <v>3.3166666666656965</v>
      </c>
      <c r="AG461" s="210">
        <f t="shared" si="132"/>
        <v>0</v>
      </c>
    </row>
    <row r="462" spans="2:33" ht="15" customHeight="1" x14ac:dyDescent="0.3">
      <c r="B462" s="196" t="s">
        <v>7</v>
      </c>
      <c r="C462" s="197" t="s">
        <v>15</v>
      </c>
      <c r="D462" s="198" t="str">
        <f t="shared" si="114"/>
        <v>C</v>
      </c>
      <c r="E462" s="199">
        <v>43917.166666666664</v>
      </c>
      <c r="F462" s="200" t="s">
        <v>116</v>
      </c>
      <c r="G462" s="201">
        <v>2.0107300000000001</v>
      </c>
      <c r="H462" s="201">
        <v>1.9496199999999999</v>
      </c>
      <c r="I462" s="202">
        <f t="shared" si="115"/>
        <v>6.111000000000022E-2</v>
      </c>
      <c r="J462" s="201">
        <v>2.2144300000000001</v>
      </c>
      <c r="K462" s="199">
        <v>43921.101388888892</v>
      </c>
      <c r="L462" s="201">
        <v>2.0024000000000002</v>
      </c>
      <c r="M462" s="203">
        <f t="shared" si="116"/>
        <v>-8.3000000000000001E-3</v>
      </c>
      <c r="N462" s="204">
        <f t="shared" si="117"/>
        <v>-0.14000000000000001</v>
      </c>
      <c r="O462" s="205">
        <f t="shared" si="118"/>
        <v>0</v>
      </c>
      <c r="P462" s="206">
        <f t="shared" si="119"/>
        <v>0</v>
      </c>
      <c r="Q462" s="206">
        <f t="shared" si="120"/>
        <v>-0.14000000000000001</v>
      </c>
      <c r="R4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216750</v>
      </c>
      <c r="T4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62" s="208">
        <f ca="1">IF(Tabla33610673[[#This Row],[Equity]]&lt;Tabla33610673[[#This Row],[Equity Peak]],(Tabla33610673[[#This Row],[Equity Peak]]-Tabla33610673[[#This Row],[Equity]])/Tabla33610673[[#This Row],[Equity Peak]],"")</f>
        <v>8.961638699647936E-3</v>
      </c>
      <c r="V462" s="209">
        <f t="shared" si="121"/>
        <v>-0.14000000000000001</v>
      </c>
      <c r="W462" s="209">
        <f t="shared" si="122"/>
        <v>0</v>
      </c>
      <c r="X462" s="209">
        <f t="shared" si="123"/>
        <v>0</v>
      </c>
      <c r="Y462" s="209">
        <f t="shared" si="124"/>
        <v>0</v>
      </c>
      <c r="Z462" s="209">
        <f t="shared" si="125"/>
        <v>0</v>
      </c>
      <c r="AA462" s="205">
        <f t="shared" si="126"/>
        <v>0</v>
      </c>
      <c r="AB462" s="209">
        <f t="shared" si="127"/>
        <v>0</v>
      </c>
      <c r="AC462" s="205">
        <f t="shared" si="128"/>
        <v>0</v>
      </c>
      <c r="AD462" s="210">
        <f t="shared" si="129"/>
        <v>3.9347222222277196</v>
      </c>
      <c r="AE462" s="210">
        <f t="shared" si="130"/>
        <v>0</v>
      </c>
      <c r="AF462" s="210">
        <f t="shared" si="131"/>
        <v>3.9347222222277196</v>
      </c>
      <c r="AG462" s="210">
        <f t="shared" si="132"/>
        <v>0</v>
      </c>
    </row>
    <row r="463" spans="2:33" ht="15" customHeight="1" x14ac:dyDescent="0.3">
      <c r="B463" s="196" t="s">
        <v>7</v>
      </c>
      <c r="C463" s="197" t="s">
        <v>15</v>
      </c>
      <c r="D463" s="198" t="str">
        <f t="shared" si="114"/>
        <v>C</v>
      </c>
      <c r="E463" s="199">
        <v>43914.017361111109</v>
      </c>
      <c r="F463" s="200" t="s">
        <v>118</v>
      </c>
      <c r="G463" s="201">
        <v>119.274</v>
      </c>
      <c r="H463" s="201">
        <v>117.185</v>
      </c>
      <c r="I463" s="202">
        <f t="shared" si="115"/>
        <v>2.0889999999999986</v>
      </c>
      <c r="J463" s="201">
        <v>127.631</v>
      </c>
      <c r="K463" s="199">
        <v>43917.211111111108</v>
      </c>
      <c r="L463" s="201">
        <v>119.645</v>
      </c>
      <c r="M463" s="203">
        <f t="shared" si="116"/>
        <v>0.371</v>
      </c>
      <c r="N463" s="204">
        <f t="shared" si="117"/>
        <v>0.18</v>
      </c>
      <c r="O463" s="205">
        <f t="shared" si="118"/>
        <v>0</v>
      </c>
      <c r="P463" s="206">
        <f t="shared" si="119"/>
        <v>0.18</v>
      </c>
      <c r="Q463" s="206">
        <f t="shared" si="120"/>
        <v>0</v>
      </c>
      <c r="R4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216890</v>
      </c>
      <c r="T4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63" s="208">
        <f ca="1">IF(Tabla33610673[[#This Row],[Equity]]&lt;Tabla33610673[[#This Row],[Equity Peak]],(Tabla33610673[[#This Row],[Equity Peak]]-Tabla33610673[[#This Row],[Equity]])/Tabla33610673[[#This Row],[Equity Peak]],"")</f>
        <v>8.3215216496730828E-3</v>
      </c>
      <c r="V463" s="209">
        <f t="shared" si="121"/>
        <v>0.18</v>
      </c>
      <c r="W463" s="209">
        <f t="shared" si="122"/>
        <v>0</v>
      </c>
      <c r="X463" s="209">
        <f t="shared" si="123"/>
        <v>0</v>
      </c>
      <c r="Y463" s="209">
        <f t="shared" si="124"/>
        <v>0</v>
      </c>
      <c r="Z463" s="209">
        <f t="shared" si="125"/>
        <v>0</v>
      </c>
      <c r="AA463" s="205">
        <f t="shared" si="126"/>
        <v>0</v>
      </c>
      <c r="AB463" s="209">
        <f t="shared" si="127"/>
        <v>0</v>
      </c>
      <c r="AC463" s="205">
        <f t="shared" si="128"/>
        <v>0</v>
      </c>
      <c r="AD463" s="210">
        <f t="shared" si="129"/>
        <v>3.1937499999985448</v>
      </c>
      <c r="AE463" s="210">
        <f t="shared" si="130"/>
        <v>3.1937499999985448</v>
      </c>
      <c r="AF463" s="210">
        <f t="shared" si="131"/>
        <v>0</v>
      </c>
      <c r="AG463" s="210">
        <f t="shared" si="132"/>
        <v>0</v>
      </c>
    </row>
    <row r="464" spans="2:33" ht="15" customHeight="1" x14ac:dyDescent="0.3">
      <c r="B464" s="196" t="s">
        <v>5</v>
      </c>
      <c r="C464" s="197" t="s">
        <v>15</v>
      </c>
      <c r="D464" s="198" t="str">
        <f t="shared" si="114"/>
        <v>C</v>
      </c>
      <c r="E464" s="199">
        <v>43915.5</v>
      </c>
      <c r="F464" s="200" t="s">
        <v>94</v>
      </c>
      <c r="G464" s="201">
        <v>5692.75</v>
      </c>
      <c r="H464" s="201">
        <v>5399.77</v>
      </c>
      <c r="I464" s="202">
        <f t="shared" si="115"/>
        <v>292.97999999999956</v>
      </c>
      <c r="J464" s="201">
        <v>7157.64</v>
      </c>
      <c r="K464" s="199">
        <v>43915.566666666666</v>
      </c>
      <c r="L464" s="201">
        <v>5470.82</v>
      </c>
      <c r="M464" s="203">
        <f t="shared" si="116"/>
        <v>-221.93</v>
      </c>
      <c r="N464" s="204">
        <f t="shared" si="117"/>
        <v>-0.76</v>
      </c>
      <c r="O464" s="205">
        <f t="shared" si="118"/>
        <v>0</v>
      </c>
      <c r="P464" s="206">
        <f t="shared" si="119"/>
        <v>0</v>
      </c>
      <c r="Q464" s="206">
        <f t="shared" si="120"/>
        <v>-0.76</v>
      </c>
      <c r="R4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216710</v>
      </c>
      <c r="T4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64" s="208">
        <f ca="1">IF(Tabla33610673[[#This Row],[Equity]]&lt;Tabla33610673[[#This Row],[Equity Peak]],(Tabla33610673[[#This Row],[Equity Peak]]-Tabla33610673[[#This Row],[Equity]])/Tabla33610673[[#This Row],[Equity Peak]],"")</f>
        <v>9.1445292853550367E-3</v>
      </c>
      <c r="V464" s="209">
        <f t="shared" si="121"/>
        <v>0</v>
      </c>
      <c r="W464" s="209">
        <f t="shared" si="122"/>
        <v>0</v>
      </c>
      <c r="X464" s="209">
        <f t="shared" si="123"/>
        <v>0</v>
      </c>
      <c r="Y464" s="209">
        <f t="shared" si="124"/>
        <v>0</v>
      </c>
      <c r="Z464" s="209">
        <f t="shared" si="125"/>
        <v>-0.76</v>
      </c>
      <c r="AA464" s="205">
        <f t="shared" si="126"/>
        <v>0</v>
      </c>
      <c r="AB464" s="209">
        <f t="shared" si="127"/>
        <v>0</v>
      </c>
      <c r="AC464" s="205">
        <f t="shared" si="128"/>
        <v>0</v>
      </c>
      <c r="AD464" s="210">
        <f t="shared" si="129"/>
        <v>6.6666666665696539E-2</v>
      </c>
      <c r="AE464" s="210">
        <f t="shared" si="130"/>
        <v>0</v>
      </c>
      <c r="AF464" s="210">
        <f t="shared" si="131"/>
        <v>6.6666666665696539E-2</v>
      </c>
      <c r="AG464" s="210">
        <f t="shared" si="132"/>
        <v>0</v>
      </c>
    </row>
    <row r="465" spans="2:33" ht="15" customHeight="1" x14ac:dyDescent="0.3">
      <c r="B465" s="196" t="s">
        <v>7</v>
      </c>
      <c r="C465" s="197" t="s">
        <v>13</v>
      </c>
      <c r="D465" s="198" t="str">
        <f t="shared" ref="D465:D528" si="133">IF(E465&lt;&gt;"",IF(K465&lt;&gt;"","C","O"),"")</f>
        <v>C</v>
      </c>
      <c r="E465" s="199">
        <v>43908.666666666664</v>
      </c>
      <c r="F465" s="200" t="s">
        <v>117</v>
      </c>
      <c r="G465" s="201">
        <v>1.0930200000000001</v>
      </c>
      <c r="H465" s="201">
        <v>1.1105499999999999</v>
      </c>
      <c r="I465" s="202">
        <f t="shared" ref="I465:I528" si="134">ABS(G465-H465)</f>
        <v>1.7529999999999824E-2</v>
      </c>
      <c r="J465" s="201">
        <v>0.98080000000000001</v>
      </c>
      <c r="K465" s="199">
        <v>43914.400000000001</v>
      </c>
      <c r="L465" s="201">
        <v>1.08416</v>
      </c>
      <c r="M465" s="203">
        <f t="shared" ref="M465:M528" si="135">ROUND(IF(C465="L",(L465-G465),(G465-L465)),4)</f>
        <v>8.8999999999999999E-3</v>
      </c>
      <c r="N465" s="204">
        <f t="shared" ref="N465:N528" si="136">IFERROR(ROUND((M465/I465),2),"")</f>
        <v>0.51</v>
      </c>
      <c r="O465" s="205">
        <f t="shared" ref="O465:O528" si="137">IF(D465="O",IF(N465&lt;0,N465,0),0)</f>
        <v>0</v>
      </c>
      <c r="P465" s="206">
        <f t="shared" ref="P465:P528" si="138">IF(N465&gt;= 0,N465,0)</f>
        <v>0.51</v>
      </c>
      <c r="Q465" s="206">
        <f t="shared" ref="Q465:Q528" si="139">IF(N465&lt;0,N465,0)</f>
        <v>0</v>
      </c>
      <c r="R4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217470</v>
      </c>
      <c r="T4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65" s="208">
        <f ca="1">IF(Tabla33610673[[#This Row],[Equity]]&lt;Tabla33610673[[#This Row],[Equity Peak]],(Tabla33610673[[#This Row],[Equity Peak]]-Tabla33610673[[#This Row],[Equity]])/Tabla33610673[[#This Row],[Equity Peak]],"")</f>
        <v>5.6696081569201223E-3</v>
      </c>
      <c r="V465" s="209">
        <f t="shared" ref="V465:V528" si="140">IF(B465="FX",N465,0)</f>
        <v>0.51</v>
      </c>
      <c r="W465" s="209">
        <f t="shared" ref="W465:W528" si="141">IF(D465="O",IF(V465&lt;0,V465,0),0)</f>
        <v>0</v>
      </c>
      <c r="X465" s="209">
        <f t="shared" ref="X465:X528" si="142">IF(B465="COM",N465,0)</f>
        <v>0</v>
      </c>
      <c r="Y465" s="209">
        <f t="shared" ref="Y465:Y528" si="143">IF(D465="O",IF(X465&lt;0,X465,0),0)</f>
        <v>0</v>
      </c>
      <c r="Z465" s="209">
        <f t="shared" ref="Z465:Z528" si="144">IF(B465="IND",N465,0)</f>
        <v>0</v>
      </c>
      <c r="AA465" s="205">
        <f t="shared" ref="AA465:AA528" si="145">IF(D465="O",IF(Z465&lt;0,Z465,0),0)</f>
        <v>0</v>
      </c>
      <c r="AB465" s="209">
        <f t="shared" ref="AB465:AB528" si="146">IF(B465="CRYPTO",N465,0)</f>
        <v>0</v>
      </c>
      <c r="AC465" s="205">
        <f t="shared" ref="AC465:AC528" si="147">IF(D465="O",IF(AB465&lt;0,AB465,0),0)</f>
        <v>0</v>
      </c>
      <c r="AD465" s="210">
        <f t="shared" ref="AD465:AD528" si="148">IF(K465&lt;&gt;"",K465-E465,0)</f>
        <v>5.7333333333372138</v>
      </c>
      <c r="AE465" s="210">
        <f t="shared" ref="AE465:AE528" si="149">IF(N465&gt;0,AD465,0)</f>
        <v>5.7333333333372138</v>
      </c>
      <c r="AF465" s="210">
        <f t="shared" ref="AF465:AF528" si="150">IF(N465&lt;0,AD465,0)</f>
        <v>0</v>
      </c>
      <c r="AG465" s="210">
        <f t="shared" ref="AG465:AG528" si="151">IF(N465=0,AD465,0)</f>
        <v>0</v>
      </c>
    </row>
    <row r="466" spans="2:33" ht="15" customHeight="1" x14ac:dyDescent="0.3">
      <c r="B466" s="196" t="s">
        <v>19</v>
      </c>
      <c r="C466" s="197" t="s">
        <v>13</v>
      </c>
      <c r="D466" s="198" t="str">
        <f t="shared" si="133"/>
        <v>C</v>
      </c>
      <c r="E466" s="199">
        <v>43903.875</v>
      </c>
      <c r="F466" s="200" t="s">
        <v>88</v>
      </c>
      <c r="G466" s="201">
        <v>1522.39</v>
      </c>
      <c r="H466" s="201">
        <v>1596.85</v>
      </c>
      <c r="I466" s="202">
        <f t="shared" si="134"/>
        <v>74.459999999999809</v>
      </c>
      <c r="J466" s="201">
        <v>1045.83</v>
      </c>
      <c r="K466" s="199">
        <v>43913.775694444441</v>
      </c>
      <c r="L466" s="201">
        <v>1540.96</v>
      </c>
      <c r="M466" s="203">
        <f t="shared" si="135"/>
        <v>-18.57</v>
      </c>
      <c r="N466" s="204">
        <f t="shared" si="136"/>
        <v>-0.25</v>
      </c>
      <c r="O466" s="205">
        <f t="shared" si="137"/>
        <v>0</v>
      </c>
      <c r="P466" s="206">
        <f t="shared" si="138"/>
        <v>0</v>
      </c>
      <c r="Q466" s="206">
        <f t="shared" si="139"/>
        <v>-0.25</v>
      </c>
      <c r="R4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216960</v>
      </c>
      <c r="T4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66" s="208">
        <f ca="1">IF(Tabla33610673[[#This Row],[Equity]]&lt;Tabla33610673[[#This Row],[Equity Peak]],(Tabla33610673[[#This Row],[Equity Peak]]-Tabla33610673[[#This Row],[Equity]])/Tabla33610673[[#This Row],[Equity Peak]],"")</f>
        <v>8.0014631246856562E-3</v>
      </c>
      <c r="V466" s="209">
        <f t="shared" si="140"/>
        <v>0</v>
      </c>
      <c r="W466" s="209">
        <f t="shared" si="141"/>
        <v>0</v>
      </c>
      <c r="X466" s="209">
        <f t="shared" si="142"/>
        <v>-0.25</v>
      </c>
      <c r="Y466" s="209">
        <f t="shared" si="143"/>
        <v>0</v>
      </c>
      <c r="Z466" s="209">
        <f t="shared" si="144"/>
        <v>0</v>
      </c>
      <c r="AA466" s="205">
        <f t="shared" si="145"/>
        <v>0</v>
      </c>
      <c r="AB466" s="209">
        <f t="shared" si="146"/>
        <v>0</v>
      </c>
      <c r="AC466" s="205">
        <f t="shared" si="147"/>
        <v>0</v>
      </c>
      <c r="AD466" s="210">
        <f t="shared" si="148"/>
        <v>9.9006944444408873</v>
      </c>
      <c r="AE466" s="210">
        <f t="shared" si="149"/>
        <v>0</v>
      </c>
      <c r="AF466" s="210">
        <f t="shared" si="150"/>
        <v>9.9006944444408873</v>
      </c>
      <c r="AG466" s="210">
        <f t="shared" si="151"/>
        <v>0</v>
      </c>
    </row>
    <row r="467" spans="2:33" ht="15" customHeight="1" x14ac:dyDescent="0.3">
      <c r="B467" s="196" t="s">
        <v>5</v>
      </c>
      <c r="C467" s="197" t="s">
        <v>13</v>
      </c>
      <c r="D467" s="198" t="str">
        <f t="shared" si="133"/>
        <v>C</v>
      </c>
      <c r="E467" s="199">
        <v>43913.208333333336</v>
      </c>
      <c r="F467" s="200" t="s">
        <v>92</v>
      </c>
      <c r="G467" s="201">
        <v>6736.9</v>
      </c>
      <c r="H467" s="201">
        <v>7019.1</v>
      </c>
      <c r="I467" s="202">
        <f t="shared" si="134"/>
        <v>282.20000000000073</v>
      </c>
      <c r="J467" s="201">
        <v>4855.6000000000004</v>
      </c>
      <c r="K467" s="199">
        <v>43913.59652777778</v>
      </c>
      <c r="L467" s="201">
        <v>7019.1</v>
      </c>
      <c r="M467" s="203">
        <f t="shared" si="135"/>
        <v>-282.2</v>
      </c>
      <c r="N467" s="204">
        <f t="shared" si="136"/>
        <v>-1</v>
      </c>
      <c r="O467" s="205">
        <f t="shared" si="137"/>
        <v>0</v>
      </c>
      <c r="P467" s="206">
        <f t="shared" si="138"/>
        <v>0</v>
      </c>
      <c r="Q467" s="206">
        <f t="shared" si="139"/>
        <v>-1</v>
      </c>
      <c r="R4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217210</v>
      </c>
      <c r="T4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67" s="208">
        <f ca="1">IF(Tabla33610673[[#This Row],[Equity]]&lt;Tabla33610673[[#This Row],[Equity Peak]],(Tabla33610673[[#This Row],[Equity Peak]]-Tabla33610673[[#This Row],[Equity]])/Tabla33610673[[#This Row],[Equity Peak]],"")</f>
        <v>6.8583969640162775E-3</v>
      </c>
      <c r="V467" s="209">
        <f t="shared" si="140"/>
        <v>0</v>
      </c>
      <c r="W467" s="209">
        <f t="shared" si="141"/>
        <v>0</v>
      </c>
      <c r="X467" s="209">
        <f t="shared" si="142"/>
        <v>0</v>
      </c>
      <c r="Y467" s="209">
        <f t="shared" si="143"/>
        <v>0</v>
      </c>
      <c r="Z467" s="209">
        <f t="shared" si="144"/>
        <v>-1</v>
      </c>
      <c r="AA467" s="205">
        <f t="shared" si="145"/>
        <v>0</v>
      </c>
      <c r="AB467" s="209">
        <f t="shared" si="146"/>
        <v>0</v>
      </c>
      <c r="AC467" s="205">
        <f t="shared" si="147"/>
        <v>0</v>
      </c>
      <c r="AD467" s="210">
        <f t="shared" si="148"/>
        <v>0.38819444444379769</v>
      </c>
      <c r="AE467" s="210">
        <f t="shared" si="149"/>
        <v>0</v>
      </c>
      <c r="AF467" s="210">
        <f t="shared" si="150"/>
        <v>0.38819444444379769</v>
      </c>
      <c r="AG467" s="210">
        <f t="shared" si="151"/>
        <v>0</v>
      </c>
    </row>
    <row r="468" spans="2:33" ht="15" customHeight="1" x14ac:dyDescent="0.3">
      <c r="B468" s="196" t="s">
        <v>7</v>
      </c>
      <c r="C468" s="197" t="s">
        <v>13</v>
      </c>
      <c r="D468" s="198" t="str">
        <f t="shared" si="133"/>
        <v>C</v>
      </c>
      <c r="E468" s="199">
        <v>43907.017361111109</v>
      </c>
      <c r="F468" s="200" t="s">
        <v>113</v>
      </c>
      <c r="G468" s="201">
        <v>105.88200000000001</v>
      </c>
      <c r="H468" s="201">
        <v>109.547</v>
      </c>
      <c r="I468" s="202">
        <f t="shared" si="134"/>
        <v>3.664999999999992</v>
      </c>
      <c r="J468" s="201">
        <v>88.778000000000006</v>
      </c>
      <c r="K468" s="199">
        <v>43907.895138888889</v>
      </c>
      <c r="L468" s="201">
        <v>107.712</v>
      </c>
      <c r="M468" s="203">
        <f t="shared" si="135"/>
        <v>-1.83</v>
      </c>
      <c r="N468" s="204">
        <f t="shared" si="136"/>
        <v>-0.5</v>
      </c>
      <c r="O468" s="205">
        <f t="shared" si="137"/>
        <v>0</v>
      </c>
      <c r="P468" s="206">
        <f t="shared" si="138"/>
        <v>0</v>
      </c>
      <c r="Q468" s="206">
        <f t="shared" si="139"/>
        <v>-0.5</v>
      </c>
      <c r="R4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218210</v>
      </c>
      <c r="T4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68" s="208">
        <f ca="1">IF(Tabla33610673[[#This Row],[Equity]]&lt;Tabla33610673[[#This Row],[Equity Peak]],(Tabla33610673[[#This Row],[Equity Peak]]-Tabla33610673[[#This Row],[Equity]])/Tabla33610673[[#This Row],[Equity Peak]],"")</f>
        <v>2.2861323213387592E-3</v>
      </c>
      <c r="V468" s="209">
        <f t="shared" si="140"/>
        <v>-0.5</v>
      </c>
      <c r="W468" s="209">
        <f t="shared" si="141"/>
        <v>0</v>
      </c>
      <c r="X468" s="209">
        <f t="shared" si="142"/>
        <v>0</v>
      </c>
      <c r="Y468" s="209">
        <f t="shared" si="143"/>
        <v>0</v>
      </c>
      <c r="Z468" s="209">
        <f t="shared" si="144"/>
        <v>0</v>
      </c>
      <c r="AA468" s="205">
        <f t="shared" si="145"/>
        <v>0</v>
      </c>
      <c r="AB468" s="209">
        <f t="shared" si="146"/>
        <v>0</v>
      </c>
      <c r="AC468" s="205">
        <f t="shared" si="147"/>
        <v>0</v>
      </c>
      <c r="AD468" s="210">
        <f t="shared" si="148"/>
        <v>0.87777777777955635</v>
      </c>
      <c r="AE468" s="210">
        <f t="shared" si="149"/>
        <v>0</v>
      </c>
      <c r="AF468" s="210">
        <f t="shared" si="150"/>
        <v>0.87777777777955635</v>
      </c>
      <c r="AG468" s="210">
        <f t="shared" si="151"/>
        <v>0</v>
      </c>
    </row>
    <row r="469" spans="2:33" ht="15" customHeight="1" x14ac:dyDescent="0.3">
      <c r="B469" s="196" t="s">
        <v>7</v>
      </c>
      <c r="C469" s="197" t="s">
        <v>13</v>
      </c>
      <c r="D469" s="198" t="str">
        <f t="shared" si="133"/>
        <v>C</v>
      </c>
      <c r="E469" s="199">
        <v>43902.333333333336</v>
      </c>
      <c r="F469" s="200" t="s">
        <v>114</v>
      </c>
      <c r="G469" s="201">
        <v>1.2814000000000001</v>
      </c>
      <c r="H469" s="201">
        <v>1.2982100000000001</v>
      </c>
      <c r="I469" s="202">
        <f t="shared" si="134"/>
        <v>1.6809999999999992E-2</v>
      </c>
      <c r="J469" s="201">
        <v>1.21414</v>
      </c>
      <c r="K469" s="199">
        <v>43907.560416666667</v>
      </c>
      <c r="L469" s="201">
        <v>1.21414</v>
      </c>
      <c r="M469" s="203">
        <f t="shared" si="135"/>
        <v>6.7299999999999999E-2</v>
      </c>
      <c r="N469" s="204">
        <f t="shared" si="136"/>
        <v>4</v>
      </c>
      <c r="O469" s="205">
        <f t="shared" si="137"/>
        <v>0</v>
      </c>
      <c r="P469" s="206">
        <f t="shared" si="138"/>
        <v>4</v>
      </c>
      <c r="Q469" s="206">
        <f t="shared" si="139"/>
        <v>0</v>
      </c>
      <c r="R4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218710</v>
      </c>
      <c r="T4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218710</v>
      </c>
      <c r="U46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69" s="209">
        <f t="shared" si="140"/>
        <v>4</v>
      </c>
      <c r="W469" s="209">
        <f t="shared" si="141"/>
        <v>0</v>
      </c>
      <c r="X469" s="209">
        <f t="shared" si="142"/>
        <v>0</v>
      </c>
      <c r="Y469" s="209">
        <f t="shared" si="143"/>
        <v>0</v>
      </c>
      <c r="Z469" s="209">
        <f t="shared" si="144"/>
        <v>0</v>
      </c>
      <c r="AA469" s="205">
        <f t="shared" si="145"/>
        <v>0</v>
      </c>
      <c r="AB469" s="209">
        <f t="shared" si="146"/>
        <v>0</v>
      </c>
      <c r="AC469" s="205">
        <f t="shared" si="147"/>
        <v>0</v>
      </c>
      <c r="AD469" s="210">
        <f t="shared" si="148"/>
        <v>5.2270833333313931</v>
      </c>
      <c r="AE469" s="210">
        <f t="shared" si="149"/>
        <v>5.2270833333313931</v>
      </c>
      <c r="AF469" s="210">
        <f t="shared" si="150"/>
        <v>0</v>
      </c>
      <c r="AG469" s="210">
        <f t="shared" si="151"/>
        <v>0</v>
      </c>
    </row>
    <row r="470" spans="2:33" ht="15" customHeight="1" x14ac:dyDescent="0.3">
      <c r="B470" s="196" t="s">
        <v>7</v>
      </c>
      <c r="C470" s="197" t="s">
        <v>13</v>
      </c>
      <c r="D470" s="198" t="str">
        <f t="shared" si="133"/>
        <v>C</v>
      </c>
      <c r="E470" s="199">
        <v>43900.333333333336</v>
      </c>
      <c r="F470" s="200" t="s">
        <v>121</v>
      </c>
      <c r="G470" s="201">
        <v>0.65659999999999996</v>
      </c>
      <c r="H470" s="201">
        <v>0.66588999999999998</v>
      </c>
      <c r="I470" s="202">
        <f t="shared" si="134"/>
        <v>9.2900000000000205E-3</v>
      </c>
      <c r="J470" s="201">
        <v>0.60707</v>
      </c>
      <c r="K470" s="199">
        <v>43907.44027777778</v>
      </c>
      <c r="L470" s="201">
        <v>0.60707</v>
      </c>
      <c r="M470" s="203">
        <f t="shared" si="135"/>
        <v>4.9500000000000002E-2</v>
      </c>
      <c r="N470" s="204">
        <f t="shared" si="136"/>
        <v>5.33</v>
      </c>
      <c r="O470" s="205">
        <f t="shared" si="137"/>
        <v>0</v>
      </c>
      <c r="P470" s="206">
        <f t="shared" si="138"/>
        <v>5.33</v>
      </c>
      <c r="Q470" s="206">
        <f t="shared" si="139"/>
        <v>0</v>
      </c>
      <c r="R4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214710</v>
      </c>
      <c r="T4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214710</v>
      </c>
      <c r="U47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70" s="209">
        <f t="shared" si="140"/>
        <v>5.33</v>
      </c>
      <c r="W470" s="209">
        <f t="shared" si="141"/>
        <v>0</v>
      </c>
      <c r="X470" s="209">
        <f t="shared" si="142"/>
        <v>0</v>
      </c>
      <c r="Y470" s="209">
        <f t="shared" si="143"/>
        <v>0</v>
      </c>
      <c r="Z470" s="209">
        <f t="shared" si="144"/>
        <v>0</v>
      </c>
      <c r="AA470" s="205">
        <f t="shared" si="145"/>
        <v>0</v>
      </c>
      <c r="AB470" s="209">
        <f t="shared" si="146"/>
        <v>0</v>
      </c>
      <c r="AC470" s="205">
        <f t="shared" si="147"/>
        <v>0</v>
      </c>
      <c r="AD470" s="210">
        <f t="shared" si="148"/>
        <v>7.1069444444437977</v>
      </c>
      <c r="AE470" s="210">
        <f t="shared" si="149"/>
        <v>7.1069444444437977</v>
      </c>
      <c r="AF470" s="210">
        <f t="shared" si="150"/>
        <v>0</v>
      </c>
      <c r="AG470" s="210">
        <f t="shared" si="151"/>
        <v>0</v>
      </c>
    </row>
    <row r="471" spans="2:33" ht="15" customHeight="1" x14ac:dyDescent="0.3">
      <c r="B471" s="196" t="s">
        <v>5</v>
      </c>
      <c r="C471" s="197" t="s">
        <v>13</v>
      </c>
      <c r="D471" s="198" t="str">
        <f t="shared" si="133"/>
        <v>C</v>
      </c>
      <c r="E471" s="199">
        <v>43903.017361111109</v>
      </c>
      <c r="F471" s="200" t="s">
        <v>92</v>
      </c>
      <c r="G471" s="201">
        <v>7225.57</v>
      </c>
      <c r="H471" s="201">
        <v>7438.27</v>
      </c>
      <c r="I471" s="202">
        <f t="shared" si="134"/>
        <v>212.70000000000073</v>
      </c>
      <c r="J471" s="201">
        <v>5807.56</v>
      </c>
      <c r="K471" s="199">
        <v>43903.407638888886</v>
      </c>
      <c r="L471" s="201">
        <v>7438.27</v>
      </c>
      <c r="M471" s="203">
        <f t="shared" si="135"/>
        <v>-212.7</v>
      </c>
      <c r="N471" s="204">
        <f t="shared" si="136"/>
        <v>-1</v>
      </c>
      <c r="O471" s="205">
        <f t="shared" si="137"/>
        <v>0</v>
      </c>
      <c r="P471" s="206">
        <f t="shared" si="138"/>
        <v>0</v>
      </c>
      <c r="Q471" s="206">
        <f t="shared" si="139"/>
        <v>-1</v>
      </c>
      <c r="R4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209380</v>
      </c>
      <c r="T4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210540</v>
      </c>
      <c r="U471" s="208">
        <f ca="1">IF(Tabla33610673[[#This Row],[Equity]]&lt;Tabla33610673[[#This Row],[Equity Peak]],(Tabla33610673[[#This Row],[Equity Peak]]-Tabla33610673[[#This Row],[Equity]])/Tabla33610673[[#This Row],[Equity Peak]],"")</f>
        <v>5.5096418732782371E-3</v>
      </c>
      <c r="V471" s="209">
        <f t="shared" si="140"/>
        <v>0</v>
      </c>
      <c r="W471" s="209">
        <f t="shared" si="141"/>
        <v>0</v>
      </c>
      <c r="X471" s="209">
        <f t="shared" si="142"/>
        <v>0</v>
      </c>
      <c r="Y471" s="209">
        <f t="shared" si="143"/>
        <v>0</v>
      </c>
      <c r="Z471" s="209">
        <f t="shared" si="144"/>
        <v>-1</v>
      </c>
      <c r="AA471" s="205">
        <f t="shared" si="145"/>
        <v>0</v>
      </c>
      <c r="AB471" s="209">
        <f t="shared" si="146"/>
        <v>0</v>
      </c>
      <c r="AC471" s="205">
        <f t="shared" si="147"/>
        <v>0</v>
      </c>
      <c r="AD471" s="210">
        <f t="shared" si="148"/>
        <v>0.39027777777664596</v>
      </c>
      <c r="AE471" s="210">
        <f t="shared" si="149"/>
        <v>0</v>
      </c>
      <c r="AF471" s="210">
        <f t="shared" si="150"/>
        <v>0.39027777777664596</v>
      </c>
      <c r="AG471" s="210">
        <f t="shared" si="151"/>
        <v>0</v>
      </c>
    </row>
    <row r="472" spans="2:33" ht="15" customHeight="1" x14ac:dyDescent="0.3">
      <c r="B472" s="196" t="s">
        <v>7</v>
      </c>
      <c r="C472" s="197" t="s">
        <v>15</v>
      </c>
      <c r="D472" s="198" t="str">
        <f t="shared" si="133"/>
        <v>C</v>
      </c>
      <c r="E472" s="199">
        <v>43896.333333333336</v>
      </c>
      <c r="F472" s="200" t="s">
        <v>114</v>
      </c>
      <c r="G472" s="201">
        <v>1.2952699999999999</v>
      </c>
      <c r="H472" s="201">
        <v>1.2867299999999999</v>
      </c>
      <c r="I472" s="202">
        <f t="shared" si="134"/>
        <v>8.539999999999992E-3</v>
      </c>
      <c r="J472" s="201">
        <v>1.32944</v>
      </c>
      <c r="K472" s="199">
        <v>43900.776388888888</v>
      </c>
      <c r="L472" s="201">
        <v>1.29383</v>
      </c>
      <c r="M472" s="203">
        <f t="shared" si="135"/>
        <v>-1.4E-3</v>
      </c>
      <c r="N472" s="204">
        <f t="shared" si="136"/>
        <v>-0.16</v>
      </c>
      <c r="O472" s="205">
        <f t="shared" si="137"/>
        <v>0</v>
      </c>
      <c r="P472" s="206">
        <f t="shared" si="138"/>
        <v>0</v>
      </c>
      <c r="Q472" s="206">
        <f t="shared" si="139"/>
        <v>-0.16</v>
      </c>
      <c r="R4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210380</v>
      </c>
      <c r="T4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210540</v>
      </c>
      <c r="U472" s="208">
        <f ca="1">IF(Tabla33610673[[#This Row],[Equity]]&lt;Tabla33610673[[#This Row],[Equity Peak]],(Tabla33610673[[#This Row],[Equity Peak]]-Tabla33610673[[#This Row],[Equity]])/Tabla33610673[[#This Row],[Equity Peak]],"")</f>
        <v>7.5995060321079133E-4</v>
      </c>
      <c r="V472" s="209">
        <f t="shared" si="140"/>
        <v>-0.16</v>
      </c>
      <c r="W472" s="209">
        <f t="shared" si="141"/>
        <v>0</v>
      </c>
      <c r="X472" s="209">
        <f t="shared" si="142"/>
        <v>0</v>
      </c>
      <c r="Y472" s="209">
        <f t="shared" si="143"/>
        <v>0</v>
      </c>
      <c r="Z472" s="209">
        <f t="shared" si="144"/>
        <v>0</v>
      </c>
      <c r="AA472" s="205">
        <f t="shared" si="145"/>
        <v>0</v>
      </c>
      <c r="AB472" s="209">
        <f t="shared" si="146"/>
        <v>0</v>
      </c>
      <c r="AC472" s="205">
        <f t="shared" si="147"/>
        <v>0</v>
      </c>
      <c r="AD472" s="210">
        <f t="shared" si="148"/>
        <v>4.4430555555518367</v>
      </c>
      <c r="AE472" s="210">
        <f t="shared" si="149"/>
        <v>0</v>
      </c>
      <c r="AF472" s="210">
        <f t="shared" si="150"/>
        <v>4.4430555555518367</v>
      </c>
      <c r="AG472" s="210">
        <f t="shared" si="151"/>
        <v>0</v>
      </c>
    </row>
    <row r="473" spans="2:33" ht="15" customHeight="1" x14ac:dyDescent="0.3">
      <c r="B473" s="196" t="s">
        <v>7</v>
      </c>
      <c r="C473" s="197" t="s">
        <v>15</v>
      </c>
      <c r="D473" s="198" t="str">
        <f t="shared" si="133"/>
        <v>C</v>
      </c>
      <c r="E473" s="199">
        <v>43896.166666666664</v>
      </c>
      <c r="F473" s="200" t="s">
        <v>117</v>
      </c>
      <c r="G473" s="201">
        <v>1.1245700000000001</v>
      </c>
      <c r="H473" s="201">
        <v>1.1155900000000001</v>
      </c>
      <c r="I473" s="202">
        <f t="shared" si="134"/>
        <v>8.979999999999988E-3</v>
      </c>
      <c r="J473" s="201">
        <v>1.1820600000000001</v>
      </c>
      <c r="K473" s="199">
        <v>43900.36041666667</v>
      </c>
      <c r="L473" s="201">
        <v>1.1333800000000001</v>
      </c>
      <c r="M473" s="203">
        <f t="shared" si="135"/>
        <v>8.8000000000000005E-3</v>
      </c>
      <c r="N473" s="204">
        <f t="shared" si="136"/>
        <v>0.98</v>
      </c>
      <c r="O473" s="205">
        <f t="shared" si="137"/>
        <v>0</v>
      </c>
      <c r="P473" s="206">
        <f t="shared" si="138"/>
        <v>0.98</v>
      </c>
      <c r="Q473" s="206">
        <f t="shared" si="139"/>
        <v>0</v>
      </c>
      <c r="R4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210540</v>
      </c>
      <c r="T4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210540</v>
      </c>
      <c r="U47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73" s="209">
        <f t="shared" si="140"/>
        <v>0.98</v>
      </c>
      <c r="W473" s="209">
        <f t="shared" si="141"/>
        <v>0</v>
      </c>
      <c r="X473" s="209">
        <f t="shared" si="142"/>
        <v>0</v>
      </c>
      <c r="Y473" s="209">
        <f t="shared" si="143"/>
        <v>0</v>
      </c>
      <c r="Z473" s="209">
        <f t="shared" si="144"/>
        <v>0</v>
      </c>
      <c r="AA473" s="205">
        <f t="shared" si="145"/>
        <v>0</v>
      </c>
      <c r="AB473" s="209">
        <f t="shared" si="146"/>
        <v>0</v>
      </c>
      <c r="AC473" s="205">
        <f t="shared" si="147"/>
        <v>0</v>
      </c>
      <c r="AD473" s="210">
        <f t="shared" si="148"/>
        <v>4.1937500000058208</v>
      </c>
      <c r="AE473" s="210">
        <f t="shared" si="149"/>
        <v>4.1937500000058208</v>
      </c>
      <c r="AF473" s="210">
        <f t="shared" si="150"/>
        <v>0</v>
      </c>
      <c r="AG473" s="210">
        <f t="shared" si="151"/>
        <v>0</v>
      </c>
    </row>
    <row r="474" spans="2:33" ht="15" customHeight="1" x14ac:dyDescent="0.3">
      <c r="B474" s="196" t="s">
        <v>7</v>
      </c>
      <c r="C474" s="197" t="s">
        <v>13</v>
      </c>
      <c r="D474" s="198" t="str">
        <f t="shared" si="133"/>
        <v>C</v>
      </c>
      <c r="E474" s="199">
        <v>43893.666666666664</v>
      </c>
      <c r="F474" s="200" t="s">
        <v>118</v>
      </c>
      <c r="G474" s="201">
        <v>119.81100000000001</v>
      </c>
      <c r="H474" s="201">
        <v>121.60599999999999</v>
      </c>
      <c r="I474" s="202">
        <f t="shared" si="134"/>
        <v>1.7949999999999875</v>
      </c>
      <c r="J474" s="201">
        <v>112.63200000000001</v>
      </c>
      <c r="K474" s="199">
        <v>43900.268055555556</v>
      </c>
      <c r="L474" s="201">
        <v>118.039</v>
      </c>
      <c r="M474" s="203">
        <f t="shared" si="135"/>
        <v>1.772</v>
      </c>
      <c r="N474" s="204">
        <f t="shared" si="136"/>
        <v>0.99</v>
      </c>
      <c r="O474" s="205">
        <f t="shared" si="137"/>
        <v>0</v>
      </c>
      <c r="P474" s="206">
        <f t="shared" si="138"/>
        <v>0.99</v>
      </c>
      <c r="Q474" s="206">
        <f t="shared" si="139"/>
        <v>0</v>
      </c>
      <c r="R47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209560</v>
      </c>
      <c r="T47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209560</v>
      </c>
      <c r="U47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74" s="209">
        <f t="shared" si="140"/>
        <v>0.99</v>
      </c>
      <c r="W474" s="209">
        <f t="shared" si="141"/>
        <v>0</v>
      </c>
      <c r="X474" s="209">
        <f t="shared" si="142"/>
        <v>0</v>
      </c>
      <c r="Y474" s="209">
        <f t="shared" si="143"/>
        <v>0</v>
      </c>
      <c r="Z474" s="209">
        <f t="shared" si="144"/>
        <v>0</v>
      </c>
      <c r="AA474" s="205">
        <f t="shared" si="145"/>
        <v>0</v>
      </c>
      <c r="AB474" s="209">
        <f t="shared" si="146"/>
        <v>0</v>
      </c>
      <c r="AC474" s="205">
        <f t="shared" si="147"/>
        <v>0</v>
      </c>
      <c r="AD474" s="210">
        <f t="shared" si="148"/>
        <v>6.601388888891961</v>
      </c>
      <c r="AE474" s="210">
        <f t="shared" si="149"/>
        <v>6.601388888891961</v>
      </c>
      <c r="AF474" s="210">
        <f t="shared" si="150"/>
        <v>0</v>
      </c>
      <c r="AG474" s="210">
        <f t="shared" si="151"/>
        <v>0</v>
      </c>
    </row>
    <row r="475" spans="2:33" ht="15" customHeight="1" x14ac:dyDescent="0.3">
      <c r="B475" s="196" t="s">
        <v>7</v>
      </c>
      <c r="C475" s="197" t="s">
        <v>13</v>
      </c>
      <c r="D475" s="198" t="str">
        <f t="shared" si="133"/>
        <v>C</v>
      </c>
      <c r="E475" s="199">
        <v>43895.833333333336</v>
      </c>
      <c r="F475" s="200" t="s">
        <v>113</v>
      </c>
      <c r="G475" s="201">
        <v>106.262</v>
      </c>
      <c r="H475" s="201">
        <v>107.318</v>
      </c>
      <c r="I475" s="202">
        <f t="shared" si="134"/>
        <v>1.0559999999999974</v>
      </c>
      <c r="J475" s="201">
        <v>101.334</v>
      </c>
      <c r="K475" s="199">
        <v>43899.669444444444</v>
      </c>
      <c r="L475" s="201">
        <v>101.334</v>
      </c>
      <c r="M475" s="203">
        <f t="shared" si="135"/>
        <v>4.9279999999999999</v>
      </c>
      <c r="N475" s="204">
        <f t="shared" si="136"/>
        <v>4.67</v>
      </c>
      <c r="O475" s="205">
        <f t="shared" si="137"/>
        <v>0</v>
      </c>
      <c r="P475" s="206">
        <f t="shared" si="138"/>
        <v>4.67</v>
      </c>
      <c r="Q475" s="206">
        <f t="shared" si="139"/>
        <v>0</v>
      </c>
      <c r="R47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208570</v>
      </c>
      <c r="T47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208570</v>
      </c>
      <c r="U47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75" s="209">
        <f t="shared" si="140"/>
        <v>4.67</v>
      </c>
      <c r="W475" s="209">
        <f t="shared" si="141"/>
        <v>0</v>
      </c>
      <c r="X475" s="209">
        <f t="shared" si="142"/>
        <v>0</v>
      </c>
      <c r="Y475" s="209">
        <f t="shared" si="143"/>
        <v>0</v>
      </c>
      <c r="Z475" s="209">
        <f t="shared" si="144"/>
        <v>0</v>
      </c>
      <c r="AA475" s="205">
        <f t="shared" si="145"/>
        <v>0</v>
      </c>
      <c r="AB475" s="209">
        <f t="shared" si="146"/>
        <v>0</v>
      </c>
      <c r="AC475" s="205">
        <f t="shared" si="147"/>
        <v>0</v>
      </c>
      <c r="AD475" s="210">
        <f t="shared" si="148"/>
        <v>3.836111111108039</v>
      </c>
      <c r="AE475" s="210">
        <f t="shared" si="149"/>
        <v>3.836111111108039</v>
      </c>
      <c r="AF475" s="210">
        <f t="shared" si="150"/>
        <v>0</v>
      </c>
      <c r="AG475" s="210">
        <f t="shared" si="151"/>
        <v>0</v>
      </c>
    </row>
    <row r="476" spans="2:33" ht="15" customHeight="1" x14ac:dyDescent="0.3">
      <c r="B476" s="196" t="s">
        <v>7</v>
      </c>
      <c r="C476" s="197" t="s">
        <v>15</v>
      </c>
      <c r="D476" s="198" t="str">
        <f t="shared" si="133"/>
        <v>C</v>
      </c>
      <c r="E476" s="199">
        <v>43896.833333333336</v>
      </c>
      <c r="F476" s="200" t="s">
        <v>116</v>
      </c>
      <c r="G476" s="201">
        <v>1.9606399999999999</v>
      </c>
      <c r="H476" s="201">
        <v>1.93855</v>
      </c>
      <c r="I476" s="202">
        <f t="shared" si="134"/>
        <v>2.2089999999999943E-2</v>
      </c>
      <c r="J476" s="201">
        <v>2.0342600000000002</v>
      </c>
      <c r="K476" s="199">
        <v>43899.243750000001</v>
      </c>
      <c r="L476" s="201">
        <v>2.0342600000000002</v>
      </c>
      <c r="M476" s="203">
        <f t="shared" si="135"/>
        <v>7.3599999999999999E-2</v>
      </c>
      <c r="N476" s="204">
        <f t="shared" si="136"/>
        <v>3.33</v>
      </c>
      <c r="O476" s="205">
        <f t="shared" si="137"/>
        <v>0</v>
      </c>
      <c r="P476" s="206">
        <f t="shared" si="138"/>
        <v>3.33</v>
      </c>
      <c r="Q476" s="206">
        <f t="shared" si="139"/>
        <v>0</v>
      </c>
      <c r="R47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203900</v>
      </c>
      <c r="T47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203900</v>
      </c>
      <c r="U47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76" s="209">
        <f t="shared" si="140"/>
        <v>3.33</v>
      </c>
      <c r="W476" s="209">
        <f t="shared" si="141"/>
        <v>0</v>
      </c>
      <c r="X476" s="209">
        <f t="shared" si="142"/>
        <v>0</v>
      </c>
      <c r="Y476" s="209">
        <f t="shared" si="143"/>
        <v>0</v>
      </c>
      <c r="Z476" s="209">
        <f t="shared" si="144"/>
        <v>0</v>
      </c>
      <c r="AA476" s="205">
        <f t="shared" si="145"/>
        <v>0</v>
      </c>
      <c r="AB476" s="209">
        <f t="shared" si="146"/>
        <v>0</v>
      </c>
      <c r="AC476" s="205">
        <f t="shared" si="147"/>
        <v>0</v>
      </c>
      <c r="AD476" s="210">
        <f t="shared" si="148"/>
        <v>2.4104166666656965</v>
      </c>
      <c r="AE476" s="210">
        <f t="shared" si="149"/>
        <v>2.4104166666656965</v>
      </c>
      <c r="AF476" s="210">
        <f t="shared" si="150"/>
        <v>0</v>
      </c>
      <c r="AG476" s="210">
        <f t="shared" si="151"/>
        <v>0</v>
      </c>
    </row>
    <row r="477" spans="2:33" ht="15" customHeight="1" x14ac:dyDescent="0.3">
      <c r="B477" s="196" t="s">
        <v>5</v>
      </c>
      <c r="C477" s="197" t="s">
        <v>13</v>
      </c>
      <c r="D477" s="198" t="str">
        <f t="shared" si="133"/>
        <v>C</v>
      </c>
      <c r="E477" s="199">
        <v>43886.201388888891</v>
      </c>
      <c r="F477" s="200" t="s">
        <v>90</v>
      </c>
      <c r="G477" s="201">
        <v>6882.1</v>
      </c>
      <c r="H477" s="201">
        <v>6959.24</v>
      </c>
      <c r="I477" s="202">
        <f t="shared" si="134"/>
        <v>77.139999999999418</v>
      </c>
      <c r="J477" s="201">
        <v>5853.53</v>
      </c>
      <c r="K477" s="199">
        <v>43899.185416666667</v>
      </c>
      <c r="L477" s="201">
        <v>5853.53</v>
      </c>
      <c r="M477" s="203">
        <f t="shared" si="135"/>
        <v>1028.57</v>
      </c>
      <c r="N477" s="204">
        <f t="shared" si="136"/>
        <v>13.33</v>
      </c>
      <c r="O477" s="205">
        <f t="shared" si="137"/>
        <v>0</v>
      </c>
      <c r="P477" s="206">
        <f t="shared" si="138"/>
        <v>13.33</v>
      </c>
      <c r="Q477" s="206">
        <f t="shared" si="139"/>
        <v>0</v>
      </c>
      <c r="R47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200570</v>
      </c>
      <c r="T47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200570</v>
      </c>
      <c r="U47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77" s="209">
        <f t="shared" si="140"/>
        <v>0</v>
      </c>
      <c r="W477" s="209">
        <f t="shared" si="141"/>
        <v>0</v>
      </c>
      <c r="X477" s="209">
        <f t="shared" si="142"/>
        <v>0</v>
      </c>
      <c r="Y477" s="209">
        <f t="shared" si="143"/>
        <v>0</v>
      </c>
      <c r="Z477" s="209">
        <f t="shared" si="144"/>
        <v>13.33</v>
      </c>
      <c r="AA477" s="205">
        <f t="shared" si="145"/>
        <v>0</v>
      </c>
      <c r="AB477" s="209">
        <f t="shared" si="146"/>
        <v>0</v>
      </c>
      <c r="AC477" s="205">
        <f t="shared" si="147"/>
        <v>0</v>
      </c>
      <c r="AD477" s="210">
        <f t="shared" si="148"/>
        <v>12.984027777776646</v>
      </c>
      <c r="AE477" s="210">
        <f t="shared" si="149"/>
        <v>12.984027777776646</v>
      </c>
      <c r="AF477" s="210">
        <f t="shared" si="150"/>
        <v>0</v>
      </c>
      <c r="AG477" s="210">
        <f t="shared" si="151"/>
        <v>0</v>
      </c>
    </row>
    <row r="478" spans="2:33" ht="15" customHeight="1" x14ac:dyDescent="0.3">
      <c r="B478" s="196" t="s">
        <v>19</v>
      </c>
      <c r="C478" s="197" t="s">
        <v>13</v>
      </c>
      <c r="D478" s="198" t="str">
        <f t="shared" si="133"/>
        <v>C</v>
      </c>
      <c r="E478" s="199">
        <v>43885.958333333336</v>
      </c>
      <c r="F478" s="200" t="s">
        <v>108</v>
      </c>
      <c r="G478" s="201">
        <v>51.279000000000003</v>
      </c>
      <c r="H478" s="201">
        <v>52.713999999999999</v>
      </c>
      <c r="I478" s="202">
        <f t="shared" si="134"/>
        <v>1.4349999999999952</v>
      </c>
      <c r="J478" s="201">
        <v>34.058</v>
      </c>
      <c r="K478" s="199">
        <v>43899.125</v>
      </c>
      <c r="L478" s="201">
        <v>34.058</v>
      </c>
      <c r="M478" s="203">
        <f t="shared" si="135"/>
        <v>17.221</v>
      </c>
      <c r="N478" s="204">
        <f t="shared" si="136"/>
        <v>12</v>
      </c>
      <c r="O478" s="205">
        <f t="shared" si="137"/>
        <v>0</v>
      </c>
      <c r="P478" s="206">
        <f t="shared" si="138"/>
        <v>12</v>
      </c>
      <c r="Q478" s="206">
        <f t="shared" si="139"/>
        <v>0</v>
      </c>
      <c r="R47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187240</v>
      </c>
      <c r="T47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187240</v>
      </c>
      <c r="U47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78" s="209">
        <f t="shared" si="140"/>
        <v>0</v>
      </c>
      <c r="W478" s="209">
        <f t="shared" si="141"/>
        <v>0</v>
      </c>
      <c r="X478" s="209">
        <f t="shared" si="142"/>
        <v>12</v>
      </c>
      <c r="Y478" s="209">
        <f t="shared" si="143"/>
        <v>0</v>
      </c>
      <c r="Z478" s="209">
        <f t="shared" si="144"/>
        <v>0</v>
      </c>
      <c r="AA478" s="205">
        <f t="shared" si="145"/>
        <v>0</v>
      </c>
      <c r="AB478" s="209">
        <f t="shared" si="146"/>
        <v>0</v>
      </c>
      <c r="AC478" s="205">
        <f t="shared" si="147"/>
        <v>0</v>
      </c>
      <c r="AD478" s="210">
        <f t="shared" si="148"/>
        <v>13.166666666664241</v>
      </c>
      <c r="AE478" s="210">
        <f t="shared" si="149"/>
        <v>13.166666666664241</v>
      </c>
      <c r="AF478" s="210">
        <f t="shared" si="150"/>
        <v>0</v>
      </c>
      <c r="AG478" s="210">
        <f t="shared" si="151"/>
        <v>0</v>
      </c>
    </row>
    <row r="479" spans="2:33" ht="15" customHeight="1" x14ac:dyDescent="0.3">
      <c r="B479" s="196" t="s">
        <v>7</v>
      </c>
      <c r="C479" s="197" t="s">
        <v>13</v>
      </c>
      <c r="D479" s="198" t="str">
        <f t="shared" si="133"/>
        <v>C</v>
      </c>
      <c r="E479" s="199">
        <v>43888.5</v>
      </c>
      <c r="F479" s="200" t="s">
        <v>115</v>
      </c>
      <c r="G479" s="201">
        <v>142.14400000000001</v>
      </c>
      <c r="H479" s="201">
        <v>143.29499999999999</v>
      </c>
      <c r="I479" s="202">
        <f t="shared" si="134"/>
        <v>1.150999999999982</v>
      </c>
      <c r="J479" s="201">
        <v>135.697</v>
      </c>
      <c r="K479" s="199">
        <v>43899.068749999999</v>
      </c>
      <c r="L479" s="201">
        <v>135.697</v>
      </c>
      <c r="M479" s="203">
        <f t="shared" si="135"/>
        <v>6.4470000000000001</v>
      </c>
      <c r="N479" s="204">
        <f t="shared" si="136"/>
        <v>5.6</v>
      </c>
      <c r="O479" s="205">
        <f t="shared" si="137"/>
        <v>0</v>
      </c>
      <c r="P479" s="206">
        <f t="shared" si="138"/>
        <v>5.6</v>
      </c>
      <c r="Q479" s="206">
        <f t="shared" si="139"/>
        <v>0</v>
      </c>
      <c r="R47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175240</v>
      </c>
      <c r="T47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175240</v>
      </c>
      <c r="U47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79" s="209">
        <f t="shared" si="140"/>
        <v>5.6</v>
      </c>
      <c r="W479" s="209">
        <f t="shared" si="141"/>
        <v>0</v>
      </c>
      <c r="X479" s="209">
        <f t="shared" si="142"/>
        <v>0</v>
      </c>
      <c r="Y479" s="209">
        <f t="shared" si="143"/>
        <v>0</v>
      </c>
      <c r="Z479" s="209">
        <f t="shared" si="144"/>
        <v>0</v>
      </c>
      <c r="AA479" s="205">
        <f t="shared" si="145"/>
        <v>0</v>
      </c>
      <c r="AB479" s="209">
        <f t="shared" si="146"/>
        <v>0</v>
      </c>
      <c r="AC479" s="205">
        <f t="shared" si="147"/>
        <v>0</v>
      </c>
      <c r="AD479" s="210">
        <f t="shared" si="148"/>
        <v>10.568749999998545</v>
      </c>
      <c r="AE479" s="210">
        <f t="shared" si="149"/>
        <v>10.568749999998545</v>
      </c>
      <c r="AF479" s="210">
        <f t="shared" si="150"/>
        <v>0</v>
      </c>
      <c r="AG479" s="210">
        <f t="shared" si="151"/>
        <v>0</v>
      </c>
    </row>
    <row r="480" spans="2:33" ht="15" customHeight="1" x14ac:dyDescent="0.3">
      <c r="B480" s="196" t="s">
        <v>19</v>
      </c>
      <c r="C480" s="197" t="s">
        <v>15</v>
      </c>
      <c r="D480" s="198" t="str">
        <f t="shared" si="133"/>
        <v>C</v>
      </c>
      <c r="E480" s="199">
        <v>43894.041666666664</v>
      </c>
      <c r="F480" s="200" t="s">
        <v>88</v>
      </c>
      <c r="G480" s="201">
        <v>1639.94</v>
      </c>
      <c r="H480" s="201">
        <v>1588.96</v>
      </c>
      <c r="I480" s="202">
        <f t="shared" si="134"/>
        <v>50.980000000000018</v>
      </c>
      <c r="J480" s="201">
        <v>1966.24</v>
      </c>
      <c r="K480" s="199">
        <v>43896.728472222225</v>
      </c>
      <c r="L480" s="201">
        <v>1660.29</v>
      </c>
      <c r="M480" s="203">
        <f t="shared" si="135"/>
        <v>20.350000000000001</v>
      </c>
      <c r="N480" s="204">
        <f t="shared" si="136"/>
        <v>0.4</v>
      </c>
      <c r="O480" s="205">
        <f t="shared" si="137"/>
        <v>0</v>
      </c>
      <c r="P480" s="206">
        <f t="shared" si="138"/>
        <v>0.4</v>
      </c>
      <c r="Q480" s="206">
        <f t="shared" si="139"/>
        <v>0</v>
      </c>
      <c r="R48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169640</v>
      </c>
      <c r="T48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169640</v>
      </c>
      <c r="U48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80" s="209">
        <f t="shared" si="140"/>
        <v>0</v>
      </c>
      <c r="W480" s="209">
        <f t="shared" si="141"/>
        <v>0</v>
      </c>
      <c r="X480" s="209">
        <f t="shared" si="142"/>
        <v>0.4</v>
      </c>
      <c r="Y480" s="209">
        <f t="shared" si="143"/>
        <v>0</v>
      </c>
      <c r="Z480" s="209">
        <f t="shared" si="144"/>
        <v>0</v>
      </c>
      <c r="AA480" s="205">
        <f t="shared" si="145"/>
        <v>0</v>
      </c>
      <c r="AB480" s="209">
        <f t="shared" si="146"/>
        <v>0</v>
      </c>
      <c r="AC480" s="205">
        <f t="shared" si="147"/>
        <v>0</v>
      </c>
      <c r="AD480" s="210">
        <f t="shared" si="148"/>
        <v>2.6868055555605679</v>
      </c>
      <c r="AE480" s="210">
        <f t="shared" si="149"/>
        <v>2.6868055555605679</v>
      </c>
      <c r="AF480" s="210">
        <f t="shared" si="150"/>
        <v>0</v>
      </c>
      <c r="AG480" s="210">
        <f t="shared" si="151"/>
        <v>0</v>
      </c>
    </row>
    <row r="481" spans="2:33" ht="15" customHeight="1" x14ac:dyDescent="0.3">
      <c r="B481" s="196" t="s">
        <v>5</v>
      </c>
      <c r="C481" s="197" t="s">
        <v>13</v>
      </c>
      <c r="D481" s="198" t="str">
        <f t="shared" si="133"/>
        <v>C</v>
      </c>
      <c r="E481" s="199">
        <v>43885.875</v>
      </c>
      <c r="F481" s="200" t="s">
        <v>91</v>
      </c>
      <c r="G481" s="201">
        <v>13003.98</v>
      </c>
      <c r="H481" s="201">
        <v>13390.5</v>
      </c>
      <c r="I481" s="202">
        <f t="shared" si="134"/>
        <v>386.52000000000044</v>
      </c>
      <c r="J481" s="201">
        <v>11457.9</v>
      </c>
      <c r="K481" s="199">
        <v>43896.61041666667</v>
      </c>
      <c r="L481" s="201">
        <v>11457.9</v>
      </c>
      <c r="M481" s="203">
        <f t="shared" si="135"/>
        <v>1546.08</v>
      </c>
      <c r="N481" s="204">
        <f t="shared" si="136"/>
        <v>4</v>
      </c>
      <c r="O481" s="205">
        <f t="shared" si="137"/>
        <v>0</v>
      </c>
      <c r="P481" s="206">
        <f t="shared" si="138"/>
        <v>4</v>
      </c>
      <c r="Q481" s="206">
        <f t="shared" si="139"/>
        <v>0</v>
      </c>
      <c r="R48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169240</v>
      </c>
      <c r="T48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169240</v>
      </c>
      <c r="U48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81" s="209">
        <f t="shared" si="140"/>
        <v>0</v>
      </c>
      <c r="W481" s="209">
        <f t="shared" si="141"/>
        <v>0</v>
      </c>
      <c r="X481" s="209">
        <f t="shared" si="142"/>
        <v>0</v>
      </c>
      <c r="Y481" s="209">
        <f t="shared" si="143"/>
        <v>0</v>
      </c>
      <c r="Z481" s="209">
        <f t="shared" si="144"/>
        <v>4</v>
      </c>
      <c r="AA481" s="205">
        <f t="shared" si="145"/>
        <v>0</v>
      </c>
      <c r="AB481" s="209">
        <f t="shared" si="146"/>
        <v>0</v>
      </c>
      <c r="AC481" s="205">
        <f t="shared" si="147"/>
        <v>0</v>
      </c>
      <c r="AD481" s="210">
        <f t="shared" si="148"/>
        <v>10.735416666670062</v>
      </c>
      <c r="AE481" s="210">
        <f t="shared" si="149"/>
        <v>10.735416666670062</v>
      </c>
      <c r="AF481" s="210">
        <f t="shared" si="150"/>
        <v>0</v>
      </c>
      <c r="AG481" s="210">
        <f t="shared" si="151"/>
        <v>0</v>
      </c>
    </row>
    <row r="482" spans="2:33" ht="15" customHeight="1" x14ac:dyDescent="0.3">
      <c r="B482" s="196" t="s">
        <v>7</v>
      </c>
      <c r="C482" s="197" t="s">
        <v>13</v>
      </c>
      <c r="D482" s="198" t="str">
        <f t="shared" si="133"/>
        <v>C</v>
      </c>
      <c r="E482" s="199">
        <v>43889.833333333336</v>
      </c>
      <c r="F482" s="200" t="s">
        <v>114</v>
      </c>
      <c r="G482" s="201">
        <v>1.2761</v>
      </c>
      <c r="H482" s="201">
        <v>1.2864100000000001</v>
      </c>
      <c r="I482" s="202">
        <f t="shared" si="134"/>
        <v>1.0310000000000041E-2</v>
      </c>
      <c r="J482" s="201">
        <v>1.2348399999999999</v>
      </c>
      <c r="K482" s="199">
        <v>43894.859027777777</v>
      </c>
      <c r="L482" s="201">
        <v>1.2864100000000001</v>
      </c>
      <c r="M482" s="203">
        <f t="shared" si="135"/>
        <v>-1.03E-2</v>
      </c>
      <c r="N482" s="204">
        <f t="shared" si="136"/>
        <v>-1</v>
      </c>
      <c r="O482" s="205">
        <f t="shared" si="137"/>
        <v>0</v>
      </c>
      <c r="P482" s="206">
        <f t="shared" si="138"/>
        <v>0</v>
      </c>
      <c r="Q482" s="206">
        <f t="shared" si="139"/>
        <v>-1</v>
      </c>
      <c r="R48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165240</v>
      </c>
      <c r="T48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166240</v>
      </c>
      <c r="U482" s="208">
        <f ca="1">IF(Tabla33610673[[#This Row],[Equity]]&lt;Tabla33610673[[#This Row],[Equity Peak]],(Tabla33610673[[#This Row],[Equity Peak]]-Tabla33610673[[#This Row],[Equity]])/Tabla33610673[[#This Row],[Equity Peak]],"")</f>
        <v>6.0153994225216551E-3</v>
      </c>
      <c r="V482" s="209">
        <f t="shared" si="140"/>
        <v>-1</v>
      </c>
      <c r="W482" s="209">
        <f t="shared" si="141"/>
        <v>0</v>
      </c>
      <c r="X482" s="209">
        <f t="shared" si="142"/>
        <v>0</v>
      </c>
      <c r="Y482" s="209">
        <f t="shared" si="143"/>
        <v>0</v>
      </c>
      <c r="Z482" s="209">
        <f t="shared" si="144"/>
        <v>0</v>
      </c>
      <c r="AA482" s="205">
        <f t="shared" si="145"/>
        <v>0</v>
      </c>
      <c r="AB482" s="209">
        <f t="shared" si="146"/>
        <v>0</v>
      </c>
      <c r="AC482" s="205">
        <f t="shared" si="147"/>
        <v>0</v>
      </c>
      <c r="AD482" s="210">
        <f t="shared" si="148"/>
        <v>5.0256944444408873</v>
      </c>
      <c r="AE482" s="210">
        <f t="shared" si="149"/>
        <v>0</v>
      </c>
      <c r="AF482" s="210">
        <f t="shared" si="150"/>
        <v>5.0256944444408873</v>
      </c>
      <c r="AG482" s="210">
        <f t="shared" si="151"/>
        <v>0</v>
      </c>
    </row>
    <row r="483" spans="2:33" ht="15" customHeight="1" x14ac:dyDescent="0.3">
      <c r="B483" s="196" t="s">
        <v>7</v>
      </c>
      <c r="C483" s="197" t="s">
        <v>13</v>
      </c>
      <c r="D483" s="198" t="str">
        <f t="shared" si="133"/>
        <v>C</v>
      </c>
      <c r="E483" s="199">
        <v>43885.333333333336</v>
      </c>
      <c r="F483" s="200" t="s">
        <v>122</v>
      </c>
      <c r="G483" s="201">
        <v>73.608000000000004</v>
      </c>
      <c r="H483" s="201">
        <v>74.164000000000001</v>
      </c>
      <c r="I483" s="202">
        <f t="shared" si="134"/>
        <v>0.55599999999999739</v>
      </c>
      <c r="J483" s="201">
        <v>63.970999999999997</v>
      </c>
      <c r="K483" s="199">
        <v>43893.773611111108</v>
      </c>
      <c r="L483" s="201">
        <v>71.426000000000002</v>
      </c>
      <c r="M483" s="203">
        <f t="shared" si="135"/>
        <v>2.1819999999999999</v>
      </c>
      <c r="N483" s="204">
        <f t="shared" si="136"/>
        <v>3.92</v>
      </c>
      <c r="O483" s="205">
        <f t="shared" si="137"/>
        <v>0</v>
      </c>
      <c r="P483" s="206">
        <f t="shared" si="138"/>
        <v>3.92</v>
      </c>
      <c r="Q483" s="206">
        <f t="shared" si="139"/>
        <v>0</v>
      </c>
      <c r="R48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166240</v>
      </c>
      <c r="T48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166240</v>
      </c>
      <c r="U48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83" s="209">
        <f t="shared" si="140"/>
        <v>3.92</v>
      </c>
      <c r="W483" s="209">
        <f t="shared" si="141"/>
        <v>0</v>
      </c>
      <c r="X483" s="209">
        <f t="shared" si="142"/>
        <v>0</v>
      </c>
      <c r="Y483" s="209">
        <f t="shared" si="143"/>
        <v>0</v>
      </c>
      <c r="Z483" s="209">
        <f t="shared" si="144"/>
        <v>0</v>
      </c>
      <c r="AA483" s="205">
        <f t="shared" si="145"/>
        <v>0</v>
      </c>
      <c r="AB483" s="209">
        <f t="shared" si="146"/>
        <v>0</v>
      </c>
      <c r="AC483" s="205">
        <f t="shared" si="147"/>
        <v>0</v>
      </c>
      <c r="AD483" s="210">
        <f t="shared" si="148"/>
        <v>8.4402777777722804</v>
      </c>
      <c r="AE483" s="210">
        <f t="shared" si="149"/>
        <v>8.4402777777722804</v>
      </c>
      <c r="AF483" s="210">
        <f t="shared" si="150"/>
        <v>0</v>
      </c>
      <c r="AG483" s="210">
        <f t="shared" si="151"/>
        <v>0</v>
      </c>
    </row>
    <row r="484" spans="2:33" ht="15" customHeight="1" x14ac:dyDescent="0.3">
      <c r="B484" s="196" t="s">
        <v>7</v>
      </c>
      <c r="C484" s="197" t="s">
        <v>15</v>
      </c>
      <c r="D484" s="198" t="str">
        <f t="shared" si="133"/>
        <v>C</v>
      </c>
      <c r="E484" s="199">
        <v>43893.166666666664</v>
      </c>
      <c r="F484" s="200" t="s">
        <v>118</v>
      </c>
      <c r="G484" s="201">
        <v>120.345</v>
      </c>
      <c r="H484" s="201">
        <v>118.54</v>
      </c>
      <c r="I484" s="202">
        <f t="shared" si="134"/>
        <v>1.8049999999999926</v>
      </c>
      <c r="J484" s="201">
        <v>127.566</v>
      </c>
      <c r="K484" s="199">
        <v>43893.666666666664</v>
      </c>
      <c r="L484" s="201">
        <v>119.81100000000001</v>
      </c>
      <c r="M484" s="203">
        <f t="shared" si="135"/>
        <v>-0.53400000000000003</v>
      </c>
      <c r="N484" s="204">
        <f t="shared" si="136"/>
        <v>-0.3</v>
      </c>
      <c r="O484" s="205">
        <f t="shared" si="137"/>
        <v>0</v>
      </c>
      <c r="P484" s="206">
        <f t="shared" si="138"/>
        <v>0</v>
      </c>
      <c r="Q484" s="206">
        <f t="shared" si="139"/>
        <v>-0.3</v>
      </c>
      <c r="R48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162320</v>
      </c>
      <c r="T48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162890</v>
      </c>
      <c r="U484" s="208">
        <f ca="1">IF(Tabla33610673[[#This Row],[Equity]]&lt;Tabla33610673[[#This Row],[Equity Peak]],(Tabla33610673[[#This Row],[Equity Peak]]-Tabla33610673[[#This Row],[Equity]])/Tabla33610673[[#This Row],[Equity Peak]],"")</f>
        <v>3.4992940020872982E-3</v>
      </c>
      <c r="V484" s="209">
        <f t="shared" si="140"/>
        <v>-0.3</v>
      </c>
      <c r="W484" s="209">
        <f t="shared" si="141"/>
        <v>0</v>
      </c>
      <c r="X484" s="209">
        <f t="shared" si="142"/>
        <v>0</v>
      </c>
      <c r="Y484" s="209">
        <f t="shared" si="143"/>
        <v>0</v>
      </c>
      <c r="Z484" s="209">
        <f t="shared" si="144"/>
        <v>0</v>
      </c>
      <c r="AA484" s="205">
        <f t="shared" si="145"/>
        <v>0</v>
      </c>
      <c r="AB484" s="209">
        <f t="shared" si="146"/>
        <v>0</v>
      </c>
      <c r="AC484" s="205">
        <f t="shared" si="147"/>
        <v>0</v>
      </c>
      <c r="AD484" s="210">
        <f t="shared" si="148"/>
        <v>0.5</v>
      </c>
      <c r="AE484" s="210">
        <f t="shared" si="149"/>
        <v>0</v>
      </c>
      <c r="AF484" s="210">
        <f t="shared" si="150"/>
        <v>0.5</v>
      </c>
      <c r="AG484" s="210">
        <f t="shared" si="151"/>
        <v>0</v>
      </c>
    </row>
    <row r="485" spans="2:33" ht="15" customHeight="1" x14ac:dyDescent="0.3">
      <c r="B485" s="196" t="s">
        <v>7</v>
      </c>
      <c r="C485" s="197" t="s">
        <v>13</v>
      </c>
      <c r="D485" s="198" t="str">
        <f t="shared" si="133"/>
        <v>C</v>
      </c>
      <c r="E485" s="199">
        <v>43889.5</v>
      </c>
      <c r="F485" s="200" t="s">
        <v>118</v>
      </c>
      <c r="G485" s="201">
        <v>120.03</v>
      </c>
      <c r="H485" s="201">
        <v>121.146</v>
      </c>
      <c r="I485" s="202">
        <f t="shared" si="134"/>
        <v>1.1159999999999997</v>
      </c>
      <c r="J485" s="201">
        <v>115.566</v>
      </c>
      <c r="K485" s="199">
        <v>43892.763194444444</v>
      </c>
      <c r="L485" s="201">
        <v>120.327</v>
      </c>
      <c r="M485" s="203">
        <f t="shared" si="135"/>
        <v>-0.29699999999999999</v>
      </c>
      <c r="N485" s="204">
        <f t="shared" si="136"/>
        <v>-0.27</v>
      </c>
      <c r="O485" s="205">
        <f t="shared" si="137"/>
        <v>0</v>
      </c>
      <c r="P485" s="206">
        <f t="shared" si="138"/>
        <v>0</v>
      </c>
      <c r="Q485" s="206">
        <f t="shared" si="139"/>
        <v>-0.27</v>
      </c>
      <c r="R48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162620</v>
      </c>
      <c r="T48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162890</v>
      </c>
      <c r="U485" s="208">
        <f ca="1">IF(Tabla33610673[[#This Row],[Equity]]&lt;Tabla33610673[[#This Row],[Equity Peak]],(Tabla33610673[[#This Row],[Equity Peak]]-Tabla33610673[[#This Row],[Equity]])/Tabla33610673[[#This Row],[Equity Peak]],"")</f>
        <v>1.6575603167781939E-3</v>
      </c>
      <c r="V485" s="209">
        <f t="shared" si="140"/>
        <v>-0.27</v>
      </c>
      <c r="W485" s="209">
        <f t="shared" si="141"/>
        <v>0</v>
      </c>
      <c r="X485" s="209">
        <f t="shared" si="142"/>
        <v>0</v>
      </c>
      <c r="Y485" s="209">
        <f t="shared" si="143"/>
        <v>0</v>
      </c>
      <c r="Z485" s="209">
        <f t="shared" si="144"/>
        <v>0</v>
      </c>
      <c r="AA485" s="205">
        <f t="shared" si="145"/>
        <v>0</v>
      </c>
      <c r="AB485" s="209">
        <f t="shared" si="146"/>
        <v>0</v>
      </c>
      <c r="AC485" s="205">
        <f t="shared" si="147"/>
        <v>0</v>
      </c>
      <c r="AD485" s="210">
        <f t="shared" si="148"/>
        <v>3.2631944444437977</v>
      </c>
      <c r="AE485" s="210">
        <f t="shared" si="149"/>
        <v>0</v>
      </c>
      <c r="AF485" s="210">
        <f t="shared" si="150"/>
        <v>3.2631944444437977</v>
      </c>
      <c r="AG485" s="210">
        <f t="shared" si="151"/>
        <v>0</v>
      </c>
    </row>
    <row r="486" spans="2:33" ht="15" customHeight="1" x14ac:dyDescent="0.3">
      <c r="B486" s="196" t="s">
        <v>19</v>
      </c>
      <c r="C486" s="197" t="s">
        <v>13</v>
      </c>
      <c r="D486" s="198" t="str">
        <f t="shared" si="133"/>
        <v>C</v>
      </c>
      <c r="E486" s="199">
        <v>43889.375</v>
      </c>
      <c r="F486" s="200" t="s">
        <v>89</v>
      </c>
      <c r="G486" s="201">
        <v>17.210999999999999</v>
      </c>
      <c r="H486" s="201">
        <v>17.561</v>
      </c>
      <c r="I486" s="202">
        <f t="shared" si="134"/>
        <v>0.35000000000000142</v>
      </c>
      <c r="J486" s="201">
        <v>15.532999999999999</v>
      </c>
      <c r="K486" s="199">
        <v>43892.109722222223</v>
      </c>
      <c r="L486" s="201">
        <v>16.811</v>
      </c>
      <c r="M486" s="203">
        <f t="shared" si="135"/>
        <v>0.4</v>
      </c>
      <c r="N486" s="204">
        <f t="shared" si="136"/>
        <v>1.1399999999999999</v>
      </c>
      <c r="O486" s="205">
        <f t="shared" si="137"/>
        <v>0</v>
      </c>
      <c r="P486" s="206">
        <f t="shared" si="138"/>
        <v>1.1399999999999999</v>
      </c>
      <c r="Q486" s="206">
        <f t="shared" si="139"/>
        <v>0</v>
      </c>
      <c r="R48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162890</v>
      </c>
      <c r="T48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162890</v>
      </c>
      <c r="U48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86" s="209">
        <f t="shared" si="140"/>
        <v>0</v>
      </c>
      <c r="W486" s="209">
        <f t="shared" si="141"/>
        <v>0</v>
      </c>
      <c r="X486" s="209">
        <f t="shared" si="142"/>
        <v>1.1399999999999999</v>
      </c>
      <c r="Y486" s="209">
        <f t="shared" si="143"/>
        <v>0</v>
      </c>
      <c r="Z486" s="209">
        <f t="shared" si="144"/>
        <v>0</v>
      </c>
      <c r="AA486" s="205">
        <f t="shared" si="145"/>
        <v>0</v>
      </c>
      <c r="AB486" s="209">
        <f t="shared" si="146"/>
        <v>0</v>
      </c>
      <c r="AC486" s="205">
        <f t="shared" si="147"/>
        <v>0</v>
      </c>
      <c r="AD486" s="210">
        <f t="shared" si="148"/>
        <v>2.734722222223354</v>
      </c>
      <c r="AE486" s="210">
        <f t="shared" si="149"/>
        <v>2.734722222223354</v>
      </c>
      <c r="AF486" s="210">
        <f t="shared" si="150"/>
        <v>0</v>
      </c>
      <c r="AG486" s="210">
        <f t="shared" si="151"/>
        <v>0</v>
      </c>
    </row>
    <row r="487" spans="2:33" ht="15" customHeight="1" x14ac:dyDescent="0.3">
      <c r="B487" s="196" t="s">
        <v>7</v>
      </c>
      <c r="C487" s="197" t="s">
        <v>15</v>
      </c>
      <c r="D487" s="198" t="str">
        <f t="shared" si="133"/>
        <v>C</v>
      </c>
      <c r="E487" s="199">
        <v>43881.541666666664</v>
      </c>
      <c r="F487" s="200" t="s">
        <v>120</v>
      </c>
      <c r="G487" s="201">
        <v>1.6275599999999999</v>
      </c>
      <c r="H487" s="201">
        <v>1.6206100000000001</v>
      </c>
      <c r="I487" s="202">
        <f t="shared" si="134"/>
        <v>6.9499999999997897E-3</v>
      </c>
      <c r="J487" s="201">
        <v>1.70173</v>
      </c>
      <c r="K487" s="199">
        <v>43889.73333333333</v>
      </c>
      <c r="L487" s="201">
        <v>1.70173</v>
      </c>
      <c r="M487" s="203">
        <f t="shared" si="135"/>
        <v>7.4200000000000002E-2</v>
      </c>
      <c r="N487" s="204">
        <f t="shared" si="136"/>
        <v>10.68</v>
      </c>
      <c r="O487" s="205">
        <f t="shared" si="137"/>
        <v>0</v>
      </c>
      <c r="P487" s="206">
        <f t="shared" si="138"/>
        <v>10.68</v>
      </c>
      <c r="Q487" s="206">
        <f t="shared" si="139"/>
        <v>0</v>
      </c>
      <c r="R48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161750</v>
      </c>
      <c r="T48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161750</v>
      </c>
      <c r="U48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87" s="209">
        <f t="shared" si="140"/>
        <v>10.68</v>
      </c>
      <c r="W487" s="209">
        <f t="shared" si="141"/>
        <v>0</v>
      </c>
      <c r="X487" s="209">
        <f t="shared" si="142"/>
        <v>0</v>
      </c>
      <c r="Y487" s="209">
        <f t="shared" si="143"/>
        <v>0</v>
      </c>
      <c r="Z487" s="209">
        <f t="shared" si="144"/>
        <v>0</v>
      </c>
      <c r="AA487" s="205">
        <f t="shared" si="145"/>
        <v>0</v>
      </c>
      <c r="AB487" s="209">
        <f t="shared" si="146"/>
        <v>0</v>
      </c>
      <c r="AC487" s="205">
        <f t="shared" si="147"/>
        <v>0</v>
      </c>
      <c r="AD487" s="210">
        <f t="shared" si="148"/>
        <v>8.1916666666656965</v>
      </c>
      <c r="AE487" s="210">
        <f t="shared" si="149"/>
        <v>8.1916666666656965</v>
      </c>
      <c r="AF487" s="210">
        <f t="shared" si="150"/>
        <v>0</v>
      </c>
      <c r="AG487" s="210">
        <f t="shared" si="151"/>
        <v>0</v>
      </c>
    </row>
    <row r="488" spans="2:33" ht="15" customHeight="1" x14ac:dyDescent="0.3">
      <c r="B488" s="196" t="s">
        <v>7</v>
      </c>
      <c r="C488" s="197" t="s">
        <v>13</v>
      </c>
      <c r="D488" s="198" t="str">
        <f t="shared" si="133"/>
        <v>C</v>
      </c>
      <c r="E488" s="199">
        <v>43881.166666666664</v>
      </c>
      <c r="F488" s="200" t="s">
        <v>121</v>
      </c>
      <c r="G488" s="201">
        <v>0.66471999999999998</v>
      </c>
      <c r="H488" s="201">
        <v>0.66742999999999997</v>
      </c>
      <c r="I488" s="202">
        <f t="shared" si="134"/>
        <v>2.7099999999999902E-3</v>
      </c>
      <c r="J488" s="201">
        <v>0.65027000000000001</v>
      </c>
      <c r="K488" s="199">
        <v>43889.603472222225</v>
      </c>
      <c r="L488" s="201">
        <v>0.65027000000000001</v>
      </c>
      <c r="M488" s="203">
        <f t="shared" si="135"/>
        <v>1.4500000000000001E-2</v>
      </c>
      <c r="N488" s="204">
        <f t="shared" si="136"/>
        <v>5.35</v>
      </c>
      <c r="O488" s="205">
        <f t="shared" si="137"/>
        <v>0</v>
      </c>
      <c r="P488" s="206">
        <f t="shared" si="138"/>
        <v>5.35</v>
      </c>
      <c r="Q488" s="206">
        <f t="shared" si="139"/>
        <v>0</v>
      </c>
      <c r="R48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151070</v>
      </c>
      <c r="T48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151070</v>
      </c>
      <c r="U48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88" s="209">
        <f t="shared" si="140"/>
        <v>5.35</v>
      </c>
      <c r="W488" s="209">
        <f t="shared" si="141"/>
        <v>0</v>
      </c>
      <c r="X488" s="209">
        <f t="shared" si="142"/>
        <v>0</v>
      </c>
      <c r="Y488" s="209">
        <f t="shared" si="143"/>
        <v>0</v>
      </c>
      <c r="Z488" s="209">
        <f t="shared" si="144"/>
        <v>0</v>
      </c>
      <c r="AA488" s="205">
        <f t="shared" si="145"/>
        <v>0</v>
      </c>
      <c r="AB488" s="209">
        <f t="shared" si="146"/>
        <v>0</v>
      </c>
      <c r="AC488" s="205">
        <f t="shared" si="147"/>
        <v>0</v>
      </c>
      <c r="AD488" s="210">
        <f t="shared" si="148"/>
        <v>8.4368055555605679</v>
      </c>
      <c r="AE488" s="210">
        <f t="shared" si="149"/>
        <v>8.4368055555605679</v>
      </c>
      <c r="AF488" s="210">
        <f t="shared" si="150"/>
        <v>0</v>
      </c>
      <c r="AG488" s="210">
        <f t="shared" si="151"/>
        <v>0</v>
      </c>
    </row>
    <row r="489" spans="2:33" ht="15" customHeight="1" x14ac:dyDescent="0.3">
      <c r="B489" s="196" t="s">
        <v>7</v>
      </c>
      <c r="C489" s="197" t="s">
        <v>15</v>
      </c>
      <c r="D489" s="198" t="str">
        <f t="shared" si="133"/>
        <v>C</v>
      </c>
      <c r="E489" s="199">
        <v>43888.5</v>
      </c>
      <c r="F489" s="200" t="s">
        <v>118</v>
      </c>
      <c r="G489" s="201">
        <v>120.47799999999999</v>
      </c>
      <c r="H489" s="201">
        <v>119.46899999999999</v>
      </c>
      <c r="I489" s="202">
        <f t="shared" si="134"/>
        <v>1.0090000000000003</v>
      </c>
      <c r="J489" s="201">
        <v>124.514</v>
      </c>
      <c r="K489" s="199">
        <v>43889.226388888892</v>
      </c>
      <c r="L489" s="201">
        <v>119.947</v>
      </c>
      <c r="M489" s="203">
        <f t="shared" si="135"/>
        <v>-0.53100000000000003</v>
      </c>
      <c r="N489" s="204">
        <f t="shared" si="136"/>
        <v>-0.53</v>
      </c>
      <c r="O489" s="205">
        <f t="shared" si="137"/>
        <v>0</v>
      </c>
      <c r="P489" s="206">
        <f t="shared" si="138"/>
        <v>0</v>
      </c>
      <c r="Q489" s="206">
        <f t="shared" si="139"/>
        <v>-0.53</v>
      </c>
      <c r="R48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145720</v>
      </c>
      <c r="T48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146250</v>
      </c>
      <c r="U489" s="208">
        <f ca="1">IF(Tabla33610673[[#This Row],[Equity]]&lt;Tabla33610673[[#This Row],[Equity Peak]],(Tabla33610673[[#This Row],[Equity Peak]]-Tabla33610673[[#This Row],[Equity]])/Tabla33610673[[#This Row],[Equity Peak]],"")</f>
        <v>3.6239316239316238E-3</v>
      </c>
      <c r="V489" s="209">
        <f t="shared" si="140"/>
        <v>-0.53</v>
      </c>
      <c r="W489" s="209">
        <f t="shared" si="141"/>
        <v>0</v>
      </c>
      <c r="X489" s="209">
        <f t="shared" si="142"/>
        <v>0</v>
      </c>
      <c r="Y489" s="209">
        <f t="shared" si="143"/>
        <v>0</v>
      </c>
      <c r="Z489" s="209">
        <f t="shared" si="144"/>
        <v>0</v>
      </c>
      <c r="AA489" s="205">
        <f t="shared" si="145"/>
        <v>0</v>
      </c>
      <c r="AB489" s="209">
        <f t="shared" si="146"/>
        <v>0</v>
      </c>
      <c r="AC489" s="205">
        <f t="shared" si="147"/>
        <v>0</v>
      </c>
      <c r="AD489" s="210">
        <f t="shared" si="148"/>
        <v>0.72638888889196096</v>
      </c>
      <c r="AE489" s="210">
        <f t="shared" si="149"/>
        <v>0</v>
      </c>
      <c r="AF489" s="210">
        <f t="shared" si="150"/>
        <v>0.72638888889196096</v>
      </c>
      <c r="AG489" s="210">
        <f t="shared" si="151"/>
        <v>0</v>
      </c>
    </row>
    <row r="490" spans="2:33" ht="15" customHeight="1" x14ac:dyDescent="0.3">
      <c r="B490" s="196" t="s">
        <v>5</v>
      </c>
      <c r="C490" s="197" t="s">
        <v>13</v>
      </c>
      <c r="D490" s="198" t="str">
        <f t="shared" si="133"/>
        <v>C</v>
      </c>
      <c r="E490" s="199">
        <v>43886.833333333336</v>
      </c>
      <c r="F490" s="200" t="s">
        <v>93</v>
      </c>
      <c r="G490" s="201">
        <v>3171.49</v>
      </c>
      <c r="H490" s="201">
        <v>3220.65</v>
      </c>
      <c r="I490" s="202">
        <f t="shared" si="134"/>
        <v>49.160000000000309</v>
      </c>
      <c r="J490" s="201">
        <v>3040.4</v>
      </c>
      <c r="K490" s="199">
        <v>43888.693055555559</v>
      </c>
      <c r="L490" s="201">
        <v>3040.4</v>
      </c>
      <c r="M490" s="203">
        <f t="shared" si="135"/>
        <v>131.09</v>
      </c>
      <c r="N490" s="204">
        <f t="shared" si="136"/>
        <v>2.67</v>
      </c>
      <c r="O490" s="205">
        <f t="shared" si="137"/>
        <v>0</v>
      </c>
      <c r="P490" s="206">
        <f t="shared" si="138"/>
        <v>2.67</v>
      </c>
      <c r="Q490" s="206">
        <f t="shared" si="139"/>
        <v>0</v>
      </c>
      <c r="R49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146250</v>
      </c>
      <c r="T49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146250</v>
      </c>
      <c r="U49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90" s="209">
        <f t="shared" si="140"/>
        <v>0</v>
      </c>
      <c r="W490" s="209">
        <f t="shared" si="141"/>
        <v>0</v>
      </c>
      <c r="X490" s="209">
        <f t="shared" si="142"/>
        <v>0</v>
      </c>
      <c r="Y490" s="209">
        <f t="shared" si="143"/>
        <v>0</v>
      </c>
      <c r="Z490" s="209">
        <f t="shared" si="144"/>
        <v>2.67</v>
      </c>
      <c r="AA490" s="205">
        <f t="shared" si="145"/>
        <v>0</v>
      </c>
      <c r="AB490" s="209">
        <f t="shared" si="146"/>
        <v>0</v>
      </c>
      <c r="AC490" s="205">
        <f t="shared" si="147"/>
        <v>0</v>
      </c>
      <c r="AD490" s="210">
        <f t="shared" si="148"/>
        <v>1.859722222223354</v>
      </c>
      <c r="AE490" s="210">
        <f t="shared" si="149"/>
        <v>1.859722222223354</v>
      </c>
      <c r="AF490" s="210">
        <f t="shared" si="150"/>
        <v>0</v>
      </c>
      <c r="AG490" s="210">
        <f t="shared" si="151"/>
        <v>0</v>
      </c>
    </row>
    <row r="491" spans="2:33" ht="15" customHeight="1" x14ac:dyDescent="0.3">
      <c r="B491" s="196" t="s">
        <v>7</v>
      </c>
      <c r="C491" s="197" t="s">
        <v>13</v>
      </c>
      <c r="D491" s="198" t="str">
        <f t="shared" si="133"/>
        <v>C</v>
      </c>
      <c r="E491" s="199">
        <v>43886.5</v>
      </c>
      <c r="F491" s="200" t="s">
        <v>118</v>
      </c>
      <c r="G491" s="201">
        <v>119.76900000000001</v>
      </c>
      <c r="H491" s="201">
        <v>120.765</v>
      </c>
      <c r="I491" s="202">
        <f t="shared" si="134"/>
        <v>0.99599999999999511</v>
      </c>
      <c r="J491" s="201">
        <v>115.78400000000001</v>
      </c>
      <c r="K491" s="199">
        <v>43888.5</v>
      </c>
      <c r="L491" s="201">
        <v>120.47799999999999</v>
      </c>
      <c r="M491" s="203">
        <f t="shared" si="135"/>
        <v>-0.70899999999999996</v>
      </c>
      <c r="N491" s="204">
        <f t="shared" si="136"/>
        <v>-0.71</v>
      </c>
      <c r="O491" s="205">
        <f t="shared" si="137"/>
        <v>0</v>
      </c>
      <c r="P491" s="206">
        <f t="shared" si="138"/>
        <v>0</v>
      </c>
      <c r="Q491" s="206">
        <f t="shared" si="139"/>
        <v>-0.71</v>
      </c>
      <c r="R49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143580</v>
      </c>
      <c r="T49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144290</v>
      </c>
      <c r="U491" s="208">
        <f ca="1">IF(Tabla33610673[[#This Row],[Equity]]&lt;Tabla33610673[[#This Row],[Equity Peak]],(Tabla33610673[[#This Row],[Equity Peak]]-Tabla33610673[[#This Row],[Equity]])/Tabla33610673[[#This Row],[Equity Peak]],"")</f>
        <v>4.9206459214082747E-3</v>
      </c>
      <c r="V491" s="209">
        <f t="shared" si="140"/>
        <v>-0.71</v>
      </c>
      <c r="W491" s="209">
        <f t="shared" si="141"/>
        <v>0</v>
      </c>
      <c r="X491" s="209">
        <f t="shared" si="142"/>
        <v>0</v>
      </c>
      <c r="Y491" s="209">
        <f t="shared" si="143"/>
        <v>0</v>
      </c>
      <c r="Z491" s="209">
        <f t="shared" si="144"/>
        <v>0</v>
      </c>
      <c r="AA491" s="205">
        <f t="shared" si="145"/>
        <v>0</v>
      </c>
      <c r="AB491" s="209">
        <f t="shared" si="146"/>
        <v>0</v>
      </c>
      <c r="AC491" s="205">
        <f t="shared" si="147"/>
        <v>0</v>
      </c>
      <c r="AD491" s="210">
        <f t="shared" si="148"/>
        <v>2</v>
      </c>
      <c r="AE491" s="210">
        <f t="shared" si="149"/>
        <v>0</v>
      </c>
      <c r="AF491" s="210">
        <f t="shared" si="150"/>
        <v>2</v>
      </c>
      <c r="AG491" s="210">
        <f t="shared" si="151"/>
        <v>0</v>
      </c>
    </row>
    <row r="492" spans="2:33" ht="15" customHeight="1" x14ac:dyDescent="0.3">
      <c r="B492" s="196" t="s">
        <v>5</v>
      </c>
      <c r="C492" s="197" t="s">
        <v>13</v>
      </c>
      <c r="D492" s="198" t="str">
        <f t="shared" si="133"/>
        <v>C</v>
      </c>
      <c r="E492" s="199">
        <v>43885.541666666664</v>
      </c>
      <c r="F492" s="200" t="s">
        <v>95</v>
      </c>
      <c r="G492" s="201">
        <v>28179.4</v>
      </c>
      <c r="H492" s="201">
        <v>28334.11</v>
      </c>
      <c r="I492" s="202">
        <f t="shared" si="134"/>
        <v>154.70999999999913</v>
      </c>
      <c r="J492" s="201">
        <v>27560.560000000001</v>
      </c>
      <c r="K492" s="199">
        <v>43886.773611111108</v>
      </c>
      <c r="L492" s="201">
        <v>27560.560000000001</v>
      </c>
      <c r="M492" s="203">
        <f t="shared" si="135"/>
        <v>618.84</v>
      </c>
      <c r="N492" s="204">
        <f t="shared" si="136"/>
        <v>4</v>
      </c>
      <c r="O492" s="205">
        <f t="shared" si="137"/>
        <v>0</v>
      </c>
      <c r="P492" s="206">
        <f t="shared" si="138"/>
        <v>4</v>
      </c>
      <c r="Q492" s="206">
        <f t="shared" si="139"/>
        <v>0</v>
      </c>
      <c r="R49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144290</v>
      </c>
      <c r="T49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144290</v>
      </c>
      <c r="U49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92" s="209">
        <f t="shared" si="140"/>
        <v>0</v>
      </c>
      <c r="W492" s="209">
        <f t="shared" si="141"/>
        <v>0</v>
      </c>
      <c r="X492" s="209">
        <f t="shared" si="142"/>
        <v>0</v>
      </c>
      <c r="Y492" s="209">
        <f t="shared" si="143"/>
        <v>0</v>
      </c>
      <c r="Z492" s="209">
        <f t="shared" si="144"/>
        <v>4</v>
      </c>
      <c r="AA492" s="205">
        <f t="shared" si="145"/>
        <v>0</v>
      </c>
      <c r="AB492" s="209">
        <f t="shared" si="146"/>
        <v>0</v>
      </c>
      <c r="AC492" s="205">
        <f t="shared" si="147"/>
        <v>0</v>
      </c>
      <c r="AD492" s="210">
        <f t="shared" si="148"/>
        <v>1.2319444444437977</v>
      </c>
      <c r="AE492" s="210">
        <f t="shared" si="149"/>
        <v>1.2319444444437977</v>
      </c>
      <c r="AF492" s="210">
        <f t="shared" si="150"/>
        <v>0</v>
      </c>
      <c r="AG492" s="210">
        <f t="shared" si="151"/>
        <v>0</v>
      </c>
    </row>
    <row r="493" spans="2:33" ht="15" customHeight="1" x14ac:dyDescent="0.3">
      <c r="B493" s="196" t="s">
        <v>19</v>
      </c>
      <c r="C493" s="197" t="s">
        <v>15</v>
      </c>
      <c r="D493" s="198" t="str">
        <f t="shared" si="133"/>
        <v>C</v>
      </c>
      <c r="E493" s="199">
        <v>43879.541666666664</v>
      </c>
      <c r="F493" s="200" t="s">
        <v>89</v>
      </c>
      <c r="G493" s="201">
        <v>17.879000000000001</v>
      </c>
      <c r="H493" s="201">
        <v>17.600999999999999</v>
      </c>
      <c r="I493" s="202">
        <f t="shared" si="134"/>
        <v>0.27800000000000225</v>
      </c>
      <c r="J493" s="201">
        <v>19.213999999999999</v>
      </c>
      <c r="K493" s="199">
        <v>43885.900694444441</v>
      </c>
      <c r="L493" s="201">
        <v>18.655000000000001</v>
      </c>
      <c r="M493" s="203">
        <f t="shared" si="135"/>
        <v>0.77600000000000002</v>
      </c>
      <c r="N493" s="204">
        <f t="shared" si="136"/>
        <v>2.79</v>
      </c>
      <c r="O493" s="205">
        <f t="shared" si="137"/>
        <v>0</v>
      </c>
      <c r="P493" s="206">
        <f t="shared" si="138"/>
        <v>2.79</v>
      </c>
      <c r="Q493" s="206">
        <f t="shared" si="139"/>
        <v>0</v>
      </c>
      <c r="R49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140290</v>
      </c>
      <c r="T49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140290</v>
      </c>
      <c r="U49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93" s="209">
        <f t="shared" si="140"/>
        <v>0</v>
      </c>
      <c r="W493" s="209">
        <f t="shared" si="141"/>
        <v>0</v>
      </c>
      <c r="X493" s="209">
        <f t="shared" si="142"/>
        <v>2.79</v>
      </c>
      <c r="Y493" s="209">
        <f t="shared" si="143"/>
        <v>0</v>
      </c>
      <c r="Z493" s="209">
        <f t="shared" si="144"/>
        <v>0</v>
      </c>
      <c r="AA493" s="205">
        <f t="shared" si="145"/>
        <v>0</v>
      </c>
      <c r="AB493" s="209">
        <f t="shared" si="146"/>
        <v>0</v>
      </c>
      <c r="AC493" s="205">
        <f t="shared" si="147"/>
        <v>0</v>
      </c>
      <c r="AD493" s="210">
        <f t="shared" si="148"/>
        <v>6.359027777776646</v>
      </c>
      <c r="AE493" s="210">
        <f t="shared" si="149"/>
        <v>6.359027777776646</v>
      </c>
      <c r="AF493" s="210">
        <f t="shared" si="150"/>
        <v>0</v>
      </c>
      <c r="AG493" s="210">
        <f t="shared" si="151"/>
        <v>0</v>
      </c>
    </row>
    <row r="494" spans="2:33" ht="15" customHeight="1" x14ac:dyDescent="0.3">
      <c r="B494" s="196" t="s">
        <v>7</v>
      </c>
      <c r="C494" s="197" t="s">
        <v>15</v>
      </c>
      <c r="D494" s="198" t="str">
        <f t="shared" si="133"/>
        <v>C</v>
      </c>
      <c r="E494" s="199">
        <v>43881.541666666664</v>
      </c>
      <c r="F494" s="200" t="s">
        <v>118</v>
      </c>
      <c r="G494" s="201">
        <v>120.94799999999999</v>
      </c>
      <c r="H494" s="201">
        <v>120.026</v>
      </c>
      <c r="I494" s="202">
        <f t="shared" si="134"/>
        <v>0.92199999999999704</v>
      </c>
      <c r="J494" s="201">
        <v>124.63500000000001</v>
      </c>
      <c r="K494" s="199">
        <v>43885.686805555553</v>
      </c>
      <c r="L494" s="201">
        <v>120.151</v>
      </c>
      <c r="M494" s="203">
        <f t="shared" si="135"/>
        <v>-0.79700000000000004</v>
      </c>
      <c r="N494" s="204">
        <f t="shared" si="136"/>
        <v>-0.86</v>
      </c>
      <c r="O494" s="205">
        <f t="shared" si="137"/>
        <v>0</v>
      </c>
      <c r="P494" s="206">
        <f t="shared" si="138"/>
        <v>0</v>
      </c>
      <c r="Q494" s="206">
        <f t="shared" si="139"/>
        <v>-0.86</v>
      </c>
      <c r="R49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137500</v>
      </c>
      <c r="T49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138360</v>
      </c>
      <c r="U494" s="208">
        <f ca="1">IF(Tabla33610673[[#This Row],[Equity]]&lt;Tabla33610673[[#This Row],[Equity Peak]],(Tabla33610673[[#This Row],[Equity Peak]]-Tabla33610673[[#This Row],[Equity]])/Tabla33610673[[#This Row],[Equity Peak]],"")</f>
        <v>6.2156692685747328E-3</v>
      </c>
      <c r="V494" s="209">
        <f t="shared" si="140"/>
        <v>-0.86</v>
      </c>
      <c r="W494" s="209">
        <f t="shared" si="141"/>
        <v>0</v>
      </c>
      <c r="X494" s="209">
        <f t="shared" si="142"/>
        <v>0</v>
      </c>
      <c r="Y494" s="209">
        <f t="shared" si="143"/>
        <v>0</v>
      </c>
      <c r="Z494" s="209">
        <f t="shared" si="144"/>
        <v>0</v>
      </c>
      <c r="AA494" s="205">
        <f t="shared" si="145"/>
        <v>0</v>
      </c>
      <c r="AB494" s="209">
        <f t="shared" si="146"/>
        <v>0</v>
      </c>
      <c r="AC494" s="205">
        <f t="shared" si="147"/>
        <v>0</v>
      </c>
      <c r="AD494" s="210">
        <f t="shared" si="148"/>
        <v>4.1451388888890506</v>
      </c>
      <c r="AE494" s="210">
        <f t="shared" si="149"/>
        <v>0</v>
      </c>
      <c r="AF494" s="210">
        <f t="shared" si="150"/>
        <v>4.1451388888890506</v>
      </c>
      <c r="AG494" s="210">
        <f t="shared" si="151"/>
        <v>0</v>
      </c>
    </row>
    <row r="495" spans="2:33" ht="15" customHeight="1" x14ac:dyDescent="0.3">
      <c r="B495" s="196" t="s">
        <v>5</v>
      </c>
      <c r="C495" s="197" t="s">
        <v>13</v>
      </c>
      <c r="D495" s="198" t="str">
        <f t="shared" si="133"/>
        <v>C</v>
      </c>
      <c r="E495" s="199">
        <v>43882.166666666664</v>
      </c>
      <c r="F495" s="200" t="s">
        <v>94</v>
      </c>
      <c r="G495" s="201">
        <v>7439.39</v>
      </c>
      <c r="H495" s="201">
        <v>7493.55</v>
      </c>
      <c r="I495" s="202">
        <f t="shared" si="134"/>
        <v>54.159999999999854</v>
      </c>
      <c r="J495" s="201">
        <v>7168.6</v>
      </c>
      <c r="K495" s="199">
        <v>43885.48333333333</v>
      </c>
      <c r="L495" s="201">
        <v>7168.6</v>
      </c>
      <c r="M495" s="203">
        <f t="shared" si="135"/>
        <v>270.79000000000002</v>
      </c>
      <c r="N495" s="204">
        <f t="shared" si="136"/>
        <v>5</v>
      </c>
      <c r="O495" s="205">
        <f t="shared" si="137"/>
        <v>0</v>
      </c>
      <c r="P495" s="206">
        <f t="shared" si="138"/>
        <v>5</v>
      </c>
      <c r="Q495" s="206">
        <f t="shared" si="139"/>
        <v>0</v>
      </c>
      <c r="R49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138360</v>
      </c>
      <c r="T49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138360</v>
      </c>
      <c r="U49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95" s="209">
        <f t="shared" si="140"/>
        <v>0</v>
      </c>
      <c r="W495" s="209">
        <f t="shared" si="141"/>
        <v>0</v>
      </c>
      <c r="X495" s="209">
        <f t="shared" si="142"/>
        <v>0</v>
      </c>
      <c r="Y495" s="209">
        <f t="shared" si="143"/>
        <v>0</v>
      </c>
      <c r="Z495" s="209">
        <f t="shared" si="144"/>
        <v>5</v>
      </c>
      <c r="AA495" s="205">
        <f t="shared" si="145"/>
        <v>0</v>
      </c>
      <c r="AB495" s="209">
        <f t="shared" si="146"/>
        <v>0</v>
      </c>
      <c r="AC495" s="205">
        <f t="shared" si="147"/>
        <v>0</v>
      </c>
      <c r="AD495" s="210">
        <f t="shared" si="148"/>
        <v>3.3166666666656965</v>
      </c>
      <c r="AE495" s="210">
        <f t="shared" si="149"/>
        <v>3.3166666666656965</v>
      </c>
      <c r="AF495" s="210">
        <f t="shared" si="150"/>
        <v>0</v>
      </c>
      <c r="AG495" s="210">
        <f t="shared" si="151"/>
        <v>0</v>
      </c>
    </row>
    <row r="496" spans="2:33" ht="15" customHeight="1" x14ac:dyDescent="0.3">
      <c r="B496" s="196" t="s">
        <v>19</v>
      </c>
      <c r="C496" s="197" t="s">
        <v>15</v>
      </c>
      <c r="D496" s="198" t="str">
        <f t="shared" si="133"/>
        <v>C</v>
      </c>
      <c r="E496" s="199">
        <v>43868.708333333336</v>
      </c>
      <c r="F496" s="200" t="s">
        <v>88</v>
      </c>
      <c r="G496" s="201">
        <v>1572.88</v>
      </c>
      <c r="H496" s="201">
        <v>1555.87</v>
      </c>
      <c r="I496" s="202">
        <f t="shared" si="134"/>
        <v>17.010000000000218</v>
      </c>
      <c r="J496" s="201">
        <v>1681.71</v>
      </c>
      <c r="K496" s="199">
        <v>43885.436805555553</v>
      </c>
      <c r="L496" s="201">
        <v>1681.71</v>
      </c>
      <c r="M496" s="203">
        <f t="shared" si="135"/>
        <v>108.83</v>
      </c>
      <c r="N496" s="204">
        <f t="shared" si="136"/>
        <v>6.4</v>
      </c>
      <c r="O496" s="205">
        <f t="shared" si="137"/>
        <v>0</v>
      </c>
      <c r="P496" s="206">
        <f t="shared" si="138"/>
        <v>6.4</v>
      </c>
      <c r="Q496" s="206">
        <f t="shared" si="139"/>
        <v>0</v>
      </c>
      <c r="R49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133360</v>
      </c>
      <c r="T49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133360</v>
      </c>
      <c r="U49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96" s="209">
        <f t="shared" si="140"/>
        <v>0</v>
      </c>
      <c r="W496" s="209">
        <f t="shared" si="141"/>
        <v>0</v>
      </c>
      <c r="X496" s="209">
        <f t="shared" si="142"/>
        <v>6.4</v>
      </c>
      <c r="Y496" s="209">
        <f t="shared" si="143"/>
        <v>0</v>
      </c>
      <c r="Z496" s="209">
        <f t="shared" si="144"/>
        <v>0</v>
      </c>
      <c r="AA496" s="205">
        <f t="shared" si="145"/>
        <v>0</v>
      </c>
      <c r="AB496" s="209">
        <f t="shared" si="146"/>
        <v>0</v>
      </c>
      <c r="AC496" s="205">
        <f t="shared" si="147"/>
        <v>0</v>
      </c>
      <c r="AD496" s="210">
        <f t="shared" si="148"/>
        <v>16.728472222217533</v>
      </c>
      <c r="AE496" s="210">
        <f t="shared" si="149"/>
        <v>16.728472222217533</v>
      </c>
      <c r="AF496" s="210">
        <f t="shared" si="150"/>
        <v>0</v>
      </c>
      <c r="AG496" s="210">
        <f t="shared" si="151"/>
        <v>0</v>
      </c>
    </row>
    <row r="497" spans="2:33" ht="15" customHeight="1" x14ac:dyDescent="0.3">
      <c r="B497" s="196" t="s">
        <v>5</v>
      </c>
      <c r="C497" s="197" t="s">
        <v>15</v>
      </c>
      <c r="D497" s="198" t="str">
        <f t="shared" si="133"/>
        <v>C</v>
      </c>
      <c r="E497" s="199">
        <v>43867.5</v>
      </c>
      <c r="F497" s="200" t="s">
        <v>91</v>
      </c>
      <c r="G497" s="201">
        <v>13558.17</v>
      </c>
      <c r="H497" s="201">
        <v>13283.59</v>
      </c>
      <c r="I497" s="202">
        <f t="shared" si="134"/>
        <v>274.57999999999993</v>
      </c>
      <c r="J497" s="201">
        <v>14656.48</v>
      </c>
      <c r="K497" s="199">
        <v>43882.767361111109</v>
      </c>
      <c r="L497" s="201">
        <v>13554.75</v>
      </c>
      <c r="M497" s="203">
        <f t="shared" si="135"/>
        <v>-3.42</v>
      </c>
      <c r="N497" s="204">
        <f t="shared" si="136"/>
        <v>-0.01</v>
      </c>
      <c r="O497" s="205">
        <f t="shared" si="137"/>
        <v>0</v>
      </c>
      <c r="P497" s="206">
        <f t="shared" si="138"/>
        <v>0</v>
      </c>
      <c r="Q497" s="206">
        <f t="shared" si="139"/>
        <v>-0.01</v>
      </c>
      <c r="R49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126960</v>
      </c>
      <c r="T49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127840</v>
      </c>
      <c r="U497" s="208">
        <f ca="1">IF(Tabla33610673[[#This Row],[Equity]]&lt;Tabla33610673[[#This Row],[Equity Peak]],(Tabla33610673[[#This Row],[Equity Peak]]-Tabla33610673[[#This Row],[Equity]])/Tabla33610673[[#This Row],[Equity Peak]],"")</f>
        <v>6.8836045056320403E-3</v>
      </c>
      <c r="V497" s="209">
        <f t="shared" si="140"/>
        <v>0</v>
      </c>
      <c r="W497" s="209">
        <f t="shared" si="141"/>
        <v>0</v>
      </c>
      <c r="X497" s="209">
        <f t="shared" si="142"/>
        <v>0</v>
      </c>
      <c r="Y497" s="209">
        <f t="shared" si="143"/>
        <v>0</v>
      </c>
      <c r="Z497" s="209">
        <f t="shared" si="144"/>
        <v>-0.01</v>
      </c>
      <c r="AA497" s="205">
        <f t="shared" si="145"/>
        <v>0</v>
      </c>
      <c r="AB497" s="209">
        <f t="shared" si="146"/>
        <v>0</v>
      </c>
      <c r="AC497" s="205">
        <f t="shared" si="147"/>
        <v>0</v>
      </c>
      <c r="AD497" s="210">
        <f t="shared" si="148"/>
        <v>15.267361111109494</v>
      </c>
      <c r="AE497" s="210">
        <f t="shared" si="149"/>
        <v>0</v>
      </c>
      <c r="AF497" s="210">
        <f t="shared" si="150"/>
        <v>15.267361111109494</v>
      </c>
      <c r="AG497" s="210">
        <f t="shared" si="151"/>
        <v>0</v>
      </c>
    </row>
    <row r="498" spans="2:33" ht="15" customHeight="1" x14ac:dyDescent="0.3">
      <c r="B498" s="196" t="s">
        <v>7</v>
      </c>
      <c r="C498" s="197" t="s">
        <v>13</v>
      </c>
      <c r="D498" s="198" t="str">
        <f t="shared" si="133"/>
        <v>C</v>
      </c>
      <c r="E498" s="199">
        <v>43881.017361111109</v>
      </c>
      <c r="F498" s="200" t="s">
        <v>114</v>
      </c>
      <c r="G498" s="201">
        <v>1.2913699999999999</v>
      </c>
      <c r="H498" s="201">
        <v>1.2981799999999999</v>
      </c>
      <c r="I498" s="202">
        <f t="shared" si="134"/>
        <v>6.8099999999999827E-3</v>
      </c>
      <c r="J498" s="201">
        <v>1.26413</v>
      </c>
      <c r="K498" s="199">
        <v>43882.734722222223</v>
      </c>
      <c r="L498" s="201">
        <v>1.2972900000000001</v>
      </c>
      <c r="M498" s="203">
        <f t="shared" si="135"/>
        <v>-5.8999999999999999E-3</v>
      </c>
      <c r="N498" s="204">
        <f t="shared" si="136"/>
        <v>-0.87</v>
      </c>
      <c r="O498" s="205">
        <f t="shared" si="137"/>
        <v>0</v>
      </c>
      <c r="P498" s="206">
        <f t="shared" si="138"/>
        <v>0</v>
      </c>
      <c r="Q498" s="206">
        <f t="shared" si="139"/>
        <v>-0.87</v>
      </c>
      <c r="R49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126970</v>
      </c>
      <c r="T49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127840</v>
      </c>
      <c r="U498" s="208">
        <f ca="1">IF(Tabla33610673[[#This Row],[Equity]]&lt;Tabla33610673[[#This Row],[Equity Peak]],(Tabla33610673[[#This Row],[Equity Peak]]-Tabla33610673[[#This Row],[Equity]])/Tabla33610673[[#This Row],[Equity Peak]],"")</f>
        <v>6.8053817271589486E-3</v>
      </c>
      <c r="V498" s="209">
        <f t="shared" si="140"/>
        <v>-0.87</v>
      </c>
      <c r="W498" s="209">
        <f t="shared" si="141"/>
        <v>0</v>
      </c>
      <c r="X498" s="209">
        <f t="shared" si="142"/>
        <v>0</v>
      </c>
      <c r="Y498" s="209">
        <f t="shared" si="143"/>
        <v>0</v>
      </c>
      <c r="Z498" s="209">
        <f t="shared" si="144"/>
        <v>0</v>
      </c>
      <c r="AA498" s="205">
        <f t="shared" si="145"/>
        <v>0</v>
      </c>
      <c r="AB498" s="209">
        <f t="shared" si="146"/>
        <v>0</v>
      </c>
      <c r="AC498" s="205">
        <f t="shared" si="147"/>
        <v>0</v>
      </c>
      <c r="AD498" s="210">
        <f t="shared" si="148"/>
        <v>1.7173611111138598</v>
      </c>
      <c r="AE498" s="210">
        <f t="shared" si="149"/>
        <v>0</v>
      </c>
      <c r="AF498" s="210">
        <f t="shared" si="150"/>
        <v>1.7173611111138598</v>
      </c>
      <c r="AG498" s="210">
        <f t="shared" si="151"/>
        <v>0</v>
      </c>
    </row>
    <row r="499" spans="2:33" ht="15" customHeight="1" x14ac:dyDescent="0.3">
      <c r="B499" s="196" t="s">
        <v>7</v>
      </c>
      <c r="C499" s="197" t="s">
        <v>13</v>
      </c>
      <c r="D499" s="198" t="str">
        <f t="shared" si="133"/>
        <v>C</v>
      </c>
      <c r="E499" s="199">
        <v>43867.833333333336</v>
      </c>
      <c r="F499" s="200" t="s">
        <v>117</v>
      </c>
      <c r="G499" s="201">
        <v>1.09751</v>
      </c>
      <c r="H499" s="201">
        <v>1.1012299999999999</v>
      </c>
      <c r="I499" s="202">
        <f t="shared" si="134"/>
        <v>3.7199999999999456E-3</v>
      </c>
      <c r="J499" s="201">
        <v>1.07372</v>
      </c>
      <c r="K499" s="199">
        <v>43882.68472222222</v>
      </c>
      <c r="L499" s="201">
        <v>1.0823400000000001</v>
      </c>
      <c r="M499" s="203">
        <f t="shared" si="135"/>
        <v>1.52E-2</v>
      </c>
      <c r="N499" s="204">
        <f t="shared" si="136"/>
        <v>4.09</v>
      </c>
      <c r="O499" s="205">
        <f t="shared" si="137"/>
        <v>0</v>
      </c>
      <c r="P499" s="206">
        <f t="shared" si="138"/>
        <v>4.09</v>
      </c>
      <c r="Q499" s="206">
        <f t="shared" si="139"/>
        <v>0</v>
      </c>
      <c r="R49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127840</v>
      </c>
      <c r="T49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127840</v>
      </c>
      <c r="U49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99" s="209">
        <f t="shared" si="140"/>
        <v>4.09</v>
      </c>
      <c r="W499" s="209">
        <f t="shared" si="141"/>
        <v>0</v>
      </c>
      <c r="X499" s="209">
        <f t="shared" si="142"/>
        <v>0</v>
      </c>
      <c r="Y499" s="209">
        <f t="shared" si="143"/>
        <v>0</v>
      </c>
      <c r="Z499" s="209">
        <f t="shared" si="144"/>
        <v>0</v>
      </c>
      <c r="AA499" s="205">
        <f t="shared" si="145"/>
        <v>0</v>
      </c>
      <c r="AB499" s="209">
        <f t="shared" si="146"/>
        <v>0</v>
      </c>
      <c r="AC499" s="205">
        <f t="shared" si="147"/>
        <v>0</v>
      </c>
      <c r="AD499" s="210">
        <f t="shared" si="148"/>
        <v>14.851388888884685</v>
      </c>
      <c r="AE499" s="210">
        <f t="shared" si="149"/>
        <v>14.851388888884685</v>
      </c>
      <c r="AF499" s="210">
        <f t="shared" si="150"/>
        <v>0</v>
      </c>
      <c r="AG499" s="210">
        <f t="shared" si="151"/>
        <v>0</v>
      </c>
    </row>
    <row r="500" spans="2:33" ht="15" customHeight="1" x14ac:dyDescent="0.3">
      <c r="B500" s="196" t="s">
        <v>19</v>
      </c>
      <c r="C500" s="197" t="s">
        <v>15</v>
      </c>
      <c r="D500" s="198" t="str">
        <f t="shared" si="133"/>
        <v>C</v>
      </c>
      <c r="E500" s="199">
        <v>43880.291666666664</v>
      </c>
      <c r="F500" s="200" t="s">
        <v>108</v>
      </c>
      <c r="G500" s="201">
        <v>52.866999999999997</v>
      </c>
      <c r="H500" s="201">
        <v>51.488999999999997</v>
      </c>
      <c r="I500" s="202">
        <f t="shared" si="134"/>
        <v>1.3780000000000001</v>
      </c>
      <c r="J500" s="201">
        <v>69.400999999999996</v>
      </c>
      <c r="K500" s="199">
        <v>43882.554861111108</v>
      </c>
      <c r="L500" s="201">
        <v>52.853000000000002</v>
      </c>
      <c r="M500" s="203">
        <f t="shared" si="135"/>
        <v>-1.4E-2</v>
      </c>
      <c r="N500" s="204">
        <f t="shared" si="136"/>
        <v>-0.01</v>
      </c>
      <c r="O500" s="205">
        <f t="shared" si="137"/>
        <v>0</v>
      </c>
      <c r="P500" s="206">
        <f t="shared" si="138"/>
        <v>0</v>
      </c>
      <c r="Q500" s="206">
        <f t="shared" si="139"/>
        <v>-0.01</v>
      </c>
      <c r="R50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123750</v>
      </c>
      <c r="T50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125700</v>
      </c>
      <c r="U500" s="208">
        <f ca="1">IF(Tabla33610673[[#This Row],[Equity]]&lt;Tabla33610673[[#This Row],[Equity Peak]],(Tabla33610673[[#This Row],[Equity Peak]]-Tabla33610673[[#This Row],[Equity]])/Tabla33610673[[#This Row],[Equity Peak]],"")</f>
        <v>1.5513126491646777E-2</v>
      </c>
      <c r="V500" s="209">
        <f t="shared" si="140"/>
        <v>0</v>
      </c>
      <c r="W500" s="209">
        <f t="shared" si="141"/>
        <v>0</v>
      </c>
      <c r="X500" s="209">
        <f t="shared" si="142"/>
        <v>-0.01</v>
      </c>
      <c r="Y500" s="209">
        <f t="shared" si="143"/>
        <v>0</v>
      </c>
      <c r="Z500" s="209">
        <f t="shared" si="144"/>
        <v>0</v>
      </c>
      <c r="AA500" s="205">
        <f t="shared" si="145"/>
        <v>0</v>
      </c>
      <c r="AB500" s="209">
        <f t="shared" si="146"/>
        <v>0</v>
      </c>
      <c r="AC500" s="205">
        <f t="shared" si="147"/>
        <v>0</v>
      </c>
      <c r="AD500" s="210">
        <f t="shared" si="148"/>
        <v>2.2631944444437977</v>
      </c>
      <c r="AE500" s="210">
        <f t="shared" si="149"/>
        <v>0</v>
      </c>
      <c r="AF500" s="210">
        <f t="shared" si="150"/>
        <v>2.2631944444437977</v>
      </c>
      <c r="AG500" s="210">
        <f t="shared" si="151"/>
        <v>0</v>
      </c>
    </row>
    <row r="501" spans="2:33" ht="15" customHeight="1" x14ac:dyDescent="0.3">
      <c r="B501" s="196" t="s">
        <v>5</v>
      </c>
      <c r="C501" s="197" t="s">
        <v>15</v>
      </c>
      <c r="D501" s="198" t="str">
        <f t="shared" si="133"/>
        <v>C</v>
      </c>
      <c r="E501" s="199">
        <v>43881.5</v>
      </c>
      <c r="F501" s="200" t="s">
        <v>94</v>
      </c>
      <c r="G501" s="201">
        <v>7466.13</v>
      </c>
      <c r="H501" s="201">
        <v>7407.42</v>
      </c>
      <c r="I501" s="202">
        <f t="shared" si="134"/>
        <v>58.710000000000036</v>
      </c>
      <c r="J501" s="201">
        <v>7759.69</v>
      </c>
      <c r="K501" s="199">
        <v>43882.166666666664</v>
      </c>
      <c r="L501" s="201">
        <v>7439.39</v>
      </c>
      <c r="M501" s="203">
        <f t="shared" si="135"/>
        <v>-26.74</v>
      </c>
      <c r="N501" s="204">
        <f t="shared" si="136"/>
        <v>-0.46</v>
      </c>
      <c r="O501" s="205">
        <f t="shared" si="137"/>
        <v>0</v>
      </c>
      <c r="P501" s="206">
        <f t="shared" si="138"/>
        <v>0</v>
      </c>
      <c r="Q501" s="206">
        <f t="shared" si="139"/>
        <v>-0.46</v>
      </c>
      <c r="R50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123760</v>
      </c>
      <c r="T50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125700</v>
      </c>
      <c r="U501" s="208">
        <f ca="1">IF(Tabla33610673[[#This Row],[Equity]]&lt;Tabla33610673[[#This Row],[Equity Peak]],(Tabla33610673[[#This Row],[Equity Peak]]-Tabla33610673[[#This Row],[Equity]])/Tabla33610673[[#This Row],[Equity Peak]],"")</f>
        <v>1.5433571996817819E-2</v>
      </c>
      <c r="V501" s="209">
        <f t="shared" si="140"/>
        <v>0</v>
      </c>
      <c r="W501" s="209">
        <f t="shared" si="141"/>
        <v>0</v>
      </c>
      <c r="X501" s="209">
        <f t="shared" si="142"/>
        <v>0</v>
      </c>
      <c r="Y501" s="209">
        <f t="shared" si="143"/>
        <v>0</v>
      </c>
      <c r="Z501" s="209">
        <f t="shared" si="144"/>
        <v>-0.46</v>
      </c>
      <c r="AA501" s="205">
        <f t="shared" si="145"/>
        <v>0</v>
      </c>
      <c r="AB501" s="209">
        <f t="shared" si="146"/>
        <v>0</v>
      </c>
      <c r="AC501" s="205">
        <f t="shared" si="147"/>
        <v>0</v>
      </c>
      <c r="AD501" s="210">
        <f t="shared" si="148"/>
        <v>0.66666666666424135</v>
      </c>
      <c r="AE501" s="210">
        <f t="shared" si="149"/>
        <v>0</v>
      </c>
      <c r="AF501" s="210">
        <f t="shared" si="150"/>
        <v>0.66666666666424135</v>
      </c>
      <c r="AG501" s="210">
        <f t="shared" si="151"/>
        <v>0</v>
      </c>
    </row>
    <row r="502" spans="2:33" ht="15" customHeight="1" x14ac:dyDescent="0.3">
      <c r="B502" s="196" t="s">
        <v>5</v>
      </c>
      <c r="C502" s="197" t="s">
        <v>15</v>
      </c>
      <c r="D502" s="198" t="str">
        <f t="shared" si="133"/>
        <v>C</v>
      </c>
      <c r="E502" s="199">
        <v>43880.840277777781</v>
      </c>
      <c r="F502" s="200" t="s">
        <v>90</v>
      </c>
      <c r="G502" s="201">
        <v>7164.3</v>
      </c>
      <c r="H502" s="201">
        <v>7132.66</v>
      </c>
      <c r="I502" s="202">
        <f t="shared" si="134"/>
        <v>31.640000000000327</v>
      </c>
      <c r="J502" s="201">
        <v>7586.16</v>
      </c>
      <c r="K502" s="199">
        <v>43881.783333333333</v>
      </c>
      <c r="L502" s="201">
        <v>7135.6</v>
      </c>
      <c r="M502" s="203">
        <f t="shared" si="135"/>
        <v>-28.7</v>
      </c>
      <c r="N502" s="204">
        <f t="shared" si="136"/>
        <v>-0.91</v>
      </c>
      <c r="O502" s="205">
        <f t="shared" si="137"/>
        <v>0</v>
      </c>
      <c r="P502" s="206">
        <f t="shared" si="138"/>
        <v>0</v>
      </c>
      <c r="Q502" s="206">
        <f t="shared" si="139"/>
        <v>-0.91</v>
      </c>
      <c r="R50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124220</v>
      </c>
      <c r="T50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125700</v>
      </c>
      <c r="U502" s="208">
        <f ca="1">IF(Tabla33610673[[#This Row],[Equity]]&lt;Tabla33610673[[#This Row],[Equity Peak]],(Tabla33610673[[#This Row],[Equity Peak]]-Tabla33610673[[#This Row],[Equity]])/Tabla33610673[[#This Row],[Equity Peak]],"")</f>
        <v>1.1774065234685759E-2</v>
      </c>
      <c r="V502" s="209">
        <f t="shared" si="140"/>
        <v>0</v>
      </c>
      <c r="W502" s="209">
        <f t="shared" si="141"/>
        <v>0</v>
      </c>
      <c r="X502" s="209">
        <f t="shared" si="142"/>
        <v>0</v>
      </c>
      <c r="Y502" s="209">
        <f t="shared" si="143"/>
        <v>0</v>
      </c>
      <c r="Z502" s="209">
        <f t="shared" si="144"/>
        <v>-0.91</v>
      </c>
      <c r="AA502" s="205">
        <f t="shared" si="145"/>
        <v>0</v>
      </c>
      <c r="AB502" s="209">
        <f t="shared" si="146"/>
        <v>0</v>
      </c>
      <c r="AC502" s="205">
        <f t="shared" si="147"/>
        <v>0</v>
      </c>
      <c r="AD502" s="210">
        <f t="shared" si="148"/>
        <v>0.94305555555183673</v>
      </c>
      <c r="AE502" s="210">
        <f t="shared" si="149"/>
        <v>0</v>
      </c>
      <c r="AF502" s="210">
        <f t="shared" si="150"/>
        <v>0.94305555555183673</v>
      </c>
      <c r="AG502" s="210">
        <f t="shared" si="151"/>
        <v>0</v>
      </c>
    </row>
    <row r="503" spans="2:33" ht="15" customHeight="1" x14ac:dyDescent="0.3">
      <c r="B503" s="196" t="s">
        <v>5</v>
      </c>
      <c r="C503" s="197" t="s">
        <v>15</v>
      </c>
      <c r="D503" s="198" t="str">
        <f t="shared" si="133"/>
        <v>C</v>
      </c>
      <c r="E503" s="199">
        <v>43866.5</v>
      </c>
      <c r="F503" s="200" t="s">
        <v>93</v>
      </c>
      <c r="G503" s="201">
        <v>3330.57</v>
      </c>
      <c r="H503" s="201">
        <v>3303.76</v>
      </c>
      <c r="I503" s="202">
        <f t="shared" si="134"/>
        <v>26.809999999999945</v>
      </c>
      <c r="J503" s="201">
        <v>3402.06</v>
      </c>
      <c r="K503" s="199">
        <v>43881.772222222222</v>
      </c>
      <c r="L503" s="201">
        <v>3342.05</v>
      </c>
      <c r="M503" s="203">
        <f t="shared" si="135"/>
        <v>11.48</v>
      </c>
      <c r="N503" s="204">
        <f t="shared" si="136"/>
        <v>0.43</v>
      </c>
      <c r="O503" s="205">
        <f t="shared" si="137"/>
        <v>0</v>
      </c>
      <c r="P503" s="206">
        <f t="shared" si="138"/>
        <v>0.43</v>
      </c>
      <c r="Q503" s="206">
        <f t="shared" si="139"/>
        <v>0</v>
      </c>
      <c r="R50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125130</v>
      </c>
      <c r="T50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125700</v>
      </c>
      <c r="U503" s="208">
        <f ca="1">IF(Tabla33610673[[#This Row],[Equity]]&lt;Tabla33610673[[#This Row],[Equity Peak]],(Tabla33610673[[#This Row],[Equity Peak]]-Tabla33610673[[#This Row],[Equity]])/Tabla33610673[[#This Row],[Equity Peak]],"")</f>
        <v>4.534606205250597E-3</v>
      </c>
      <c r="V503" s="209">
        <f t="shared" si="140"/>
        <v>0</v>
      </c>
      <c r="W503" s="209">
        <f t="shared" si="141"/>
        <v>0</v>
      </c>
      <c r="X503" s="209">
        <f t="shared" si="142"/>
        <v>0</v>
      </c>
      <c r="Y503" s="209">
        <f t="shared" si="143"/>
        <v>0</v>
      </c>
      <c r="Z503" s="209">
        <f t="shared" si="144"/>
        <v>0.43</v>
      </c>
      <c r="AA503" s="205">
        <f t="shared" si="145"/>
        <v>0</v>
      </c>
      <c r="AB503" s="209">
        <f t="shared" si="146"/>
        <v>0</v>
      </c>
      <c r="AC503" s="205">
        <f t="shared" si="147"/>
        <v>0</v>
      </c>
      <c r="AD503" s="210">
        <f t="shared" si="148"/>
        <v>15.272222222221899</v>
      </c>
      <c r="AE503" s="210">
        <f t="shared" si="149"/>
        <v>15.272222222221899</v>
      </c>
      <c r="AF503" s="210">
        <f t="shared" si="150"/>
        <v>0</v>
      </c>
      <c r="AG503" s="210">
        <f t="shared" si="151"/>
        <v>0</v>
      </c>
    </row>
    <row r="504" spans="2:33" ht="15" customHeight="1" x14ac:dyDescent="0.3">
      <c r="B504" s="196" t="s">
        <v>5</v>
      </c>
      <c r="C504" s="197" t="s">
        <v>13</v>
      </c>
      <c r="D504" s="198" t="str">
        <f t="shared" si="133"/>
        <v>C</v>
      </c>
      <c r="E504" s="199">
        <v>43881.333333333336</v>
      </c>
      <c r="F504" s="200" t="s">
        <v>94</v>
      </c>
      <c r="G504" s="201">
        <v>7440.14</v>
      </c>
      <c r="H504" s="201">
        <v>7497.58</v>
      </c>
      <c r="I504" s="202">
        <f t="shared" si="134"/>
        <v>57.4399999999996</v>
      </c>
      <c r="J504" s="201">
        <v>7152.94</v>
      </c>
      <c r="K504" s="199">
        <v>43881.5</v>
      </c>
      <c r="L504" s="201">
        <v>7466.13</v>
      </c>
      <c r="M504" s="203">
        <f t="shared" si="135"/>
        <v>-25.99</v>
      </c>
      <c r="N504" s="204">
        <f t="shared" si="136"/>
        <v>-0.45</v>
      </c>
      <c r="O504" s="205">
        <f t="shared" si="137"/>
        <v>0</v>
      </c>
      <c r="P504" s="206">
        <f t="shared" si="138"/>
        <v>0</v>
      </c>
      <c r="Q504" s="206">
        <f t="shared" si="139"/>
        <v>-0.45</v>
      </c>
      <c r="R50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124700</v>
      </c>
      <c r="T50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125700</v>
      </c>
      <c r="U504" s="208">
        <f ca="1">IF(Tabla33610673[[#This Row],[Equity]]&lt;Tabla33610673[[#This Row],[Equity Peak]],(Tabla33610673[[#This Row],[Equity Peak]]-Tabla33610673[[#This Row],[Equity]])/Tabla33610673[[#This Row],[Equity Peak]],"")</f>
        <v>7.955449482895784E-3</v>
      </c>
      <c r="V504" s="209">
        <f t="shared" si="140"/>
        <v>0</v>
      </c>
      <c r="W504" s="209">
        <f t="shared" si="141"/>
        <v>0</v>
      </c>
      <c r="X504" s="209">
        <f t="shared" si="142"/>
        <v>0</v>
      </c>
      <c r="Y504" s="209">
        <f t="shared" si="143"/>
        <v>0</v>
      </c>
      <c r="Z504" s="209">
        <f t="shared" si="144"/>
        <v>-0.45</v>
      </c>
      <c r="AA504" s="205">
        <f t="shared" si="145"/>
        <v>0</v>
      </c>
      <c r="AB504" s="209">
        <f t="shared" si="146"/>
        <v>0</v>
      </c>
      <c r="AC504" s="205">
        <f t="shared" si="147"/>
        <v>0</v>
      </c>
      <c r="AD504" s="210">
        <f t="shared" si="148"/>
        <v>0.16666666666424135</v>
      </c>
      <c r="AE504" s="210">
        <f t="shared" si="149"/>
        <v>0</v>
      </c>
      <c r="AF504" s="210">
        <f t="shared" si="150"/>
        <v>0.16666666666424135</v>
      </c>
      <c r="AG504" s="210">
        <f t="shared" si="151"/>
        <v>0</v>
      </c>
    </row>
    <row r="505" spans="2:33" ht="15" customHeight="1" x14ac:dyDescent="0.3">
      <c r="B505" s="196" t="s">
        <v>5</v>
      </c>
      <c r="C505" s="197" t="s">
        <v>15</v>
      </c>
      <c r="D505" s="198" t="str">
        <f t="shared" si="133"/>
        <v>C</v>
      </c>
      <c r="E505" s="199">
        <v>43881.166666666664</v>
      </c>
      <c r="F505" s="200" t="s">
        <v>94</v>
      </c>
      <c r="G505" s="201">
        <v>7461.04</v>
      </c>
      <c r="H505" s="201">
        <v>7407.44</v>
      </c>
      <c r="I505" s="202">
        <f t="shared" si="134"/>
        <v>53.600000000000364</v>
      </c>
      <c r="J505" s="201">
        <v>7729.06</v>
      </c>
      <c r="K505" s="199">
        <v>43881.333333333336</v>
      </c>
      <c r="L505" s="201">
        <v>7440.14</v>
      </c>
      <c r="M505" s="203">
        <f t="shared" si="135"/>
        <v>-20.9</v>
      </c>
      <c r="N505" s="204">
        <f t="shared" si="136"/>
        <v>-0.39</v>
      </c>
      <c r="O505" s="205">
        <f t="shared" si="137"/>
        <v>0</v>
      </c>
      <c r="P505" s="206">
        <f t="shared" si="138"/>
        <v>0</v>
      </c>
      <c r="Q505" s="206">
        <f t="shared" si="139"/>
        <v>-0.39</v>
      </c>
      <c r="R50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125150</v>
      </c>
      <c r="T50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125700</v>
      </c>
      <c r="U505" s="208">
        <f ca="1">IF(Tabla33610673[[#This Row],[Equity]]&lt;Tabla33610673[[#This Row],[Equity Peak]],(Tabla33610673[[#This Row],[Equity Peak]]-Tabla33610673[[#This Row],[Equity]])/Tabla33610673[[#This Row],[Equity Peak]],"")</f>
        <v>4.3754972155926808E-3</v>
      </c>
      <c r="V505" s="209">
        <f t="shared" si="140"/>
        <v>0</v>
      </c>
      <c r="W505" s="209">
        <f t="shared" si="141"/>
        <v>0</v>
      </c>
      <c r="X505" s="209">
        <f t="shared" si="142"/>
        <v>0</v>
      </c>
      <c r="Y505" s="209">
        <f t="shared" si="143"/>
        <v>0</v>
      </c>
      <c r="Z505" s="209">
        <f t="shared" si="144"/>
        <v>-0.39</v>
      </c>
      <c r="AA505" s="205">
        <f t="shared" si="145"/>
        <v>0</v>
      </c>
      <c r="AB505" s="209">
        <f t="shared" si="146"/>
        <v>0</v>
      </c>
      <c r="AC505" s="205">
        <f t="shared" si="147"/>
        <v>0</v>
      </c>
      <c r="AD505" s="210">
        <f t="shared" si="148"/>
        <v>0.16666666667151731</v>
      </c>
      <c r="AE505" s="210">
        <f t="shared" si="149"/>
        <v>0</v>
      </c>
      <c r="AF505" s="210">
        <f t="shared" si="150"/>
        <v>0.16666666667151731</v>
      </c>
      <c r="AG505" s="210">
        <f t="shared" si="151"/>
        <v>0</v>
      </c>
    </row>
    <row r="506" spans="2:33" ht="15" customHeight="1" x14ac:dyDescent="0.3">
      <c r="B506" s="196" t="s">
        <v>7</v>
      </c>
      <c r="C506" s="197" t="s">
        <v>15</v>
      </c>
      <c r="D506" s="198" t="str">
        <f t="shared" si="133"/>
        <v>C</v>
      </c>
      <c r="E506" s="199">
        <v>43875.017361111109</v>
      </c>
      <c r="F506" s="200" t="s">
        <v>116</v>
      </c>
      <c r="G506" s="201">
        <v>1.94001</v>
      </c>
      <c r="H506" s="201">
        <v>1.9216800000000001</v>
      </c>
      <c r="I506" s="202">
        <f t="shared" si="134"/>
        <v>1.8329999999999957E-2</v>
      </c>
      <c r="J506" s="201">
        <v>2.0011100000000002</v>
      </c>
      <c r="K506" s="199">
        <v>43880.436111111114</v>
      </c>
      <c r="L506" s="201">
        <v>1.9371</v>
      </c>
      <c r="M506" s="203">
        <f t="shared" si="135"/>
        <v>-2.8999999999999998E-3</v>
      </c>
      <c r="N506" s="204">
        <f t="shared" si="136"/>
        <v>-0.16</v>
      </c>
      <c r="O506" s="205">
        <f t="shared" si="137"/>
        <v>0</v>
      </c>
      <c r="P506" s="206">
        <f t="shared" si="138"/>
        <v>0</v>
      </c>
      <c r="Q506" s="206">
        <f t="shared" si="139"/>
        <v>-0.16</v>
      </c>
      <c r="R50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125540</v>
      </c>
      <c r="T50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125700</v>
      </c>
      <c r="U506" s="208">
        <f ca="1">IF(Tabla33610673[[#This Row],[Equity]]&lt;Tabla33610673[[#This Row],[Equity Peak]],(Tabla33610673[[#This Row],[Equity Peak]]-Tabla33610673[[#This Row],[Equity]])/Tabla33610673[[#This Row],[Equity Peak]],"")</f>
        <v>1.2728719172633255E-3</v>
      </c>
      <c r="V506" s="209">
        <f t="shared" si="140"/>
        <v>-0.16</v>
      </c>
      <c r="W506" s="209">
        <f t="shared" si="141"/>
        <v>0</v>
      </c>
      <c r="X506" s="209">
        <f t="shared" si="142"/>
        <v>0</v>
      </c>
      <c r="Y506" s="209">
        <f t="shared" si="143"/>
        <v>0</v>
      </c>
      <c r="Z506" s="209">
        <f t="shared" si="144"/>
        <v>0</v>
      </c>
      <c r="AA506" s="205">
        <f t="shared" si="145"/>
        <v>0</v>
      </c>
      <c r="AB506" s="209">
        <f t="shared" si="146"/>
        <v>0</v>
      </c>
      <c r="AC506" s="205">
        <f t="shared" si="147"/>
        <v>0</v>
      </c>
      <c r="AD506" s="210">
        <f t="shared" si="148"/>
        <v>5.4187500000043656</v>
      </c>
      <c r="AE506" s="210">
        <f t="shared" si="149"/>
        <v>0</v>
      </c>
      <c r="AF506" s="210">
        <f t="shared" si="150"/>
        <v>5.4187500000043656</v>
      </c>
      <c r="AG506" s="210">
        <f t="shared" si="151"/>
        <v>0</v>
      </c>
    </row>
    <row r="507" spans="2:33" ht="15" customHeight="1" x14ac:dyDescent="0.3">
      <c r="B507" s="196" t="s">
        <v>7</v>
      </c>
      <c r="C507" s="197" t="s">
        <v>13</v>
      </c>
      <c r="D507" s="198" t="str">
        <f t="shared" si="133"/>
        <v>C</v>
      </c>
      <c r="E507" s="199">
        <v>43874.666666666664</v>
      </c>
      <c r="F507" s="200" t="s">
        <v>118</v>
      </c>
      <c r="G507" s="201">
        <v>119.13200000000001</v>
      </c>
      <c r="H507" s="201">
        <v>119.79600000000001</v>
      </c>
      <c r="I507" s="202">
        <f t="shared" si="134"/>
        <v>0.66400000000000148</v>
      </c>
      <c r="J507" s="201">
        <v>116.47499999999999</v>
      </c>
      <c r="K507" s="199">
        <v>43880.412499999999</v>
      </c>
      <c r="L507" s="201">
        <v>118.986</v>
      </c>
      <c r="M507" s="203">
        <f t="shared" si="135"/>
        <v>0.14599999999999999</v>
      </c>
      <c r="N507" s="204">
        <f t="shared" si="136"/>
        <v>0.22</v>
      </c>
      <c r="O507" s="205">
        <f t="shared" si="137"/>
        <v>0</v>
      </c>
      <c r="P507" s="206">
        <f t="shared" si="138"/>
        <v>0.22</v>
      </c>
      <c r="Q507" s="206">
        <f t="shared" si="139"/>
        <v>0</v>
      </c>
      <c r="R50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125700</v>
      </c>
      <c r="T50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125700</v>
      </c>
      <c r="U50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07" s="209">
        <f t="shared" si="140"/>
        <v>0.22</v>
      </c>
      <c r="W507" s="209">
        <f t="shared" si="141"/>
        <v>0</v>
      </c>
      <c r="X507" s="209">
        <f t="shared" si="142"/>
        <v>0</v>
      </c>
      <c r="Y507" s="209">
        <f t="shared" si="143"/>
        <v>0</v>
      </c>
      <c r="Z507" s="209">
        <f t="shared" si="144"/>
        <v>0</v>
      </c>
      <c r="AA507" s="205">
        <f t="shared" si="145"/>
        <v>0</v>
      </c>
      <c r="AB507" s="209">
        <f t="shared" si="146"/>
        <v>0</v>
      </c>
      <c r="AC507" s="205">
        <f t="shared" si="147"/>
        <v>0</v>
      </c>
      <c r="AD507" s="210">
        <f t="shared" si="148"/>
        <v>5.7458333333343035</v>
      </c>
      <c r="AE507" s="210">
        <f t="shared" si="149"/>
        <v>5.7458333333343035</v>
      </c>
      <c r="AF507" s="210">
        <f t="shared" si="150"/>
        <v>0</v>
      </c>
      <c r="AG507" s="210">
        <f t="shared" si="151"/>
        <v>0</v>
      </c>
    </row>
    <row r="508" spans="2:33" ht="15" customHeight="1" x14ac:dyDescent="0.3">
      <c r="B508" s="196" t="s">
        <v>19</v>
      </c>
      <c r="C508" s="197" t="s">
        <v>13</v>
      </c>
      <c r="D508" s="198" t="str">
        <f t="shared" si="133"/>
        <v>C</v>
      </c>
      <c r="E508" s="199">
        <v>43839.458333333336</v>
      </c>
      <c r="F508" s="200" t="s">
        <v>108</v>
      </c>
      <c r="G508" s="201">
        <v>59.945999999999998</v>
      </c>
      <c r="H508" s="201">
        <v>61.194000000000003</v>
      </c>
      <c r="I508" s="202">
        <f t="shared" si="134"/>
        <v>1.2480000000000047</v>
      </c>
      <c r="J508" s="201">
        <v>44.973999999999997</v>
      </c>
      <c r="K508" s="199">
        <v>43880.291666666664</v>
      </c>
      <c r="L508" s="201">
        <v>52.866999999999997</v>
      </c>
      <c r="M508" s="203">
        <f t="shared" si="135"/>
        <v>7.0789999999999997</v>
      </c>
      <c r="N508" s="204">
        <f t="shared" si="136"/>
        <v>5.67</v>
      </c>
      <c r="O508" s="205">
        <f t="shared" si="137"/>
        <v>0</v>
      </c>
      <c r="P508" s="206">
        <f t="shared" si="138"/>
        <v>5.67</v>
      </c>
      <c r="Q508" s="206">
        <f t="shared" si="139"/>
        <v>0</v>
      </c>
      <c r="R50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125480</v>
      </c>
      <c r="T50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125480</v>
      </c>
      <c r="U50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08" s="209">
        <f t="shared" si="140"/>
        <v>0</v>
      </c>
      <c r="W508" s="209">
        <f t="shared" si="141"/>
        <v>0</v>
      </c>
      <c r="X508" s="209">
        <f t="shared" si="142"/>
        <v>5.67</v>
      </c>
      <c r="Y508" s="209">
        <f t="shared" si="143"/>
        <v>0</v>
      </c>
      <c r="Z508" s="209">
        <f t="shared" si="144"/>
        <v>0</v>
      </c>
      <c r="AA508" s="205">
        <f t="shared" si="145"/>
        <v>0</v>
      </c>
      <c r="AB508" s="209">
        <f t="shared" si="146"/>
        <v>0</v>
      </c>
      <c r="AC508" s="205">
        <f t="shared" si="147"/>
        <v>0</v>
      </c>
      <c r="AD508" s="210">
        <f t="shared" si="148"/>
        <v>40.833333333328483</v>
      </c>
      <c r="AE508" s="210">
        <f t="shared" si="149"/>
        <v>40.833333333328483</v>
      </c>
      <c r="AF508" s="210">
        <f t="shared" si="150"/>
        <v>0</v>
      </c>
      <c r="AG508" s="210">
        <f t="shared" si="151"/>
        <v>0</v>
      </c>
    </row>
    <row r="509" spans="2:33" ht="15" customHeight="1" x14ac:dyDescent="0.3">
      <c r="B509" s="196" t="s">
        <v>7</v>
      </c>
      <c r="C509" s="197" t="s">
        <v>15</v>
      </c>
      <c r="D509" s="198" t="str">
        <f t="shared" si="133"/>
        <v>C</v>
      </c>
      <c r="E509" s="199">
        <v>43875.017361111109</v>
      </c>
      <c r="F509" s="200" t="s">
        <v>115</v>
      </c>
      <c r="G509" s="201">
        <v>143.209</v>
      </c>
      <c r="H509" s="201">
        <v>142.17099999999999</v>
      </c>
      <c r="I509" s="202">
        <f t="shared" si="134"/>
        <v>1.0380000000000109</v>
      </c>
      <c r="J509" s="201">
        <v>149.023</v>
      </c>
      <c r="K509" s="199">
        <v>43879.4375</v>
      </c>
      <c r="L509" s="201">
        <v>142.41499999999999</v>
      </c>
      <c r="M509" s="203">
        <f t="shared" si="135"/>
        <v>-0.79400000000000004</v>
      </c>
      <c r="N509" s="204">
        <f t="shared" si="136"/>
        <v>-0.76</v>
      </c>
      <c r="O509" s="205">
        <f t="shared" si="137"/>
        <v>0</v>
      </c>
      <c r="P509" s="206">
        <f t="shared" si="138"/>
        <v>0</v>
      </c>
      <c r="Q509" s="206">
        <f t="shared" si="139"/>
        <v>-0.76</v>
      </c>
      <c r="R50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119810</v>
      </c>
      <c r="T50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121570</v>
      </c>
      <c r="U509" s="208">
        <f ca="1">IF(Tabla33610673[[#This Row],[Equity]]&lt;Tabla33610673[[#This Row],[Equity Peak]],(Tabla33610673[[#This Row],[Equity Peak]]-Tabla33610673[[#This Row],[Equity]])/Tabla33610673[[#This Row],[Equity Peak]],"")</f>
        <v>1.4477255901949494E-2</v>
      </c>
      <c r="V509" s="209">
        <f t="shared" si="140"/>
        <v>-0.76</v>
      </c>
      <c r="W509" s="209">
        <f t="shared" si="141"/>
        <v>0</v>
      </c>
      <c r="X509" s="209">
        <f t="shared" si="142"/>
        <v>0</v>
      </c>
      <c r="Y509" s="209">
        <f t="shared" si="143"/>
        <v>0</v>
      </c>
      <c r="Z509" s="209">
        <f t="shared" si="144"/>
        <v>0</v>
      </c>
      <c r="AA509" s="205">
        <f t="shared" si="145"/>
        <v>0</v>
      </c>
      <c r="AB509" s="209">
        <f t="shared" si="146"/>
        <v>0</v>
      </c>
      <c r="AC509" s="205">
        <f t="shared" si="147"/>
        <v>0</v>
      </c>
      <c r="AD509" s="210">
        <f t="shared" si="148"/>
        <v>4.4201388888905058</v>
      </c>
      <c r="AE509" s="210">
        <f t="shared" si="149"/>
        <v>0</v>
      </c>
      <c r="AF509" s="210">
        <f t="shared" si="150"/>
        <v>4.4201388888905058</v>
      </c>
      <c r="AG509" s="210">
        <f t="shared" si="151"/>
        <v>0</v>
      </c>
    </row>
    <row r="510" spans="2:33" ht="15" customHeight="1" x14ac:dyDescent="0.3">
      <c r="B510" s="196" t="s">
        <v>7</v>
      </c>
      <c r="C510" s="197" t="s">
        <v>15</v>
      </c>
      <c r="D510" s="198" t="str">
        <f t="shared" si="133"/>
        <v>C</v>
      </c>
      <c r="E510" s="199">
        <v>43875.333333333336</v>
      </c>
      <c r="F510" s="200" t="s">
        <v>114</v>
      </c>
      <c r="G510" s="201">
        <v>1.3045100000000001</v>
      </c>
      <c r="H510" s="201">
        <v>1.2976799999999999</v>
      </c>
      <c r="I510" s="202">
        <f t="shared" si="134"/>
        <v>6.8300000000001138E-3</v>
      </c>
      <c r="J510" s="201">
        <v>1.3318300000000001</v>
      </c>
      <c r="K510" s="199">
        <v>43879.345138888886</v>
      </c>
      <c r="L510" s="201">
        <v>1.2976799999999999</v>
      </c>
      <c r="M510" s="203">
        <f t="shared" si="135"/>
        <v>-6.7999999999999996E-3</v>
      </c>
      <c r="N510" s="204">
        <f t="shared" si="136"/>
        <v>-1</v>
      </c>
      <c r="O510" s="205">
        <f t="shared" si="137"/>
        <v>0</v>
      </c>
      <c r="P510" s="206">
        <f t="shared" si="138"/>
        <v>0</v>
      </c>
      <c r="Q510" s="206">
        <f t="shared" si="139"/>
        <v>-1</v>
      </c>
      <c r="R51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120570</v>
      </c>
      <c r="T51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121570</v>
      </c>
      <c r="U510" s="208">
        <f ca="1">IF(Tabla33610673[[#This Row],[Equity]]&lt;Tabla33610673[[#This Row],[Equity Peak]],(Tabla33610673[[#This Row],[Equity Peak]]-Tabla33610673[[#This Row],[Equity]])/Tabla33610673[[#This Row],[Equity Peak]],"")</f>
        <v>8.2257135806531219E-3</v>
      </c>
      <c r="V510" s="209">
        <f t="shared" si="140"/>
        <v>-1</v>
      </c>
      <c r="W510" s="209">
        <f t="shared" si="141"/>
        <v>0</v>
      </c>
      <c r="X510" s="209">
        <f t="shared" si="142"/>
        <v>0</v>
      </c>
      <c r="Y510" s="209">
        <f t="shared" si="143"/>
        <v>0</v>
      </c>
      <c r="Z510" s="209">
        <f t="shared" si="144"/>
        <v>0</v>
      </c>
      <c r="AA510" s="205">
        <f t="shared" si="145"/>
        <v>0</v>
      </c>
      <c r="AB510" s="209">
        <f t="shared" si="146"/>
        <v>0</v>
      </c>
      <c r="AC510" s="205">
        <f t="shared" si="147"/>
        <v>0</v>
      </c>
      <c r="AD510" s="210">
        <f t="shared" si="148"/>
        <v>4.0118055555503815</v>
      </c>
      <c r="AE510" s="210">
        <f t="shared" si="149"/>
        <v>0</v>
      </c>
      <c r="AF510" s="210">
        <f t="shared" si="150"/>
        <v>4.0118055555503815</v>
      </c>
      <c r="AG510" s="210">
        <f t="shared" si="151"/>
        <v>0</v>
      </c>
    </row>
    <row r="511" spans="2:33" ht="15" customHeight="1" x14ac:dyDescent="0.3">
      <c r="B511" s="196" t="s">
        <v>7</v>
      </c>
      <c r="C511" s="197" t="s">
        <v>13</v>
      </c>
      <c r="D511" s="198" t="str">
        <f t="shared" si="133"/>
        <v>C</v>
      </c>
      <c r="E511" s="199">
        <v>43872.166666666664</v>
      </c>
      <c r="F511" s="200" t="s">
        <v>120</v>
      </c>
      <c r="G511" s="201">
        <v>1.62879</v>
      </c>
      <c r="H511" s="201">
        <v>1.6355200000000001</v>
      </c>
      <c r="I511" s="202">
        <f t="shared" si="134"/>
        <v>6.7300000000001248E-3</v>
      </c>
      <c r="J511" s="201">
        <v>1.55705</v>
      </c>
      <c r="K511" s="199">
        <v>43879.106944444444</v>
      </c>
      <c r="L511" s="201">
        <v>1.6182700000000001</v>
      </c>
      <c r="M511" s="203">
        <f t="shared" si="135"/>
        <v>1.0500000000000001E-2</v>
      </c>
      <c r="N511" s="204">
        <f t="shared" si="136"/>
        <v>1.56</v>
      </c>
      <c r="O511" s="205">
        <f t="shared" si="137"/>
        <v>0</v>
      </c>
      <c r="P511" s="206">
        <f t="shared" si="138"/>
        <v>1.56</v>
      </c>
      <c r="Q511" s="206">
        <f t="shared" si="139"/>
        <v>0</v>
      </c>
      <c r="R51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121570</v>
      </c>
      <c r="T51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121570</v>
      </c>
      <c r="U51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11" s="209">
        <f t="shared" si="140"/>
        <v>1.56</v>
      </c>
      <c r="W511" s="209">
        <f t="shared" si="141"/>
        <v>0</v>
      </c>
      <c r="X511" s="209">
        <f t="shared" si="142"/>
        <v>0</v>
      </c>
      <c r="Y511" s="209">
        <f t="shared" si="143"/>
        <v>0</v>
      </c>
      <c r="Z511" s="209">
        <f t="shared" si="144"/>
        <v>0</v>
      </c>
      <c r="AA511" s="205">
        <f t="shared" si="145"/>
        <v>0</v>
      </c>
      <c r="AB511" s="209">
        <f t="shared" si="146"/>
        <v>0</v>
      </c>
      <c r="AC511" s="205">
        <f t="shared" si="147"/>
        <v>0</v>
      </c>
      <c r="AD511" s="210">
        <f t="shared" si="148"/>
        <v>6.9402777777795563</v>
      </c>
      <c r="AE511" s="210">
        <f t="shared" si="149"/>
        <v>6.9402777777795563</v>
      </c>
      <c r="AF511" s="210">
        <f t="shared" si="150"/>
        <v>0</v>
      </c>
      <c r="AG511" s="210">
        <f t="shared" si="151"/>
        <v>0</v>
      </c>
    </row>
    <row r="512" spans="2:33" ht="15" customHeight="1" x14ac:dyDescent="0.3">
      <c r="B512" s="196" t="s">
        <v>5</v>
      </c>
      <c r="C512" s="197" t="s">
        <v>13</v>
      </c>
      <c r="D512" s="198" t="str">
        <f t="shared" si="133"/>
        <v>C</v>
      </c>
      <c r="E512" s="199">
        <v>43874.666666666664</v>
      </c>
      <c r="F512" s="200" t="s">
        <v>94</v>
      </c>
      <c r="G512" s="201">
        <v>7425.04</v>
      </c>
      <c r="H512" s="201">
        <v>7486.09</v>
      </c>
      <c r="I512" s="202">
        <f t="shared" si="134"/>
        <v>61.050000000000182</v>
      </c>
      <c r="J512" s="201">
        <v>7119.8</v>
      </c>
      <c r="K512" s="199">
        <v>43875.526388888888</v>
      </c>
      <c r="L512" s="201">
        <v>7470.13</v>
      </c>
      <c r="M512" s="203">
        <f t="shared" si="135"/>
        <v>-45.09</v>
      </c>
      <c r="N512" s="204">
        <f t="shared" si="136"/>
        <v>-0.74</v>
      </c>
      <c r="O512" s="205">
        <f t="shared" si="137"/>
        <v>0</v>
      </c>
      <c r="P512" s="206">
        <f t="shared" si="138"/>
        <v>0</v>
      </c>
      <c r="Q512" s="206">
        <f t="shared" si="139"/>
        <v>-0.74</v>
      </c>
      <c r="R51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120010</v>
      </c>
      <c r="T51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120750</v>
      </c>
      <c r="U512" s="208">
        <f ca="1">IF(Tabla33610673[[#This Row],[Equity]]&lt;Tabla33610673[[#This Row],[Equity Peak]],(Tabla33610673[[#This Row],[Equity Peak]]-Tabla33610673[[#This Row],[Equity]])/Tabla33610673[[#This Row],[Equity Peak]],"")</f>
        <v>6.1283643892339548E-3</v>
      </c>
      <c r="V512" s="209">
        <f t="shared" si="140"/>
        <v>0</v>
      </c>
      <c r="W512" s="209">
        <f t="shared" si="141"/>
        <v>0</v>
      </c>
      <c r="X512" s="209">
        <f t="shared" si="142"/>
        <v>0</v>
      </c>
      <c r="Y512" s="209">
        <f t="shared" si="143"/>
        <v>0</v>
      </c>
      <c r="Z512" s="209">
        <f t="shared" si="144"/>
        <v>-0.74</v>
      </c>
      <c r="AA512" s="205">
        <f t="shared" si="145"/>
        <v>0</v>
      </c>
      <c r="AB512" s="209">
        <f t="shared" si="146"/>
        <v>0</v>
      </c>
      <c r="AC512" s="205">
        <f t="shared" si="147"/>
        <v>0</v>
      </c>
      <c r="AD512" s="210">
        <f t="shared" si="148"/>
        <v>0.85972222222335404</v>
      </c>
      <c r="AE512" s="210">
        <f t="shared" si="149"/>
        <v>0</v>
      </c>
      <c r="AF512" s="210">
        <f t="shared" si="150"/>
        <v>0.85972222222335404</v>
      </c>
      <c r="AG512" s="210">
        <f t="shared" si="151"/>
        <v>0</v>
      </c>
    </row>
    <row r="513" spans="2:33" ht="15" customHeight="1" x14ac:dyDescent="0.3">
      <c r="B513" s="196" t="s">
        <v>7</v>
      </c>
      <c r="C513" s="197" t="s">
        <v>13</v>
      </c>
      <c r="D513" s="198" t="str">
        <f t="shared" si="133"/>
        <v>C</v>
      </c>
      <c r="E513" s="199">
        <v>43872.017361111109</v>
      </c>
      <c r="F513" s="200" t="s">
        <v>119</v>
      </c>
      <c r="G513" s="201">
        <v>0.84433999999999998</v>
      </c>
      <c r="H513" s="201">
        <v>0.84669000000000005</v>
      </c>
      <c r="I513" s="202">
        <f t="shared" si="134"/>
        <v>2.3500000000000743E-3</v>
      </c>
      <c r="J513" s="201">
        <v>0.83806000000000003</v>
      </c>
      <c r="K513" s="199">
        <v>43874.440972222219</v>
      </c>
      <c r="L513" s="201">
        <v>0.83806000000000003</v>
      </c>
      <c r="M513" s="203">
        <f t="shared" si="135"/>
        <v>6.3E-3</v>
      </c>
      <c r="N513" s="204">
        <f t="shared" si="136"/>
        <v>2.68</v>
      </c>
      <c r="O513" s="205">
        <f t="shared" si="137"/>
        <v>0</v>
      </c>
      <c r="P513" s="206">
        <f t="shared" si="138"/>
        <v>2.68</v>
      </c>
      <c r="Q513" s="206">
        <f t="shared" si="139"/>
        <v>0</v>
      </c>
      <c r="R51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120750</v>
      </c>
      <c r="T51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120750</v>
      </c>
      <c r="U51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13" s="209">
        <f t="shared" si="140"/>
        <v>2.68</v>
      </c>
      <c r="W513" s="209">
        <f t="shared" si="141"/>
        <v>0</v>
      </c>
      <c r="X513" s="209">
        <f t="shared" si="142"/>
        <v>0</v>
      </c>
      <c r="Y513" s="209">
        <f t="shared" si="143"/>
        <v>0</v>
      </c>
      <c r="Z513" s="209">
        <f t="shared" si="144"/>
        <v>0</v>
      </c>
      <c r="AA513" s="205">
        <f t="shared" si="145"/>
        <v>0</v>
      </c>
      <c r="AB513" s="209">
        <f t="shared" si="146"/>
        <v>0</v>
      </c>
      <c r="AC513" s="205">
        <f t="shared" si="147"/>
        <v>0</v>
      </c>
      <c r="AD513" s="210">
        <f t="shared" si="148"/>
        <v>2.4236111111094942</v>
      </c>
      <c r="AE513" s="210">
        <f t="shared" si="149"/>
        <v>2.4236111111094942</v>
      </c>
      <c r="AF513" s="210">
        <f t="shared" si="150"/>
        <v>0</v>
      </c>
      <c r="AG513" s="210">
        <f t="shared" si="151"/>
        <v>0</v>
      </c>
    </row>
    <row r="514" spans="2:33" ht="15" customHeight="1" x14ac:dyDescent="0.3">
      <c r="B514" s="196" t="s">
        <v>5</v>
      </c>
      <c r="C514" s="197" t="s">
        <v>15</v>
      </c>
      <c r="D514" s="198" t="str">
        <f t="shared" si="133"/>
        <v>C</v>
      </c>
      <c r="E514" s="199">
        <v>43872.166666666664</v>
      </c>
      <c r="F514" s="200" t="s">
        <v>94</v>
      </c>
      <c r="G514" s="201">
        <v>7493.29</v>
      </c>
      <c r="H514" s="201">
        <v>7431.24</v>
      </c>
      <c r="I514" s="202">
        <f t="shared" si="134"/>
        <v>62.050000000000182</v>
      </c>
      <c r="J514" s="201">
        <v>7803.55</v>
      </c>
      <c r="K514" s="199">
        <v>43874.386111111111</v>
      </c>
      <c r="L514" s="201">
        <v>7491.79</v>
      </c>
      <c r="M514" s="203">
        <f t="shared" si="135"/>
        <v>-1.5</v>
      </c>
      <c r="N514" s="204">
        <f t="shared" si="136"/>
        <v>-0.02</v>
      </c>
      <c r="O514" s="205">
        <f t="shared" si="137"/>
        <v>0</v>
      </c>
      <c r="P514" s="206">
        <f t="shared" si="138"/>
        <v>0</v>
      </c>
      <c r="Q514" s="206">
        <f t="shared" si="139"/>
        <v>-0.02</v>
      </c>
      <c r="R51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118070</v>
      </c>
      <c r="T51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118090</v>
      </c>
      <c r="U514" s="208">
        <f ca="1">IF(Tabla33610673[[#This Row],[Equity]]&lt;Tabla33610673[[#This Row],[Equity Peak]],(Tabla33610673[[#This Row],[Equity Peak]]-Tabla33610673[[#This Row],[Equity]])/Tabla33610673[[#This Row],[Equity Peak]],"")</f>
        <v>1.6936235074942841E-4</v>
      </c>
      <c r="V514" s="209">
        <f t="shared" si="140"/>
        <v>0</v>
      </c>
      <c r="W514" s="209">
        <f t="shared" si="141"/>
        <v>0</v>
      </c>
      <c r="X514" s="209">
        <f t="shared" si="142"/>
        <v>0</v>
      </c>
      <c r="Y514" s="209">
        <f t="shared" si="143"/>
        <v>0</v>
      </c>
      <c r="Z514" s="209">
        <f t="shared" si="144"/>
        <v>-0.02</v>
      </c>
      <c r="AA514" s="205">
        <f t="shared" si="145"/>
        <v>0</v>
      </c>
      <c r="AB514" s="209">
        <f t="shared" si="146"/>
        <v>0</v>
      </c>
      <c r="AC514" s="205">
        <f t="shared" si="147"/>
        <v>0</v>
      </c>
      <c r="AD514" s="210">
        <f t="shared" si="148"/>
        <v>2.2194444444467081</v>
      </c>
      <c r="AE514" s="210">
        <f t="shared" si="149"/>
        <v>0</v>
      </c>
      <c r="AF514" s="210">
        <f t="shared" si="150"/>
        <v>2.2194444444467081</v>
      </c>
      <c r="AG514" s="210">
        <f t="shared" si="151"/>
        <v>0</v>
      </c>
    </row>
    <row r="515" spans="2:33" ht="15" customHeight="1" x14ac:dyDescent="0.3">
      <c r="B515" s="196" t="s">
        <v>5</v>
      </c>
      <c r="C515" s="197" t="s">
        <v>15</v>
      </c>
      <c r="D515" s="198" t="str">
        <f t="shared" si="133"/>
        <v>C</v>
      </c>
      <c r="E515" s="199">
        <v>43865.833333333336</v>
      </c>
      <c r="F515" s="200" t="s">
        <v>92</v>
      </c>
      <c r="G515" s="201">
        <v>9323.7999999999993</v>
      </c>
      <c r="H515" s="201">
        <v>9213.56</v>
      </c>
      <c r="I515" s="202">
        <f t="shared" si="134"/>
        <v>110.23999999999978</v>
      </c>
      <c r="J515" s="201">
        <v>10058.719999999999</v>
      </c>
      <c r="K515" s="199">
        <v>43872.943749999999</v>
      </c>
      <c r="L515" s="201">
        <v>9494.25</v>
      </c>
      <c r="M515" s="203">
        <f t="shared" si="135"/>
        <v>170.45</v>
      </c>
      <c r="N515" s="204">
        <f t="shared" si="136"/>
        <v>1.55</v>
      </c>
      <c r="O515" s="205">
        <f t="shared" si="137"/>
        <v>0</v>
      </c>
      <c r="P515" s="206">
        <f t="shared" si="138"/>
        <v>1.55</v>
      </c>
      <c r="Q515" s="206">
        <f t="shared" si="139"/>
        <v>0</v>
      </c>
      <c r="R51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118090</v>
      </c>
      <c r="T51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118090</v>
      </c>
      <c r="U51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15" s="209">
        <f t="shared" si="140"/>
        <v>0</v>
      </c>
      <c r="W515" s="209">
        <f t="shared" si="141"/>
        <v>0</v>
      </c>
      <c r="X515" s="209">
        <f t="shared" si="142"/>
        <v>0</v>
      </c>
      <c r="Y515" s="209">
        <f t="shared" si="143"/>
        <v>0</v>
      </c>
      <c r="Z515" s="209">
        <f t="shared" si="144"/>
        <v>1.55</v>
      </c>
      <c r="AA515" s="205">
        <f t="shared" si="145"/>
        <v>0</v>
      </c>
      <c r="AB515" s="209">
        <f t="shared" si="146"/>
        <v>0</v>
      </c>
      <c r="AC515" s="205">
        <f t="shared" si="147"/>
        <v>0</v>
      </c>
      <c r="AD515" s="210">
        <f t="shared" si="148"/>
        <v>7.1104166666627862</v>
      </c>
      <c r="AE515" s="210">
        <f t="shared" si="149"/>
        <v>7.1104166666627862</v>
      </c>
      <c r="AF515" s="210">
        <f t="shared" si="150"/>
        <v>0</v>
      </c>
      <c r="AG515" s="210">
        <f t="shared" si="151"/>
        <v>0</v>
      </c>
    </row>
    <row r="516" spans="2:33" ht="15" customHeight="1" x14ac:dyDescent="0.3">
      <c r="B516" s="196" t="s">
        <v>5</v>
      </c>
      <c r="C516" s="197" t="s">
        <v>13</v>
      </c>
      <c r="D516" s="198" t="str">
        <f t="shared" si="133"/>
        <v>C</v>
      </c>
      <c r="E516" s="199">
        <v>43871.375</v>
      </c>
      <c r="F516" s="200" t="s">
        <v>94</v>
      </c>
      <c r="G516" s="201">
        <v>7458.11</v>
      </c>
      <c r="H516" s="201">
        <v>7524.15</v>
      </c>
      <c r="I516" s="202">
        <f t="shared" si="134"/>
        <v>66.039999999999964</v>
      </c>
      <c r="J516" s="201">
        <v>7127.89</v>
      </c>
      <c r="K516" s="199">
        <v>43872.104166666664</v>
      </c>
      <c r="L516" s="201">
        <v>7488.48</v>
      </c>
      <c r="M516" s="203">
        <f t="shared" si="135"/>
        <v>-30.37</v>
      </c>
      <c r="N516" s="204">
        <f t="shared" si="136"/>
        <v>-0.46</v>
      </c>
      <c r="O516" s="205">
        <f t="shared" si="137"/>
        <v>0</v>
      </c>
      <c r="P516" s="206">
        <f t="shared" si="138"/>
        <v>0</v>
      </c>
      <c r="Q516" s="206">
        <f t="shared" si="139"/>
        <v>-0.46</v>
      </c>
      <c r="R51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116540</v>
      </c>
      <c r="T51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118090</v>
      </c>
      <c r="U516" s="208">
        <f ca="1">IF(Tabla33610673[[#This Row],[Equity]]&lt;Tabla33610673[[#This Row],[Equity Peak]],(Tabla33610673[[#This Row],[Equity Peak]]-Tabla33610673[[#This Row],[Equity]])/Tabla33610673[[#This Row],[Equity Peak]],"")</f>
        <v>1.3125582183080702E-2</v>
      </c>
      <c r="V516" s="209">
        <f t="shared" si="140"/>
        <v>0</v>
      </c>
      <c r="W516" s="209">
        <f t="shared" si="141"/>
        <v>0</v>
      </c>
      <c r="X516" s="209">
        <f t="shared" si="142"/>
        <v>0</v>
      </c>
      <c r="Y516" s="209">
        <f t="shared" si="143"/>
        <v>0</v>
      </c>
      <c r="Z516" s="209">
        <f t="shared" si="144"/>
        <v>-0.46</v>
      </c>
      <c r="AA516" s="205">
        <f t="shared" si="145"/>
        <v>0</v>
      </c>
      <c r="AB516" s="209">
        <f t="shared" si="146"/>
        <v>0</v>
      </c>
      <c r="AC516" s="205">
        <f t="shared" si="147"/>
        <v>0</v>
      </c>
      <c r="AD516" s="210">
        <f t="shared" si="148"/>
        <v>0.72916666666424135</v>
      </c>
      <c r="AE516" s="210">
        <f t="shared" si="149"/>
        <v>0</v>
      </c>
      <c r="AF516" s="210">
        <f t="shared" si="150"/>
        <v>0.72916666666424135</v>
      </c>
      <c r="AG516" s="210">
        <f t="shared" si="151"/>
        <v>0</v>
      </c>
    </row>
    <row r="517" spans="2:33" ht="15" customHeight="1" x14ac:dyDescent="0.3">
      <c r="B517" s="196" t="s">
        <v>7</v>
      </c>
      <c r="C517" s="197" t="s">
        <v>13</v>
      </c>
      <c r="D517" s="198" t="str">
        <f t="shared" si="133"/>
        <v>C</v>
      </c>
      <c r="E517" s="199">
        <v>43868.666666666664</v>
      </c>
      <c r="F517" s="200" t="s">
        <v>121</v>
      </c>
      <c r="G517" s="201">
        <v>0.66747000000000001</v>
      </c>
      <c r="H517" s="201">
        <v>0.67064999999999997</v>
      </c>
      <c r="I517" s="202">
        <f t="shared" si="134"/>
        <v>3.1799999999999606E-3</v>
      </c>
      <c r="J517" s="201">
        <v>0.65051999999999999</v>
      </c>
      <c r="K517" s="199">
        <v>43871.370138888888</v>
      </c>
      <c r="L517" s="201">
        <v>0.67064999999999997</v>
      </c>
      <c r="M517" s="203">
        <f t="shared" si="135"/>
        <v>-3.2000000000000002E-3</v>
      </c>
      <c r="N517" s="204">
        <f t="shared" si="136"/>
        <v>-1.01</v>
      </c>
      <c r="O517" s="205">
        <f t="shared" si="137"/>
        <v>0</v>
      </c>
      <c r="P517" s="206">
        <f t="shared" si="138"/>
        <v>0</v>
      </c>
      <c r="Q517" s="206">
        <f t="shared" si="139"/>
        <v>-1.01</v>
      </c>
      <c r="R5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117000</v>
      </c>
      <c r="T5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118090</v>
      </c>
      <c r="U517" s="208">
        <f ca="1">IF(Tabla33610673[[#This Row],[Equity]]&lt;Tabla33610673[[#This Row],[Equity Peak]],(Tabla33610673[[#This Row],[Equity Peak]]-Tabla33610673[[#This Row],[Equity]])/Tabla33610673[[#This Row],[Equity Peak]],"")</f>
        <v>9.2302481158438483E-3</v>
      </c>
      <c r="V517" s="209">
        <f t="shared" si="140"/>
        <v>-1.01</v>
      </c>
      <c r="W517" s="209">
        <f t="shared" si="141"/>
        <v>0</v>
      </c>
      <c r="X517" s="209">
        <f t="shared" si="142"/>
        <v>0</v>
      </c>
      <c r="Y517" s="209">
        <f t="shared" si="143"/>
        <v>0</v>
      </c>
      <c r="Z517" s="209">
        <f t="shared" si="144"/>
        <v>0</v>
      </c>
      <c r="AA517" s="205">
        <f t="shared" si="145"/>
        <v>0</v>
      </c>
      <c r="AB517" s="209">
        <f t="shared" si="146"/>
        <v>0</v>
      </c>
      <c r="AC517" s="205">
        <f t="shared" si="147"/>
        <v>0</v>
      </c>
      <c r="AD517" s="210">
        <f t="shared" si="148"/>
        <v>2.703472222223354</v>
      </c>
      <c r="AE517" s="210">
        <f t="shared" si="149"/>
        <v>0</v>
      </c>
      <c r="AF517" s="210">
        <f t="shared" si="150"/>
        <v>2.703472222223354</v>
      </c>
      <c r="AG517" s="210">
        <f t="shared" si="151"/>
        <v>0</v>
      </c>
    </row>
    <row r="518" spans="2:33" ht="15" customHeight="1" x14ac:dyDescent="0.3">
      <c r="B518" s="196" t="s">
        <v>7</v>
      </c>
      <c r="C518" s="197" t="s">
        <v>15</v>
      </c>
      <c r="D518" s="198" t="str">
        <f t="shared" si="133"/>
        <v>C</v>
      </c>
      <c r="E518" s="199">
        <v>43868.333333333336</v>
      </c>
      <c r="F518" s="200" t="s">
        <v>120</v>
      </c>
      <c r="G518" s="201">
        <v>1.63462</v>
      </c>
      <c r="H518" s="201">
        <v>1.6273200000000001</v>
      </c>
      <c r="I518" s="202">
        <f t="shared" si="134"/>
        <v>7.2999999999998622E-3</v>
      </c>
      <c r="J518" s="201">
        <v>1.71252</v>
      </c>
      <c r="K518" s="199">
        <v>43871.270833333336</v>
      </c>
      <c r="L518" s="201">
        <v>1.63402</v>
      </c>
      <c r="M518" s="203">
        <f t="shared" si="135"/>
        <v>-5.9999999999999995E-4</v>
      </c>
      <c r="N518" s="204">
        <f t="shared" si="136"/>
        <v>-0.08</v>
      </c>
      <c r="O518" s="205">
        <f t="shared" si="137"/>
        <v>0</v>
      </c>
      <c r="P518" s="206">
        <f t="shared" si="138"/>
        <v>0</v>
      </c>
      <c r="Q518" s="206">
        <f t="shared" si="139"/>
        <v>-0.08</v>
      </c>
      <c r="R5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118010</v>
      </c>
      <c r="T5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118090</v>
      </c>
      <c r="U518" s="208">
        <f ca="1">IF(Tabla33610673[[#This Row],[Equity]]&lt;Tabla33610673[[#This Row],[Equity Peak]],(Tabla33610673[[#This Row],[Equity Peak]]-Tabla33610673[[#This Row],[Equity]])/Tabla33610673[[#This Row],[Equity Peak]],"")</f>
        <v>6.7744940299771365E-4</v>
      </c>
      <c r="V518" s="209">
        <f t="shared" si="140"/>
        <v>-0.08</v>
      </c>
      <c r="W518" s="209">
        <f t="shared" si="141"/>
        <v>0</v>
      </c>
      <c r="X518" s="209">
        <f t="shared" si="142"/>
        <v>0</v>
      </c>
      <c r="Y518" s="209">
        <f t="shared" si="143"/>
        <v>0</v>
      </c>
      <c r="Z518" s="209">
        <f t="shared" si="144"/>
        <v>0</v>
      </c>
      <c r="AA518" s="205">
        <f t="shared" si="145"/>
        <v>0</v>
      </c>
      <c r="AB518" s="209">
        <f t="shared" si="146"/>
        <v>0</v>
      </c>
      <c r="AC518" s="205">
        <f t="shared" si="147"/>
        <v>0</v>
      </c>
      <c r="AD518" s="210">
        <f t="shared" si="148"/>
        <v>2.9375</v>
      </c>
      <c r="AE518" s="210">
        <f t="shared" si="149"/>
        <v>0</v>
      </c>
      <c r="AF518" s="210">
        <f t="shared" si="150"/>
        <v>2.9375</v>
      </c>
      <c r="AG518" s="210">
        <f t="shared" si="151"/>
        <v>0</v>
      </c>
    </row>
    <row r="519" spans="2:33" ht="15" customHeight="1" x14ac:dyDescent="0.3">
      <c r="B519" s="196" t="s">
        <v>7</v>
      </c>
      <c r="C519" s="197" t="s">
        <v>15</v>
      </c>
      <c r="D519" s="198" t="str">
        <f t="shared" si="133"/>
        <v>C</v>
      </c>
      <c r="E519" s="199">
        <v>43866.166666666664</v>
      </c>
      <c r="F519" s="200" t="s">
        <v>113</v>
      </c>
      <c r="G519" s="201">
        <v>109.48699999999999</v>
      </c>
      <c r="H519" s="201">
        <v>108.822</v>
      </c>
      <c r="I519" s="202">
        <f t="shared" si="134"/>
        <v>0.66499999999999204</v>
      </c>
      <c r="J519" s="201">
        <v>112.589</v>
      </c>
      <c r="K519" s="199">
        <v>43868.675694444442</v>
      </c>
      <c r="L519" s="201">
        <v>109.624</v>
      </c>
      <c r="M519" s="203">
        <f t="shared" si="135"/>
        <v>0.13700000000000001</v>
      </c>
      <c r="N519" s="204">
        <f t="shared" si="136"/>
        <v>0.21</v>
      </c>
      <c r="O519" s="205">
        <f t="shared" si="137"/>
        <v>0</v>
      </c>
      <c r="P519" s="206">
        <f t="shared" si="138"/>
        <v>0.21</v>
      </c>
      <c r="Q519" s="206">
        <f t="shared" si="139"/>
        <v>0</v>
      </c>
      <c r="R5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118090</v>
      </c>
      <c r="T5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118090</v>
      </c>
      <c r="U51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19" s="209">
        <f t="shared" si="140"/>
        <v>0.21</v>
      </c>
      <c r="W519" s="209">
        <f t="shared" si="141"/>
        <v>0</v>
      </c>
      <c r="X519" s="209">
        <f t="shared" si="142"/>
        <v>0</v>
      </c>
      <c r="Y519" s="209">
        <f t="shared" si="143"/>
        <v>0</v>
      </c>
      <c r="Z519" s="209">
        <f t="shared" si="144"/>
        <v>0</v>
      </c>
      <c r="AA519" s="205">
        <f t="shared" si="145"/>
        <v>0</v>
      </c>
      <c r="AB519" s="209">
        <f t="shared" si="146"/>
        <v>0</v>
      </c>
      <c r="AC519" s="205">
        <f t="shared" si="147"/>
        <v>0</v>
      </c>
      <c r="AD519" s="210">
        <f t="shared" si="148"/>
        <v>2.5090277777781012</v>
      </c>
      <c r="AE519" s="210">
        <f t="shared" si="149"/>
        <v>2.5090277777781012</v>
      </c>
      <c r="AF519" s="210">
        <f t="shared" si="150"/>
        <v>0</v>
      </c>
      <c r="AG519" s="210">
        <f t="shared" si="151"/>
        <v>0</v>
      </c>
    </row>
    <row r="520" spans="2:33" ht="15" customHeight="1" x14ac:dyDescent="0.3">
      <c r="B520" s="196" t="s">
        <v>5</v>
      </c>
      <c r="C520" s="197" t="s">
        <v>15</v>
      </c>
      <c r="D520" s="198" t="str">
        <f t="shared" si="133"/>
        <v>C</v>
      </c>
      <c r="E520" s="199">
        <v>43866.666666666664</v>
      </c>
      <c r="F520" s="200" t="s">
        <v>94</v>
      </c>
      <c r="G520" s="201">
        <v>7490.55</v>
      </c>
      <c r="H520" s="201">
        <v>7410.27</v>
      </c>
      <c r="I520" s="202">
        <f t="shared" si="134"/>
        <v>80.279999999999745</v>
      </c>
      <c r="J520" s="201">
        <v>7891.97</v>
      </c>
      <c r="K520" s="199">
        <v>43868.434027777781</v>
      </c>
      <c r="L520" s="201">
        <v>7473.52</v>
      </c>
      <c r="M520" s="203">
        <f t="shared" si="135"/>
        <v>-17.03</v>
      </c>
      <c r="N520" s="204">
        <f t="shared" si="136"/>
        <v>-0.21</v>
      </c>
      <c r="O520" s="205">
        <f t="shared" si="137"/>
        <v>0</v>
      </c>
      <c r="P520" s="206">
        <f t="shared" si="138"/>
        <v>0</v>
      </c>
      <c r="Q520" s="206">
        <f t="shared" si="139"/>
        <v>-0.21</v>
      </c>
      <c r="R5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117880</v>
      </c>
      <c r="T5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118090</v>
      </c>
      <c r="U520" s="208">
        <f ca="1">IF(Tabla33610673[[#This Row],[Equity]]&lt;Tabla33610673[[#This Row],[Equity Peak]],(Tabla33610673[[#This Row],[Equity Peak]]-Tabla33610673[[#This Row],[Equity]])/Tabla33610673[[#This Row],[Equity Peak]],"")</f>
        <v>1.7783046828689982E-3</v>
      </c>
      <c r="V520" s="209">
        <f t="shared" si="140"/>
        <v>0</v>
      </c>
      <c r="W520" s="209">
        <f t="shared" si="141"/>
        <v>0</v>
      </c>
      <c r="X520" s="209">
        <f t="shared" si="142"/>
        <v>0</v>
      </c>
      <c r="Y520" s="209">
        <f t="shared" si="143"/>
        <v>0</v>
      </c>
      <c r="Z520" s="209">
        <f t="shared" si="144"/>
        <v>-0.21</v>
      </c>
      <c r="AA520" s="205">
        <f t="shared" si="145"/>
        <v>0</v>
      </c>
      <c r="AB520" s="209">
        <f t="shared" si="146"/>
        <v>0</v>
      </c>
      <c r="AC520" s="205">
        <f t="shared" si="147"/>
        <v>0</v>
      </c>
      <c r="AD520" s="210">
        <f t="shared" si="148"/>
        <v>1.7673611111167702</v>
      </c>
      <c r="AE520" s="210">
        <f t="shared" si="149"/>
        <v>0</v>
      </c>
      <c r="AF520" s="210">
        <f t="shared" si="150"/>
        <v>1.7673611111167702</v>
      </c>
      <c r="AG520" s="210">
        <f t="shared" si="151"/>
        <v>0</v>
      </c>
    </row>
    <row r="521" spans="2:33" ht="15" customHeight="1" x14ac:dyDescent="0.3">
      <c r="B521" s="196" t="s">
        <v>5</v>
      </c>
      <c r="C521" s="197" t="s">
        <v>15</v>
      </c>
      <c r="D521" s="198" t="str">
        <f t="shared" si="133"/>
        <v>C</v>
      </c>
      <c r="E521" s="199">
        <v>43866.166666666664</v>
      </c>
      <c r="F521" s="200" t="s">
        <v>95</v>
      </c>
      <c r="G521" s="201">
        <v>28832.9</v>
      </c>
      <c r="H521" s="201">
        <v>28691.01</v>
      </c>
      <c r="I521" s="202">
        <f t="shared" si="134"/>
        <v>141.89000000000306</v>
      </c>
      <c r="J521" s="201">
        <v>29400.45</v>
      </c>
      <c r="K521" s="199">
        <v>43867.107638888891</v>
      </c>
      <c r="L521" s="201">
        <v>29400.45</v>
      </c>
      <c r="M521" s="203">
        <f t="shared" si="135"/>
        <v>567.54999999999995</v>
      </c>
      <c r="N521" s="204">
        <f t="shared" si="136"/>
        <v>4</v>
      </c>
      <c r="O521" s="205">
        <f t="shared" si="137"/>
        <v>0</v>
      </c>
      <c r="P521" s="206">
        <f t="shared" si="138"/>
        <v>4</v>
      </c>
      <c r="Q521" s="206">
        <f t="shared" si="139"/>
        <v>0</v>
      </c>
      <c r="R5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118090</v>
      </c>
      <c r="T5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118090</v>
      </c>
      <c r="U52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21" s="209">
        <f t="shared" si="140"/>
        <v>0</v>
      </c>
      <c r="W521" s="209">
        <f t="shared" si="141"/>
        <v>0</v>
      </c>
      <c r="X521" s="209">
        <f t="shared" si="142"/>
        <v>0</v>
      </c>
      <c r="Y521" s="209">
        <f t="shared" si="143"/>
        <v>0</v>
      </c>
      <c r="Z521" s="209">
        <f t="shared" si="144"/>
        <v>4</v>
      </c>
      <c r="AA521" s="205">
        <f t="shared" si="145"/>
        <v>0</v>
      </c>
      <c r="AB521" s="209">
        <f t="shared" si="146"/>
        <v>0</v>
      </c>
      <c r="AC521" s="205">
        <f t="shared" si="147"/>
        <v>0</v>
      </c>
      <c r="AD521" s="210">
        <f t="shared" si="148"/>
        <v>0.94097222222626442</v>
      </c>
      <c r="AE521" s="210">
        <f t="shared" si="149"/>
        <v>0.94097222222626442</v>
      </c>
      <c r="AF521" s="210">
        <f t="shared" si="150"/>
        <v>0</v>
      </c>
      <c r="AG521" s="210">
        <f t="shared" si="151"/>
        <v>0</v>
      </c>
    </row>
    <row r="522" spans="2:33" ht="15" customHeight="1" x14ac:dyDescent="0.3">
      <c r="B522" s="196" t="s">
        <v>7</v>
      </c>
      <c r="C522" s="197" t="s">
        <v>13</v>
      </c>
      <c r="D522" s="198" t="str">
        <f t="shared" si="133"/>
        <v>C</v>
      </c>
      <c r="E522" s="199">
        <v>43860.666666666664</v>
      </c>
      <c r="F522" s="200" t="s">
        <v>121</v>
      </c>
      <c r="G522" s="201">
        <v>0.67183999999999999</v>
      </c>
      <c r="H522" s="201">
        <v>0.67444999999999999</v>
      </c>
      <c r="I522" s="202">
        <f t="shared" si="134"/>
        <v>2.6100000000000012E-3</v>
      </c>
      <c r="J522" s="201">
        <v>0.65791999999999995</v>
      </c>
      <c r="K522" s="199">
        <v>43866.201388888891</v>
      </c>
      <c r="L522" s="201">
        <v>0.67444999999999999</v>
      </c>
      <c r="M522" s="203">
        <f t="shared" si="135"/>
        <v>-2.5999999999999999E-3</v>
      </c>
      <c r="N522" s="204">
        <f t="shared" si="136"/>
        <v>-1</v>
      </c>
      <c r="O522" s="205">
        <f t="shared" si="137"/>
        <v>0</v>
      </c>
      <c r="P522" s="206">
        <f t="shared" si="138"/>
        <v>0</v>
      </c>
      <c r="Q522" s="206">
        <f t="shared" si="139"/>
        <v>-1</v>
      </c>
      <c r="R5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114090</v>
      </c>
      <c r="T5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115090</v>
      </c>
      <c r="U522" s="208">
        <f ca="1">IF(Tabla33610673[[#This Row],[Equity]]&lt;Tabla33610673[[#This Row],[Equity Peak]],(Tabla33610673[[#This Row],[Equity Peak]]-Tabla33610673[[#This Row],[Equity]])/Tabla33610673[[#This Row],[Equity Peak]],"")</f>
        <v>8.6888522026240325E-3</v>
      </c>
      <c r="V522" s="209">
        <f t="shared" si="140"/>
        <v>-1</v>
      </c>
      <c r="W522" s="209">
        <f t="shared" si="141"/>
        <v>0</v>
      </c>
      <c r="X522" s="209">
        <f t="shared" si="142"/>
        <v>0</v>
      </c>
      <c r="Y522" s="209">
        <f t="shared" si="143"/>
        <v>0</v>
      </c>
      <c r="Z522" s="209">
        <f t="shared" si="144"/>
        <v>0</v>
      </c>
      <c r="AA522" s="205">
        <f t="shared" si="145"/>
        <v>0</v>
      </c>
      <c r="AB522" s="209">
        <f t="shared" si="146"/>
        <v>0</v>
      </c>
      <c r="AC522" s="205">
        <f t="shared" si="147"/>
        <v>0</v>
      </c>
      <c r="AD522" s="210">
        <f t="shared" si="148"/>
        <v>5.5347222222262644</v>
      </c>
      <c r="AE522" s="210">
        <f t="shared" si="149"/>
        <v>0</v>
      </c>
      <c r="AF522" s="210">
        <f t="shared" si="150"/>
        <v>5.5347222222262644</v>
      </c>
      <c r="AG522" s="210">
        <f t="shared" si="151"/>
        <v>0</v>
      </c>
    </row>
    <row r="523" spans="2:33" ht="15" customHeight="1" x14ac:dyDescent="0.3">
      <c r="B523" s="196" t="s">
        <v>7</v>
      </c>
      <c r="C523" s="197" t="s">
        <v>13</v>
      </c>
      <c r="D523" s="198" t="str">
        <f t="shared" si="133"/>
        <v>C</v>
      </c>
      <c r="E523" s="199">
        <v>43851.833333333336</v>
      </c>
      <c r="F523" s="200" t="s">
        <v>122</v>
      </c>
      <c r="G523" s="201">
        <v>75.31</v>
      </c>
      <c r="H523" s="201">
        <v>75.649000000000001</v>
      </c>
      <c r="I523" s="202">
        <f t="shared" si="134"/>
        <v>0.33899999999999864</v>
      </c>
      <c r="J523" s="201">
        <v>69.433999999999997</v>
      </c>
      <c r="K523" s="199">
        <v>43865.406944444447</v>
      </c>
      <c r="L523" s="201">
        <v>73.236999999999995</v>
      </c>
      <c r="M523" s="203">
        <f t="shared" si="135"/>
        <v>2.073</v>
      </c>
      <c r="N523" s="204">
        <f t="shared" si="136"/>
        <v>6.12</v>
      </c>
      <c r="O523" s="205">
        <f t="shared" si="137"/>
        <v>0</v>
      </c>
      <c r="P523" s="206">
        <f t="shared" si="138"/>
        <v>6.12</v>
      </c>
      <c r="Q523" s="206">
        <f t="shared" si="139"/>
        <v>0</v>
      </c>
      <c r="R5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115090</v>
      </c>
      <c r="T5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115090</v>
      </c>
      <c r="U52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23" s="209">
        <f t="shared" si="140"/>
        <v>6.12</v>
      </c>
      <c r="W523" s="209">
        <f t="shared" si="141"/>
        <v>0</v>
      </c>
      <c r="X523" s="209">
        <f t="shared" si="142"/>
        <v>0</v>
      </c>
      <c r="Y523" s="209">
        <f t="shared" si="143"/>
        <v>0</v>
      </c>
      <c r="Z523" s="209">
        <f t="shared" si="144"/>
        <v>0</v>
      </c>
      <c r="AA523" s="205">
        <f t="shared" si="145"/>
        <v>0</v>
      </c>
      <c r="AB523" s="209">
        <f t="shared" si="146"/>
        <v>0</v>
      </c>
      <c r="AC523" s="205">
        <f t="shared" si="147"/>
        <v>0</v>
      </c>
      <c r="AD523" s="210">
        <f t="shared" si="148"/>
        <v>13.573611111110949</v>
      </c>
      <c r="AE523" s="210">
        <f t="shared" si="149"/>
        <v>13.573611111110949</v>
      </c>
      <c r="AF523" s="210">
        <f t="shared" si="150"/>
        <v>0</v>
      </c>
      <c r="AG523" s="210">
        <f t="shared" si="151"/>
        <v>0</v>
      </c>
    </row>
    <row r="524" spans="2:33" ht="15" customHeight="1" x14ac:dyDescent="0.3">
      <c r="B524" s="196" t="s">
        <v>7</v>
      </c>
      <c r="C524" s="197" t="s">
        <v>15</v>
      </c>
      <c r="D524" s="198" t="str">
        <f t="shared" si="133"/>
        <v>C</v>
      </c>
      <c r="E524" s="199">
        <v>43854.833333333336</v>
      </c>
      <c r="F524" s="200" t="s">
        <v>120</v>
      </c>
      <c r="G524" s="201">
        <v>1.6160699999999999</v>
      </c>
      <c r="H524" s="201">
        <v>1.6099300000000001</v>
      </c>
      <c r="I524" s="202">
        <f t="shared" si="134"/>
        <v>6.1399999999998123E-3</v>
      </c>
      <c r="J524" s="201">
        <v>1.6815800000000001</v>
      </c>
      <c r="K524" s="199">
        <v>43864.677083333336</v>
      </c>
      <c r="L524" s="201">
        <v>1.6485300000000001</v>
      </c>
      <c r="M524" s="203">
        <f t="shared" si="135"/>
        <v>3.2500000000000001E-2</v>
      </c>
      <c r="N524" s="204">
        <f t="shared" si="136"/>
        <v>5.29</v>
      </c>
      <c r="O524" s="205">
        <f t="shared" si="137"/>
        <v>0</v>
      </c>
      <c r="P524" s="206">
        <f t="shared" si="138"/>
        <v>5.29</v>
      </c>
      <c r="Q524" s="206">
        <f t="shared" si="139"/>
        <v>0</v>
      </c>
      <c r="R5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108970</v>
      </c>
      <c r="T5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108970</v>
      </c>
      <c r="U52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24" s="209">
        <f t="shared" si="140"/>
        <v>5.29</v>
      </c>
      <c r="W524" s="209">
        <f t="shared" si="141"/>
        <v>0</v>
      </c>
      <c r="X524" s="209">
        <f t="shared" si="142"/>
        <v>0</v>
      </c>
      <c r="Y524" s="209">
        <f t="shared" si="143"/>
        <v>0</v>
      </c>
      <c r="Z524" s="209">
        <f t="shared" si="144"/>
        <v>0</v>
      </c>
      <c r="AA524" s="205">
        <f t="shared" si="145"/>
        <v>0</v>
      </c>
      <c r="AB524" s="209">
        <f t="shared" si="146"/>
        <v>0</v>
      </c>
      <c r="AC524" s="205">
        <f t="shared" si="147"/>
        <v>0</v>
      </c>
      <c r="AD524" s="210">
        <f t="shared" si="148"/>
        <v>9.84375</v>
      </c>
      <c r="AE524" s="210">
        <f t="shared" si="149"/>
        <v>9.84375</v>
      </c>
      <c r="AF524" s="210">
        <f t="shared" si="150"/>
        <v>0</v>
      </c>
      <c r="AG524" s="210">
        <f t="shared" si="151"/>
        <v>0</v>
      </c>
    </row>
    <row r="525" spans="2:33" ht="15" customHeight="1" x14ac:dyDescent="0.3">
      <c r="B525" s="196" t="s">
        <v>7</v>
      </c>
      <c r="C525" s="197" t="s">
        <v>15</v>
      </c>
      <c r="D525" s="198" t="str">
        <f t="shared" si="133"/>
        <v>C</v>
      </c>
      <c r="E525" s="199">
        <v>43861.5</v>
      </c>
      <c r="F525" s="200" t="s">
        <v>114</v>
      </c>
      <c r="G525" s="201">
        <v>1.31175</v>
      </c>
      <c r="H525" s="201">
        <v>1.3043400000000001</v>
      </c>
      <c r="I525" s="202">
        <f t="shared" si="134"/>
        <v>7.4099999999999167E-3</v>
      </c>
      <c r="J525" s="201">
        <v>1.34137</v>
      </c>
      <c r="K525" s="199">
        <v>43864.442361111112</v>
      </c>
      <c r="L525" s="201">
        <v>1.3084499999999999</v>
      </c>
      <c r="M525" s="203">
        <f t="shared" si="135"/>
        <v>-3.3E-3</v>
      </c>
      <c r="N525" s="204">
        <f t="shared" si="136"/>
        <v>-0.45</v>
      </c>
      <c r="O525" s="205">
        <f t="shared" si="137"/>
        <v>0</v>
      </c>
      <c r="P525" s="206">
        <f t="shared" si="138"/>
        <v>0</v>
      </c>
      <c r="Q525" s="206">
        <f t="shared" si="139"/>
        <v>-0.45</v>
      </c>
      <c r="R5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103680</v>
      </c>
      <c r="T5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25" s="208">
        <f ca="1">IF(Tabla33610673[[#This Row],[Equity]]&lt;Tabla33610673[[#This Row],[Equity Peak]],(Tabla33610673[[#This Row],[Equity Peak]]-Tabla33610673[[#This Row],[Equity]])/Tabla33610673[[#This Row],[Equity Peak]],"")</f>
        <v>2.9486099410278011E-2</v>
      </c>
      <c r="V525" s="209">
        <f t="shared" si="140"/>
        <v>-0.45</v>
      </c>
      <c r="W525" s="209">
        <f t="shared" si="141"/>
        <v>0</v>
      </c>
      <c r="X525" s="209">
        <f t="shared" si="142"/>
        <v>0</v>
      </c>
      <c r="Y525" s="209">
        <f t="shared" si="143"/>
        <v>0</v>
      </c>
      <c r="Z525" s="209">
        <f t="shared" si="144"/>
        <v>0</v>
      </c>
      <c r="AA525" s="205">
        <f t="shared" si="145"/>
        <v>0</v>
      </c>
      <c r="AB525" s="209">
        <f t="shared" si="146"/>
        <v>0</v>
      </c>
      <c r="AC525" s="205">
        <f t="shared" si="147"/>
        <v>0</v>
      </c>
      <c r="AD525" s="210">
        <f t="shared" si="148"/>
        <v>2.9423611111124046</v>
      </c>
      <c r="AE525" s="210">
        <f t="shared" si="149"/>
        <v>0</v>
      </c>
      <c r="AF525" s="210">
        <f t="shared" si="150"/>
        <v>2.9423611111124046</v>
      </c>
      <c r="AG525" s="210">
        <f t="shared" si="151"/>
        <v>0</v>
      </c>
    </row>
    <row r="526" spans="2:33" ht="15" customHeight="1" x14ac:dyDescent="0.3">
      <c r="B526" s="196" t="s">
        <v>7</v>
      </c>
      <c r="C526" s="197" t="s">
        <v>13</v>
      </c>
      <c r="D526" s="198" t="str">
        <f t="shared" si="133"/>
        <v>C</v>
      </c>
      <c r="E526" s="199">
        <v>43853.166666666664</v>
      </c>
      <c r="F526" s="200" t="s">
        <v>118</v>
      </c>
      <c r="G526" s="201">
        <v>121.587</v>
      </c>
      <c r="H526" s="201">
        <v>122.24299999999999</v>
      </c>
      <c r="I526" s="202">
        <f t="shared" si="134"/>
        <v>0.6559999999999917</v>
      </c>
      <c r="J526" s="201">
        <v>118.961</v>
      </c>
      <c r="K526" s="199">
        <v>43861.102777777778</v>
      </c>
      <c r="L526" s="201">
        <v>120.345</v>
      </c>
      <c r="M526" s="203">
        <f t="shared" si="135"/>
        <v>1.242</v>
      </c>
      <c r="N526" s="204">
        <f t="shared" si="136"/>
        <v>1.89</v>
      </c>
      <c r="O526" s="205">
        <f t="shared" si="137"/>
        <v>0</v>
      </c>
      <c r="P526" s="206">
        <f t="shared" si="138"/>
        <v>1.89</v>
      </c>
      <c r="Q526" s="206">
        <f t="shared" si="139"/>
        <v>0</v>
      </c>
      <c r="R5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104130</v>
      </c>
      <c r="T5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26" s="208">
        <f ca="1">IF(Tabla33610673[[#This Row],[Equity]]&lt;Tabla33610673[[#This Row],[Equity Peak]],(Tabla33610673[[#This Row],[Equity Peak]]-Tabla33610673[[#This Row],[Equity]])/Tabla33610673[[#This Row],[Equity Peak]],"")</f>
        <v>2.5273799494524012E-2</v>
      </c>
      <c r="V526" s="209">
        <f t="shared" si="140"/>
        <v>1.89</v>
      </c>
      <c r="W526" s="209">
        <f t="shared" si="141"/>
        <v>0</v>
      </c>
      <c r="X526" s="209">
        <f t="shared" si="142"/>
        <v>0</v>
      </c>
      <c r="Y526" s="209">
        <f t="shared" si="143"/>
        <v>0</v>
      </c>
      <c r="Z526" s="209">
        <f t="shared" si="144"/>
        <v>0</v>
      </c>
      <c r="AA526" s="205">
        <f t="shared" si="145"/>
        <v>0</v>
      </c>
      <c r="AB526" s="209">
        <f t="shared" si="146"/>
        <v>0</v>
      </c>
      <c r="AC526" s="205">
        <f t="shared" si="147"/>
        <v>0</v>
      </c>
      <c r="AD526" s="210">
        <f t="shared" si="148"/>
        <v>7.9361111111138598</v>
      </c>
      <c r="AE526" s="210">
        <f t="shared" si="149"/>
        <v>7.9361111111138598</v>
      </c>
      <c r="AF526" s="210">
        <f t="shared" si="150"/>
        <v>0</v>
      </c>
      <c r="AG526" s="210">
        <f t="shared" si="151"/>
        <v>0</v>
      </c>
    </row>
    <row r="527" spans="2:33" ht="15" customHeight="1" x14ac:dyDescent="0.3">
      <c r="B527" s="196" t="s">
        <v>7</v>
      </c>
      <c r="C527" s="197" t="s">
        <v>13</v>
      </c>
      <c r="D527" s="198" t="str">
        <f t="shared" si="133"/>
        <v>C</v>
      </c>
      <c r="E527" s="199">
        <v>43858.017361111109</v>
      </c>
      <c r="F527" s="200" t="s">
        <v>115</v>
      </c>
      <c r="G527" s="201">
        <v>142.126</v>
      </c>
      <c r="H527" s="201">
        <v>143.417</v>
      </c>
      <c r="I527" s="202">
        <f t="shared" si="134"/>
        <v>1.2909999999999968</v>
      </c>
      <c r="J527" s="201">
        <v>134.89599999999999</v>
      </c>
      <c r="K527" s="199">
        <v>43860.609027777777</v>
      </c>
      <c r="L527" s="201">
        <v>142.679</v>
      </c>
      <c r="M527" s="203">
        <f t="shared" si="135"/>
        <v>-0.55300000000000005</v>
      </c>
      <c r="N527" s="204">
        <f t="shared" si="136"/>
        <v>-0.43</v>
      </c>
      <c r="O527" s="205">
        <f t="shared" si="137"/>
        <v>0</v>
      </c>
      <c r="P527" s="206">
        <f t="shared" si="138"/>
        <v>0</v>
      </c>
      <c r="Q527" s="206">
        <f t="shared" si="139"/>
        <v>-0.43</v>
      </c>
      <c r="R5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102240</v>
      </c>
      <c r="T5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27" s="208">
        <f ca="1">IF(Tabla33610673[[#This Row],[Equity]]&lt;Tabla33610673[[#This Row],[Equity Peak]],(Tabla33610673[[#This Row],[Equity Peak]]-Tabla33610673[[#This Row],[Equity]])/Tabla33610673[[#This Row],[Equity Peak]],"")</f>
        <v>4.2965459140690818E-2</v>
      </c>
      <c r="V527" s="209">
        <f t="shared" si="140"/>
        <v>-0.43</v>
      </c>
      <c r="W527" s="209">
        <f t="shared" si="141"/>
        <v>0</v>
      </c>
      <c r="X527" s="209">
        <f t="shared" si="142"/>
        <v>0</v>
      </c>
      <c r="Y527" s="209">
        <f t="shared" si="143"/>
        <v>0</v>
      </c>
      <c r="Z527" s="209">
        <f t="shared" si="144"/>
        <v>0</v>
      </c>
      <c r="AA527" s="205">
        <f t="shared" si="145"/>
        <v>0</v>
      </c>
      <c r="AB527" s="209">
        <f t="shared" si="146"/>
        <v>0</v>
      </c>
      <c r="AC527" s="205">
        <f t="shared" si="147"/>
        <v>0</v>
      </c>
      <c r="AD527" s="210">
        <f t="shared" si="148"/>
        <v>2.5916666666671517</v>
      </c>
      <c r="AE527" s="210">
        <f t="shared" si="149"/>
        <v>0</v>
      </c>
      <c r="AF527" s="210">
        <f t="shared" si="150"/>
        <v>2.5916666666671517</v>
      </c>
      <c r="AG527" s="210">
        <f t="shared" si="151"/>
        <v>0</v>
      </c>
    </row>
    <row r="528" spans="2:33" ht="15" customHeight="1" x14ac:dyDescent="0.3">
      <c r="B528" s="196" t="s">
        <v>7</v>
      </c>
      <c r="C528" s="197" t="s">
        <v>15</v>
      </c>
      <c r="D528" s="198" t="str">
        <f t="shared" si="133"/>
        <v>C</v>
      </c>
      <c r="E528" s="199">
        <v>43851.017361111109</v>
      </c>
      <c r="F528" s="200" t="s">
        <v>116</v>
      </c>
      <c r="G528" s="201">
        <v>1.8903099999999999</v>
      </c>
      <c r="H528" s="201">
        <v>1.87351</v>
      </c>
      <c r="I528" s="202">
        <f t="shared" si="134"/>
        <v>1.6799999999999926E-2</v>
      </c>
      <c r="J528" s="201">
        <v>1.9462999999999999</v>
      </c>
      <c r="K528" s="199">
        <v>43860.602083333331</v>
      </c>
      <c r="L528" s="201">
        <v>1.9462999999999999</v>
      </c>
      <c r="M528" s="203">
        <f t="shared" si="135"/>
        <v>5.6000000000000001E-2</v>
      </c>
      <c r="N528" s="204">
        <f t="shared" si="136"/>
        <v>3.33</v>
      </c>
      <c r="O528" s="205">
        <f t="shared" si="137"/>
        <v>0</v>
      </c>
      <c r="P528" s="206">
        <f t="shared" si="138"/>
        <v>3.33</v>
      </c>
      <c r="Q528" s="206">
        <f t="shared" si="139"/>
        <v>0</v>
      </c>
      <c r="R5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102670</v>
      </c>
      <c r="T5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28" s="208">
        <f ca="1">IF(Tabla33610673[[#This Row],[Equity]]&lt;Tabla33610673[[#This Row],[Equity Peak]],(Tabla33610673[[#This Row],[Equity Peak]]-Tabla33610673[[#This Row],[Equity]])/Tabla33610673[[#This Row],[Equity Peak]],"")</f>
        <v>3.8940372554525884E-2</v>
      </c>
      <c r="V528" s="209">
        <f t="shared" si="140"/>
        <v>3.33</v>
      </c>
      <c r="W528" s="209">
        <f t="shared" si="141"/>
        <v>0</v>
      </c>
      <c r="X528" s="209">
        <f t="shared" si="142"/>
        <v>0</v>
      </c>
      <c r="Y528" s="209">
        <f t="shared" si="143"/>
        <v>0</v>
      </c>
      <c r="Z528" s="209">
        <f t="shared" si="144"/>
        <v>0</v>
      </c>
      <c r="AA528" s="205">
        <f t="shared" si="145"/>
        <v>0</v>
      </c>
      <c r="AB528" s="209">
        <f t="shared" si="146"/>
        <v>0</v>
      </c>
      <c r="AC528" s="205">
        <f t="shared" si="147"/>
        <v>0</v>
      </c>
      <c r="AD528" s="210">
        <f t="shared" si="148"/>
        <v>9.5847222222218988</v>
      </c>
      <c r="AE528" s="210">
        <f t="shared" si="149"/>
        <v>9.5847222222218988</v>
      </c>
      <c r="AF528" s="210">
        <f t="shared" si="150"/>
        <v>0</v>
      </c>
      <c r="AG528" s="210">
        <f t="shared" si="151"/>
        <v>0</v>
      </c>
    </row>
    <row r="529" spans="2:33" ht="15" customHeight="1" x14ac:dyDescent="0.3">
      <c r="B529" s="196" t="s">
        <v>19</v>
      </c>
      <c r="C529" s="197" t="s">
        <v>13</v>
      </c>
      <c r="D529" s="198" t="str">
        <f t="shared" ref="D529:D592" si="152">IF(E529&lt;&gt;"",IF(K529&lt;&gt;"","C","O"),"")</f>
        <v>C</v>
      </c>
      <c r="E529" s="199">
        <v>43859.041666666664</v>
      </c>
      <c r="F529" s="200" t="s">
        <v>89</v>
      </c>
      <c r="G529" s="201">
        <v>17.452000000000002</v>
      </c>
      <c r="H529" s="201">
        <v>17.777999999999999</v>
      </c>
      <c r="I529" s="202">
        <f t="shared" ref="I529:I592" si="153">ABS(G529-H529)</f>
        <v>0.32599999999999696</v>
      </c>
      <c r="J529" s="201">
        <v>15.888</v>
      </c>
      <c r="K529" s="199">
        <v>43860.590277777781</v>
      </c>
      <c r="L529" s="201">
        <v>17.777999999999999</v>
      </c>
      <c r="M529" s="203">
        <f t="shared" ref="M529:M592" si="154">ROUND(IF(C529="L",(L529-G529),(G529-L529)),4)</f>
        <v>-0.32600000000000001</v>
      </c>
      <c r="N529" s="204">
        <f t="shared" ref="N529:N592" si="155">IFERROR(ROUND((M529/I529),2),"")</f>
        <v>-1</v>
      </c>
      <c r="O529" s="205">
        <f t="shared" ref="O529:O592" si="156">IF(D529="O",IF(N529&lt;0,N529,0),0)</f>
        <v>0</v>
      </c>
      <c r="P529" s="206">
        <f t="shared" ref="P529:P573" si="157">IF(N529&gt;= 0,N529,0)</f>
        <v>0</v>
      </c>
      <c r="Q529" s="206">
        <f t="shared" ref="Q529:Q573" si="158">IF(N529&lt;0,N529,0)</f>
        <v>-1</v>
      </c>
      <c r="R5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99340</v>
      </c>
      <c r="T5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29" s="208">
        <f ca="1">IF(Tabla33610673[[#This Row],[Equity]]&lt;Tabla33610673[[#This Row],[Equity Peak]],(Tabla33610673[[#This Row],[Equity Peak]]-Tabla33610673[[#This Row],[Equity]])/Tabla33610673[[#This Row],[Equity Peak]],"")</f>
        <v>7.0111391931105493E-2</v>
      </c>
      <c r="V529" s="209">
        <f t="shared" ref="V529:V573" si="159">IF(B529="FX",N529,0)</f>
        <v>0</v>
      </c>
      <c r="W529" s="209">
        <f t="shared" ref="W529:W592" si="160">IF(D529="O",IF(V529&lt;0,V529,0),0)</f>
        <v>0</v>
      </c>
      <c r="X529" s="209">
        <f t="shared" ref="X529:X573" si="161">IF(B529="COM",N529,0)</f>
        <v>-1</v>
      </c>
      <c r="Y529" s="209">
        <f t="shared" ref="Y529:Y592" si="162">IF(D529="O",IF(X529&lt;0,X529,0),0)</f>
        <v>0</v>
      </c>
      <c r="Z529" s="209">
        <f t="shared" ref="Z529:Z573" si="163">IF(B529="IND",N529,0)</f>
        <v>0</v>
      </c>
      <c r="AA529" s="205">
        <f t="shared" ref="AA529:AA592" si="164">IF(D529="O",IF(Z529&lt;0,Z529,0),0)</f>
        <v>0</v>
      </c>
      <c r="AB529" s="209">
        <f t="shared" ref="AB529:AB573" si="165">IF(B529="CRYPTO",N529,0)</f>
        <v>0</v>
      </c>
      <c r="AC529" s="205">
        <f t="shared" ref="AC529:AC592" si="166">IF(D529="O",IF(AB529&lt;0,AB529,0),0)</f>
        <v>0</v>
      </c>
      <c r="AD529" s="210">
        <f t="shared" ref="AD529:AD573" si="167">IF(K529&lt;&gt;"",K529-E529,0)</f>
        <v>1.5486111111167702</v>
      </c>
      <c r="AE529" s="210">
        <f t="shared" ref="AE529:AE592" si="168">IF(N529&gt;0,AD529,0)</f>
        <v>0</v>
      </c>
      <c r="AF529" s="210">
        <f t="shared" ref="AF529:AF573" si="169">IF(N529&lt;0,AD529,0)</f>
        <v>1.5486111111167702</v>
      </c>
      <c r="AG529" s="210">
        <f t="shared" ref="AG529:AG573" si="170">IF(N529=0,AD529,0)</f>
        <v>0</v>
      </c>
    </row>
    <row r="530" spans="2:33" ht="15" customHeight="1" x14ac:dyDescent="0.3">
      <c r="B530" s="196" t="s">
        <v>5</v>
      </c>
      <c r="C530" s="197" t="s">
        <v>15</v>
      </c>
      <c r="D530" s="198" t="str">
        <f t="shared" si="152"/>
        <v>C</v>
      </c>
      <c r="E530" s="199">
        <v>43859.166666666664</v>
      </c>
      <c r="F530" s="200" t="s">
        <v>92</v>
      </c>
      <c r="G530" s="201">
        <v>9130.5</v>
      </c>
      <c r="H530" s="201">
        <v>9027.24</v>
      </c>
      <c r="I530" s="202">
        <f t="shared" si="153"/>
        <v>103.26000000000022</v>
      </c>
      <c r="J530" s="201">
        <v>9818.89</v>
      </c>
      <c r="K530" s="199">
        <v>43860.411805555559</v>
      </c>
      <c r="L530" s="201">
        <v>9027.24</v>
      </c>
      <c r="M530" s="203">
        <f t="shared" si="154"/>
        <v>-103.26</v>
      </c>
      <c r="N530" s="204">
        <f t="shared" si="155"/>
        <v>-1</v>
      </c>
      <c r="O530" s="205">
        <f t="shared" si="156"/>
        <v>0</v>
      </c>
      <c r="P530" s="206">
        <f t="shared" si="157"/>
        <v>0</v>
      </c>
      <c r="Q530" s="206">
        <f t="shared" si="158"/>
        <v>-1</v>
      </c>
      <c r="R5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100340</v>
      </c>
      <c r="T5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30" s="208">
        <f ca="1">IF(Tabla33610673[[#This Row],[Equity]]&lt;Tabla33610673[[#This Row],[Equity Peak]],(Tabla33610673[[#This Row],[Equity Peak]]-Tabla33610673[[#This Row],[Equity]])/Tabla33610673[[#This Row],[Equity Peak]],"")</f>
        <v>6.0750725451652159E-2</v>
      </c>
      <c r="V530" s="209">
        <f t="shared" si="159"/>
        <v>0</v>
      </c>
      <c r="W530" s="209">
        <f t="shared" si="160"/>
        <v>0</v>
      </c>
      <c r="X530" s="209">
        <f t="shared" si="161"/>
        <v>0</v>
      </c>
      <c r="Y530" s="209">
        <f t="shared" si="162"/>
        <v>0</v>
      </c>
      <c r="Z530" s="209">
        <f t="shared" si="163"/>
        <v>-1</v>
      </c>
      <c r="AA530" s="205">
        <f t="shared" si="164"/>
        <v>0</v>
      </c>
      <c r="AB530" s="209">
        <f t="shared" si="165"/>
        <v>0</v>
      </c>
      <c r="AC530" s="205">
        <f t="shared" si="166"/>
        <v>0</v>
      </c>
      <c r="AD530" s="210">
        <f t="shared" si="167"/>
        <v>1.2451388888948713</v>
      </c>
      <c r="AE530" s="210">
        <f t="shared" si="168"/>
        <v>0</v>
      </c>
      <c r="AF530" s="210">
        <f t="shared" si="169"/>
        <v>1.2451388888948713</v>
      </c>
      <c r="AG530" s="210">
        <f t="shared" si="170"/>
        <v>0</v>
      </c>
    </row>
    <row r="531" spans="2:33" ht="15" customHeight="1" x14ac:dyDescent="0.3">
      <c r="B531" s="196" t="s">
        <v>7</v>
      </c>
      <c r="C531" s="197" t="s">
        <v>13</v>
      </c>
      <c r="D531" s="198" t="str">
        <f t="shared" si="152"/>
        <v>C</v>
      </c>
      <c r="E531" s="199">
        <v>43847.833333333336</v>
      </c>
      <c r="F531" s="200" t="s">
        <v>117</v>
      </c>
      <c r="G531" s="201">
        <v>1.1090899999999999</v>
      </c>
      <c r="H531" s="201">
        <v>1.1134200000000001</v>
      </c>
      <c r="I531" s="202">
        <f t="shared" si="153"/>
        <v>4.330000000000167E-3</v>
      </c>
      <c r="J531" s="201">
        <v>1.0813900000000001</v>
      </c>
      <c r="K531" s="199">
        <v>43859.941666666666</v>
      </c>
      <c r="L531" s="201">
        <v>1.10195</v>
      </c>
      <c r="M531" s="203">
        <f t="shared" si="154"/>
        <v>7.1000000000000004E-3</v>
      </c>
      <c r="N531" s="204">
        <f t="shared" si="155"/>
        <v>1.64</v>
      </c>
      <c r="O531" s="205">
        <f t="shared" si="156"/>
        <v>0</v>
      </c>
      <c r="P531" s="206">
        <f t="shared" si="157"/>
        <v>1.64</v>
      </c>
      <c r="Q531" s="206">
        <f t="shared" si="158"/>
        <v>0</v>
      </c>
      <c r="R5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101340</v>
      </c>
      <c r="T5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31" s="208">
        <f ca="1">IF(Tabla33610673[[#This Row],[Equity]]&lt;Tabla33610673[[#This Row],[Equity Peak]],(Tabla33610673[[#This Row],[Equity Peak]]-Tabla33610673[[#This Row],[Equity]])/Tabla33610673[[#This Row],[Equity Peak]],"")</f>
        <v>5.1390058972198824E-2</v>
      </c>
      <c r="V531" s="209">
        <f t="shared" si="159"/>
        <v>1.64</v>
      </c>
      <c r="W531" s="209">
        <f t="shared" si="160"/>
        <v>0</v>
      </c>
      <c r="X531" s="209">
        <f t="shared" si="161"/>
        <v>0</v>
      </c>
      <c r="Y531" s="209">
        <f t="shared" si="162"/>
        <v>0</v>
      </c>
      <c r="Z531" s="209">
        <f t="shared" si="163"/>
        <v>0</v>
      </c>
      <c r="AA531" s="205">
        <f t="shared" si="164"/>
        <v>0</v>
      </c>
      <c r="AB531" s="209">
        <f t="shared" si="165"/>
        <v>0</v>
      </c>
      <c r="AC531" s="205">
        <f t="shared" si="166"/>
        <v>0</v>
      </c>
      <c r="AD531" s="210">
        <f t="shared" si="167"/>
        <v>12.108333333329938</v>
      </c>
      <c r="AE531" s="210">
        <f t="shared" si="168"/>
        <v>12.108333333329938</v>
      </c>
      <c r="AF531" s="210">
        <f t="shared" si="169"/>
        <v>0</v>
      </c>
      <c r="AG531" s="210">
        <f t="shared" si="170"/>
        <v>0</v>
      </c>
    </row>
    <row r="532" spans="2:33" ht="15" customHeight="1" x14ac:dyDescent="0.3">
      <c r="B532" s="196" t="s">
        <v>19</v>
      </c>
      <c r="C532" s="197" t="s">
        <v>15</v>
      </c>
      <c r="D532" s="198" t="str">
        <f t="shared" si="152"/>
        <v>C</v>
      </c>
      <c r="E532" s="199">
        <v>43857.208333333336</v>
      </c>
      <c r="F532" s="200" t="s">
        <v>89</v>
      </c>
      <c r="G532" s="201">
        <v>18.265999999999998</v>
      </c>
      <c r="H532" s="201">
        <v>17.942</v>
      </c>
      <c r="I532" s="202">
        <f t="shared" si="153"/>
        <v>0.32399999999999807</v>
      </c>
      <c r="J532" s="201">
        <v>19.821999999999999</v>
      </c>
      <c r="K532" s="199">
        <v>43858.59375</v>
      </c>
      <c r="L532" s="201">
        <v>17.942</v>
      </c>
      <c r="M532" s="203">
        <f t="shared" si="154"/>
        <v>-0.32400000000000001</v>
      </c>
      <c r="N532" s="204">
        <f t="shared" si="155"/>
        <v>-1</v>
      </c>
      <c r="O532" s="205">
        <f t="shared" si="156"/>
        <v>0</v>
      </c>
      <c r="P532" s="206">
        <f t="shared" si="157"/>
        <v>0</v>
      </c>
      <c r="Q532" s="206">
        <f t="shared" si="158"/>
        <v>-1</v>
      </c>
      <c r="R5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99700</v>
      </c>
      <c r="T5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32" s="208">
        <f ca="1">IF(Tabla33610673[[#This Row],[Equity]]&lt;Tabla33610673[[#This Row],[Equity Peak]],(Tabla33610673[[#This Row],[Equity Peak]]-Tabla33610673[[#This Row],[Equity]])/Tabla33610673[[#This Row],[Equity Peak]],"")</f>
        <v>6.6741551998502291E-2</v>
      </c>
      <c r="V532" s="209">
        <f t="shared" si="159"/>
        <v>0</v>
      </c>
      <c r="W532" s="209">
        <f t="shared" si="160"/>
        <v>0</v>
      </c>
      <c r="X532" s="209">
        <f t="shared" si="161"/>
        <v>-1</v>
      </c>
      <c r="Y532" s="209">
        <f t="shared" si="162"/>
        <v>0</v>
      </c>
      <c r="Z532" s="209">
        <f t="shared" si="163"/>
        <v>0</v>
      </c>
      <c r="AA532" s="205">
        <f t="shared" si="164"/>
        <v>0</v>
      </c>
      <c r="AB532" s="209">
        <f t="shared" si="165"/>
        <v>0</v>
      </c>
      <c r="AC532" s="205">
        <f t="shared" si="166"/>
        <v>0</v>
      </c>
      <c r="AD532" s="210">
        <f t="shared" si="167"/>
        <v>1.3854166666642413</v>
      </c>
      <c r="AE532" s="210">
        <f t="shared" si="168"/>
        <v>0</v>
      </c>
      <c r="AF532" s="210">
        <f t="shared" si="169"/>
        <v>1.3854166666642413</v>
      </c>
      <c r="AG532" s="210">
        <f t="shared" si="170"/>
        <v>0</v>
      </c>
    </row>
    <row r="533" spans="2:33" ht="15" customHeight="1" x14ac:dyDescent="0.3">
      <c r="B533" s="196" t="s">
        <v>5</v>
      </c>
      <c r="C533" s="197" t="s">
        <v>15</v>
      </c>
      <c r="D533" s="198" t="str">
        <f t="shared" si="152"/>
        <v>C</v>
      </c>
      <c r="E533" s="199">
        <v>43844.201388888891</v>
      </c>
      <c r="F533" s="200" t="s">
        <v>90</v>
      </c>
      <c r="G533" s="201">
        <v>6948.5</v>
      </c>
      <c r="H533" s="201">
        <v>6909.65</v>
      </c>
      <c r="I533" s="202">
        <f t="shared" si="153"/>
        <v>38.850000000000364</v>
      </c>
      <c r="J533" s="201">
        <v>7466.5</v>
      </c>
      <c r="K533" s="199">
        <v>43858.034722222219</v>
      </c>
      <c r="L533" s="201">
        <v>7050.33</v>
      </c>
      <c r="M533" s="203">
        <f t="shared" si="154"/>
        <v>101.83</v>
      </c>
      <c r="N533" s="204">
        <f t="shared" si="155"/>
        <v>2.62</v>
      </c>
      <c r="O533" s="205">
        <f t="shared" si="156"/>
        <v>0</v>
      </c>
      <c r="P533" s="206">
        <f t="shared" si="157"/>
        <v>2.62</v>
      </c>
      <c r="Q533" s="206">
        <f t="shared" si="158"/>
        <v>0</v>
      </c>
      <c r="R5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100700</v>
      </c>
      <c r="T5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33" s="208">
        <f ca="1">IF(Tabla33610673[[#This Row],[Equity]]&lt;Tabla33610673[[#This Row],[Equity Peak]],(Tabla33610673[[#This Row],[Equity Peak]]-Tabla33610673[[#This Row],[Equity]])/Tabla33610673[[#This Row],[Equity Peak]],"")</f>
        <v>5.7380885519048956E-2</v>
      </c>
      <c r="V533" s="209">
        <f t="shared" si="159"/>
        <v>0</v>
      </c>
      <c r="W533" s="209">
        <f t="shared" si="160"/>
        <v>0</v>
      </c>
      <c r="X533" s="209">
        <f t="shared" si="161"/>
        <v>0</v>
      </c>
      <c r="Y533" s="209">
        <f t="shared" si="162"/>
        <v>0</v>
      </c>
      <c r="Z533" s="209">
        <f t="shared" si="163"/>
        <v>2.62</v>
      </c>
      <c r="AA533" s="205">
        <f t="shared" si="164"/>
        <v>0</v>
      </c>
      <c r="AB533" s="209">
        <f t="shared" si="165"/>
        <v>0</v>
      </c>
      <c r="AC533" s="205">
        <f t="shared" si="166"/>
        <v>0</v>
      </c>
      <c r="AD533" s="210">
        <f t="shared" si="167"/>
        <v>13.833333333328483</v>
      </c>
      <c r="AE533" s="210">
        <f t="shared" si="168"/>
        <v>13.833333333328483</v>
      </c>
      <c r="AF533" s="210">
        <f t="shared" si="169"/>
        <v>0</v>
      </c>
      <c r="AG533" s="210">
        <f t="shared" si="170"/>
        <v>0</v>
      </c>
    </row>
    <row r="534" spans="2:33" ht="15" customHeight="1" x14ac:dyDescent="0.3">
      <c r="B534" s="196" t="s">
        <v>7</v>
      </c>
      <c r="C534" s="197" t="s">
        <v>15</v>
      </c>
      <c r="D534" s="198" t="str">
        <f t="shared" si="152"/>
        <v>C</v>
      </c>
      <c r="E534" s="199">
        <v>43852.666666666664</v>
      </c>
      <c r="F534" s="200" t="s">
        <v>114</v>
      </c>
      <c r="G534" s="201">
        <v>1.3130599999999999</v>
      </c>
      <c r="H534" s="201">
        <v>1.3049900000000001</v>
      </c>
      <c r="I534" s="202">
        <f t="shared" si="153"/>
        <v>8.0699999999997996E-3</v>
      </c>
      <c r="J534" s="201">
        <v>1.34535</v>
      </c>
      <c r="K534" s="199">
        <v>43857.767361111109</v>
      </c>
      <c r="L534" s="201">
        <v>1.3049900000000001</v>
      </c>
      <c r="M534" s="203">
        <f t="shared" si="154"/>
        <v>-8.0999999999999996E-3</v>
      </c>
      <c r="N534" s="204">
        <f t="shared" si="155"/>
        <v>-1</v>
      </c>
      <c r="O534" s="205">
        <f t="shared" si="156"/>
        <v>0</v>
      </c>
      <c r="P534" s="206">
        <f t="shared" si="157"/>
        <v>0</v>
      </c>
      <c r="Q534" s="206">
        <f t="shared" si="158"/>
        <v>-1</v>
      </c>
      <c r="R5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98080</v>
      </c>
      <c r="T5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34" s="208">
        <f ca="1">IF(Tabla33610673[[#This Row],[Equity]]&lt;Tabla33610673[[#This Row],[Equity Peak]],(Tabla33610673[[#This Row],[Equity Peak]]-Tabla33610673[[#This Row],[Equity]])/Tabla33610673[[#This Row],[Equity Peak]],"")</f>
        <v>8.1905831695216702E-2</v>
      </c>
      <c r="V534" s="209">
        <f t="shared" si="159"/>
        <v>-1</v>
      </c>
      <c r="W534" s="209">
        <f t="shared" si="160"/>
        <v>0</v>
      </c>
      <c r="X534" s="209">
        <f t="shared" si="161"/>
        <v>0</v>
      </c>
      <c r="Y534" s="209">
        <f t="shared" si="162"/>
        <v>0</v>
      </c>
      <c r="Z534" s="209">
        <f t="shared" si="163"/>
        <v>0</v>
      </c>
      <c r="AA534" s="205">
        <f t="shared" si="164"/>
        <v>0</v>
      </c>
      <c r="AB534" s="209">
        <f t="shared" si="165"/>
        <v>0</v>
      </c>
      <c r="AC534" s="205">
        <f t="shared" si="166"/>
        <v>0</v>
      </c>
      <c r="AD534" s="210">
        <f t="shared" si="167"/>
        <v>5.1006944444452529</v>
      </c>
      <c r="AE534" s="210">
        <f t="shared" si="168"/>
        <v>0</v>
      </c>
      <c r="AF534" s="210">
        <f t="shared" si="169"/>
        <v>5.1006944444452529</v>
      </c>
      <c r="AG534" s="210">
        <f t="shared" si="170"/>
        <v>0</v>
      </c>
    </row>
    <row r="535" spans="2:33" ht="15" customHeight="1" x14ac:dyDescent="0.3">
      <c r="B535" s="196" t="s">
        <v>7</v>
      </c>
      <c r="C535" s="197" t="s">
        <v>13</v>
      </c>
      <c r="D535" s="198" t="str">
        <f t="shared" si="152"/>
        <v>C</v>
      </c>
      <c r="E535" s="199">
        <v>43854.5</v>
      </c>
      <c r="F535" s="200" t="s">
        <v>120</v>
      </c>
      <c r="G535" s="201">
        <v>1.6138300000000001</v>
      </c>
      <c r="H535" s="201">
        <v>1.6196999999999999</v>
      </c>
      <c r="I535" s="202">
        <f t="shared" si="153"/>
        <v>5.8699999999998198E-3</v>
      </c>
      <c r="J535" s="201">
        <v>1.55122</v>
      </c>
      <c r="K535" s="199">
        <v>43854.833333333336</v>
      </c>
      <c r="L535" s="201">
        <v>1.6160699999999999</v>
      </c>
      <c r="M535" s="203">
        <f t="shared" si="154"/>
        <v>-2.2000000000000001E-3</v>
      </c>
      <c r="N535" s="204">
        <f t="shared" si="155"/>
        <v>-0.37</v>
      </c>
      <c r="O535" s="205">
        <f t="shared" si="156"/>
        <v>0</v>
      </c>
      <c r="P535" s="206">
        <f t="shared" si="157"/>
        <v>0</v>
      </c>
      <c r="Q535" s="206">
        <f t="shared" si="158"/>
        <v>-0.37</v>
      </c>
      <c r="R5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99080</v>
      </c>
      <c r="T5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35" s="208">
        <f ca="1">IF(Tabla33610673[[#This Row],[Equity]]&lt;Tabla33610673[[#This Row],[Equity Peak]],(Tabla33610673[[#This Row],[Equity Peak]]-Tabla33610673[[#This Row],[Equity]])/Tabla33610673[[#This Row],[Equity Peak]],"")</f>
        <v>7.254516521576336E-2</v>
      </c>
      <c r="V535" s="209">
        <f t="shared" si="159"/>
        <v>-0.37</v>
      </c>
      <c r="W535" s="209">
        <f t="shared" si="160"/>
        <v>0</v>
      </c>
      <c r="X535" s="209">
        <f t="shared" si="161"/>
        <v>0</v>
      </c>
      <c r="Y535" s="209">
        <f t="shared" si="162"/>
        <v>0</v>
      </c>
      <c r="Z535" s="209">
        <f t="shared" si="163"/>
        <v>0</v>
      </c>
      <c r="AA535" s="205">
        <f t="shared" si="164"/>
        <v>0</v>
      </c>
      <c r="AB535" s="209">
        <f t="shared" si="165"/>
        <v>0</v>
      </c>
      <c r="AC535" s="205">
        <f t="shared" si="166"/>
        <v>0</v>
      </c>
      <c r="AD535" s="210">
        <f t="shared" si="167"/>
        <v>0.33333333333575865</v>
      </c>
      <c r="AE535" s="210">
        <f t="shared" si="168"/>
        <v>0</v>
      </c>
      <c r="AF535" s="210">
        <f t="shared" si="169"/>
        <v>0.33333333333575865</v>
      </c>
      <c r="AG535" s="210">
        <f t="shared" si="170"/>
        <v>0</v>
      </c>
    </row>
    <row r="536" spans="2:33" ht="15" customHeight="1" x14ac:dyDescent="0.3">
      <c r="B536" s="196" t="s">
        <v>19</v>
      </c>
      <c r="C536" s="197" t="s">
        <v>13</v>
      </c>
      <c r="D536" s="198" t="str">
        <f t="shared" si="152"/>
        <v>C</v>
      </c>
      <c r="E536" s="199">
        <v>43853.208333333336</v>
      </c>
      <c r="F536" s="200" t="s">
        <v>89</v>
      </c>
      <c r="G536" s="201">
        <v>17.744</v>
      </c>
      <c r="H536" s="201">
        <v>18.062999999999999</v>
      </c>
      <c r="I536" s="202">
        <f t="shared" si="153"/>
        <v>0.31899999999999906</v>
      </c>
      <c r="J536" s="201">
        <v>16.213000000000001</v>
      </c>
      <c r="K536" s="199">
        <v>43854.786111111112</v>
      </c>
      <c r="L536" s="201">
        <v>18.062999999999999</v>
      </c>
      <c r="M536" s="203">
        <f t="shared" si="154"/>
        <v>-0.31900000000000001</v>
      </c>
      <c r="N536" s="204">
        <f t="shared" si="155"/>
        <v>-1</v>
      </c>
      <c r="O536" s="205">
        <f t="shared" si="156"/>
        <v>0</v>
      </c>
      <c r="P536" s="206">
        <f t="shared" si="157"/>
        <v>0</v>
      </c>
      <c r="Q536" s="206">
        <f t="shared" si="158"/>
        <v>-1</v>
      </c>
      <c r="R5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99450</v>
      </c>
      <c r="T5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36" s="208">
        <f ca="1">IF(Tabla33610673[[#This Row],[Equity]]&lt;Tabla33610673[[#This Row],[Equity Peak]],(Tabla33610673[[#This Row],[Equity Peak]]-Tabla33610673[[#This Row],[Equity]])/Tabla33610673[[#This Row],[Equity Peak]],"")</f>
        <v>6.9081718618365623E-2</v>
      </c>
      <c r="V536" s="209">
        <f t="shared" si="159"/>
        <v>0</v>
      </c>
      <c r="W536" s="209">
        <f t="shared" si="160"/>
        <v>0</v>
      </c>
      <c r="X536" s="209">
        <f t="shared" si="161"/>
        <v>-1</v>
      </c>
      <c r="Y536" s="209">
        <f t="shared" si="162"/>
        <v>0</v>
      </c>
      <c r="Z536" s="209">
        <f t="shared" si="163"/>
        <v>0</v>
      </c>
      <c r="AA536" s="205">
        <f t="shared" si="164"/>
        <v>0</v>
      </c>
      <c r="AB536" s="209">
        <f t="shared" si="165"/>
        <v>0</v>
      </c>
      <c r="AC536" s="205">
        <f t="shared" si="166"/>
        <v>0</v>
      </c>
      <c r="AD536" s="210">
        <f t="shared" si="167"/>
        <v>1.577777777776646</v>
      </c>
      <c r="AE536" s="210">
        <f t="shared" si="168"/>
        <v>0</v>
      </c>
      <c r="AF536" s="210">
        <f t="shared" si="169"/>
        <v>1.577777777776646</v>
      </c>
      <c r="AG536" s="210">
        <f t="shared" si="170"/>
        <v>0</v>
      </c>
    </row>
    <row r="537" spans="2:33" ht="15" customHeight="1" x14ac:dyDescent="0.3">
      <c r="B537" s="196" t="s">
        <v>5</v>
      </c>
      <c r="C537" s="197" t="s">
        <v>15</v>
      </c>
      <c r="D537" s="198" t="str">
        <f t="shared" si="152"/>
        <v>C</v>
      </c>
      <c r="E537" s="199">
        <v>43839.166666666664</v>
      </c>
      <c r="F537" s="200" t="s">
        <v>91</v>
      </c>
      <c r="G537" s="201">
        <v>13416.46</v>
      </c>
      <c r="H537" s="201">
        <v>13101.44</v>
      </c>
      <c r="I537" s="202">
        <f t="shared" si="153"/>
        <v>315.01999999999862</v>
      </c>
      <c r="J537" s="201">
        <v>14676.53</v>
      </c>
      <c r="K537" s="199">
        <v>43853.769444444442</v>
      </c>
      <c r="L537" s="201">
        <v>13399.48</v>
      </c>
      <c r="M537" s="203">
        <f t="shared" si="154"/>
        <v>-16.98</v>
      </c>
      <c r="N537" s="204">
        <f t="shared" si="155"/>
        <v>-0.05</v>
      </c>
      <c r="O537" s="205">
        <f t="shared" si="156"/>
        <v>0</v>
      </c>
      <c r="P537" s="206">
        <f t="shared" si="157"/>
        <v>0</v>
      </c>
      <c r="Q537" s="206">
        <f t="shared" si="158"/>
        <v>-0.05</v>
      </c>
      <c r="R5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100450</v>
      </c>
      <c r="T5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37" s="208">
        <f ca="1">IF(Tabla33610673[[#This Row],[Equity]]&lt;Tabla33610673[[#This Row],[Equity Peak]],(Tabla33610673[[#This Row],[Equity Peak]]-Tabla33610673[[#This Row],[Equity]])/Tabla33610673[[#This Row],[Equity Peak]],"")</f>
        <v>5.9721052138912288E-2</v>
      </c>
      <c r="V537" s="209">
        <f t="shared" si="159"/>
        <v>0</v>
      </c>
      <c r="W537" s="209">
        <f t="shared" si="160"/>
        <v>0</v>
      </c>
      <c r="X537" s="209">
        <f t="shared" si="161"/>
        <v>0</v>
      </c>
      <c r="Y537" s="209">
        <f t="shared" si="162"/>
        <v>0</v>
      </c>
      <c r="Z537" s="209">
        <f t="shared" si="163"/>
        <v>-0.05</v>
      </c>
      <c r="AA537" s="205">
        <f t="shared" si="164"/>
        <v>0</v>
      </c>
      <c r="AB537" s="209">
        <f t="shared" si="165"/>
        <v>0</v>
      </c>
      <c r="AC537" s="205">
        <f t="shared" si="166"/>
        <v>0</v>
      </c>
      <c r="AD537" s="210">
        <f t="shared" si="167"/>
        <v>14.602777777778101</v>
      </c>
      <c r="AE537" s="210">
        <f t="shared" si="168"/>
        <v>0</v>
      </c>
      <c r="AF537" s="210">
        <f t="shared" si="169"/>
        <v>14.602777777778101</v>
      </c>
      <c r="AG537" s="210">
        <f t="shared" si="170"/>
        <v>0</v>
      </c>
    </row>
    <row r="538" spans="2:33" ht="15" customHeight="1" x14ac:dyDescent="0.3">
      <c r="B538" s="196" t="s">
        <v>5</v>
      </c>
      <c r="C538" s="197" t="s">
        <v>15</v>
      </c>
      <c r="D538" s="198" t="str">
        <f t="shared" si="152"/>
        <v>C</v>
      </c>
      <c r="E538" s="199">
        <v>43846.5</v>
      </c>
      <c r="F538" s="200" t="s">
        <v>95</v>
      </c>
      <c r="G538" s="201">
        <v>29138.1</v>
      </c>
      <c r="H538" s="201">
        <v>29008.45</v>
      </c>
      <c r="I538" s="202">
        <f t="shared" si="153"/>
        <v>129.64999999999782</v>
      </c>
      <c r="J538" s="201">
        <v>29656.69</v>
      </c>
      <c r="K538" s="199">
        <v>43853.71875</v>
      </c>
      <c r="L538" s="201">
        <v>29068.44</v>
      </c>
      <c r="M538" s="203">
        <f t="shared" si="154"/>
        <v>-69.66</v>
      </c>
      <c r="N538" s="204">
        <f t="shared" si="155"/>
        <v>-0.54</v>
      </c>
      <c r="O538" s="205">
        <f t="shared" si="156"/>
        <v>0</v>
      </c>
      <c r="P538" s="206">
        <f t="shared" si="157"/>
        <v>0</v>
      </c>
      <c r="Q538" s="206">
        <f t="shared" si="158"/>
        <v>-0.54</v>
      </c>
      <c r="R5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100500</v>
      </c>
      <c r="T5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38" s="208">
        <f ca="1">IF(Tabla33610673[[#This Row],[Equity]]&lt;Tabla33610673[[#This Row],[Equity Peak]],(Tabla33610673[[#This Row],[Equity Peak]]-Tabla33610673[[#This Row],[Equity]])/Tabla33610673[[#This Row],[Equity Peak]],"")</f>
        <v>5.925301881493962E-2</v>
      </c>
      <c r="V538" s="209">
        <f t="shared" si="159"/>
        <v>0</v>
      </c>
      <c r="W538" s="209">
        <f t="shared" si="160"/>
        <v>0</v>
      </c>
      <c r="X538" s="209">
        <f t="shared" si="161"/>
        <v>0</v>
      </c>
      <c r="Y538" s="209">
        <f t="shared" si="162"/>
        <v>0</v>
      </c>
      <c r="Z538" s="209">
        <f t="shared" si="163"/>
        <v>-0.54</v>
      </c>
      <c r="AA538" s="205">
        <f t="shared" si="164"/>
        <v>0</v>
      </c>
      <c r="AB538" s="209">
        <f t="shared" si="165"/>
        <v>0</v>
      </c>
      <c r="AC538" s="205">
        <f t="shared" si="166"/>
        <v>0</v>
      </c>
      <c r="AD538" s="210">
        <f t="shared" si="167"/>
        <v>7.21875</v>
      </c>
      <c r="AE538" s="210">
        <f t="shared" si="168"/>
        <v>0</v>
      </c>
      <c r="AF538" s="210">
        <f t="shared" si="169"/>
        <v>7.21875</v>
      </c>
      <c r="AG538" s="210">
        <f t="shared" si="170"/>
        <v>0</v>
      </c>
    </row>
    <row r="539" spans="2:33" ht="15" customHeight="1" x14ac:dyDescent="0.3">
      <c r="B539" s="196" t="s">
        <v>7</v>
      </c>
      <c r="C539" s="197" t="s">
        <v>15</v>
      </c>
      <c r="D539" s="198" t="str">
        <f t="shared" si="152"/>
        <v>C</v>
      </c>
      <c r="E539" s="199">
        <v>43850.5</v>
      </c>
      <c r="F539" s="200" t="s">
        <v>120</v>
      </c>
      <c r="G539" s="201">
        <v>1.6139699999999999</v>
      </c>
      <c r="H539" s="201">
        <v>1.6095200000000001</v>
      </c>
      <c r="I539" s="202">
        <f t="shared" si="153"/>
        <v>4.449999999999843E-3</v>
      </c>
      <c r="J539" s="201">
        <v>1.66147</v>
      </c>
      <c r="K539" s="199">
        <v>43853.081944444442</v>
      </c>
      <c r="L539" s="201">
        <v>1.61636</v>
      </c>
      <c r="M539" s="203">
        <f t="shared" si="154"/>
        <v>2.3999999999999998E-3</v>
      </c>
      <c r="N539" s="204">
        <f t="shared" si="155"/>
        <v>0.54</v>
      </c>
      <c r="O539" s="205">
        <f t="shared" si="156"/>
        <v>0</v>
      </c>
      <c r="P539" s="206">
        <f t="shared" si="157"/>
        <v>0.54</v>
      </c>
      <c r="Q539" s="206">
        <f t="shared" si="158"/>
        <v>0</v>
      </c>
      <c r="R5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101040</v>
      </c>
      <c r="T5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39" s="208">
        <f ca="1">IF(Tabla33610673[[#This Row],[Equity]]&lt;Tabla33610673[[#This Row],[Equity Peak]],(Tabla33610673[[#This Row],[Equity Peak]]-Tabla33610673[[#This Row],[Equity]])/Tabla33610673[[#This Row],[Equity Peak]],"")</f>
        <v>5.4198258916034824E-2</v>
      </c>
      <c r="V539" s="209">
        <f t="shared" si="159"/>
        <v>0.54</v>
      </c>
      <c r="W539" s="209">
        <f t="shared" si="160"/>
        <v>0</v>
      </c>
      <c r="X539" s="209">
        <f t="shared" si="161"/>
        <v>0</v>
      </c>
      <c r="Y539" s="209">
        <f t="shared" si="162"/>
        <v>0</v>
      </c>
      <c r="Z539" s="209">
        <f t="shared" si="163"/>
        <v>0</v>
      </c>
      <c r="AA539" s="205">
        <f t="shared" si="164"/>
        <v>0</v>
      </c>
      <c r="AB539" s="209">
        <f t="shared" si="165"/>
        <v>0</v>
      </c>
      <c r="AC539" s="205">
        <f t="shared" si="166"/>
        <v>0</v>
      </c>
      <c r="AD539" s="210">
        <f t="shared" si="167"/>
        <v>2.5819444444423425</v>
      </c>
      <c r="AE539" s="210">
        <f t="shared" si="168"/>
        <v>2.5819444444423425</v>
      </c>
      <c r="AF539" s="210">
        <f t="shared" si="169"/>
        <v>0</v>
      </c>
      <c r="AG539" s="210">
        <f t="shared" si="170"/>
        <v>0</v>
      </c>
    </row>
    <row r="540" spans="2:33" ht="15" customHeight="1" x14ac:dyDescent="0.3">
      <c r="B540" s="196" t="s">
        <v>7</v>
      </c>
      <c r="C540" s="197" t="s">
        <v>13</v>
      </c>
      <c r="D540" s="198" t="str">
        <f t="shared" si="152"/>
        <v>C</v>
      </c>
      <c r="E540" s="199">
        <v>43852.333333333336</v>
      </c>
      <c r="F540" s="200" t="s">
        <v>119</v>
      </c>
      <c r="G540" s="201">
        <v>0.84889000000000003</v>
      </c>
      <c r="H540" s="201">
        <v>0.85107999999999995</v>
      </c>
      <c r="I540" s="202">
        <f t="shared" si="153"/>
        <v>2.1899999999999142E-3</v>
      </c>
      <c r="J540" s="201">
        <v>0.84304999999999997</v>
      </c>
      <c r="K540" s="199">
        <v>43852.768055555556</v>
      </c>
      <c r="L540" s="201">
        <v>0.84304999999999997</v>
      </c>
      <c r="M540" s="203">
        <f t="shared" si="154"/>
        <v>5.7999999999999996E-3</v>
      </c>
      <c r="N540" s="204">
        <f t="shared" si="155"/>
        <v>2.65</v>
      </c>
      <c r="O540" s="205">
        <f t="shared" si="156"/>
        <v>0</v>
      </c>
      <c r="P540" s="206">
        <f t="shared" si="157"/>
        <v>2.65</v>
      </c>
      <c r="Q540" s="206">
        <f t="shared" si="158"/>
        <v>0</v>
      </c>
      <c r="R5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100500</v>
      </c>
      <c r="T5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40" s="208">
        <f ca="1">IF(Tabla33610673[[#This Row],[Equity]]&lt;Tabla33610673[[#This Row],[Equity Peak]],(Tabla33610673[[#This Row],[Equity Peak]]-Tabla33610673[[#This Row],[Equity]])/Tabla33610673[[#This Row],[Equity Peak]],"")</f>
        <v>5.925301881493962E-2</v>
      </c>
      <c r="V540" s="209">
        <f t="shared" si="159"/>
        <v>2.65</v>
      </c>
      <c r="W540" s="209">
        <f t="shared" si="160"/>
        <v>0</v>
      </c>
      <c r="X540" s="209">
        <f t="shared" si="161"/>
        <v>0</v>
      </c>
      <c r="Y540" s="209">
        <f t="shared" si="162"/>
        <v>0</v>
      </c>
      <c r="Z540" s="209">
        <f t="shared" si="163"/>
        <v>0</v>
      </c>
      <c r="AA540" s="205">
        <f t="shared" si="164"/>
        <v>0</v>
      </c>
      <c r="AB540" s="209">
        <f t="shared" si="165"/>
        <v>0</v>
      </c>
      <c r="AC540" s="205">
        <f t="shared" si="166"/>
        <v>0</v>
      </c>
      <c r="AD540" s="210">
        <f t="shared" si="167"/>
        <v>0.43472222222044365</v>
      </c>
      <c r="AE540" s="210">
        <f t="shared" si="168"/>
        <v>0.43472222222044365</v>
      </c>
      <c r="AF540" s="210">
        <f t="shared" si="169"/>
        <v>0</v>
      </c>
      <c r="AG540" s="210">
        <f t="shared" si="170"/>
        <v>0</v>
      </c>
    </row>
    <row r="541" spans="2:33" ht="15" customHeight="1" x14ac:dyDescent="0.3">
      <c r="B541" s="196" t="s">
        <v>5</v>
      </c>
      <c r="C541" s="197" t="s">
        <v>15</v>
      </c>
      <c r="D541" s="198" t="str">
        <f t="shared" si="152"/>
        <v>C</v>
      </c>
      <c r="E541" s="199">
        <v>43839.5</v>
      </c>
      <c r="F541" s="200" t="s">
        <v>93</v>
      </c>
      <c r="G541" s="201">
        <v>3269.62</v>
      </c>
      <c r="H541" s="201">
        <v>3244.99</v>
      </c>
      <c r="I541" s="202">
        <f t="shared" si="153"/>
        <v>24.630000000000109</v>
      </c>
      <c r="J541" s="201">
        <v>3335.31</v>
      </c>
      <c r="K541" s="199">
        <v>43852.256249999999</v>
      </c>
      <c r="L541" s="201">
        <v>3335.31</v>
      </c>
      <c r="M541" s="203">
        <f t="shared" si="154"/>
        <v>65.69</v>
      </c>
      <c r="N541" s="204">
        <f t="shared" si="155"/>
        <v>2.67</v>
      </c>
      <c r="O541" s="205">
        <f t="shared" si="156"/>
        <v>0</v>
      </c>
      <c r="P541" s="206">
        <f t="shared" si="157"/>
        <v>2.67</v>
      </c>
      <c r="Q541" s="206">
        <f t="shared" si="158"/>
        <v>0</v>
      </c>
      <c r="R5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97850</v>
      </c>
      <c r="T5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41" s="208">
        <f ca="1">IF(Tabla33610673[[#This Row],[Equity]]&lt;Tabla33610673[[#This Row],[Equity Peak]],(Tabla33610673[[#This Row],[Equity Peak]]-Tabla33610673[[#This Row],[Equity]])/Tabla33610673[[#This Row],[Equity Peak]],"")</f>
        <v>8.4058784985490964E-2</v>
      </c>
      <c r="V541" s="209">
        <f t="shared" si="159"/>
        <v>0</v>
      </c>
      <c r="W541" s="209">
        <f t="shared" si="160"/>
        <v>0</v>
      </c>
      <c r="X541" s="209">
        <f t="shared" si="161"/>
        <v>0</v>
      </c>
      <c r="Y541" s="209">
        <f t="shared" si="162"/>
        <v>0</v>
      </c>
      <c r="Z541" s="209">
        <f t="shared" si="163"/>
        <v>2.67</v>
      </c>
      <c r="AA541" s="205">
        <f t="shared" si="164"/>
        <v>0</v>
      </c>
      <c r="AB541" s="209">
        <f t="shared" si="165"/>
        <v>0</v>
      </c>
      <c r="AC541" s="205">
        <f t="shared" si="166"/>
        <v>0</v>
      </c>
      <c r="AD541" s="210">
        <f t="shared" si="167"/>
        <v>12.756249999998545</v>
      </c>
      <c r="AE541" s="210">
        <f t="shared" si="168"/>
        <v>12.756249999998545</v>
      </c>
      <c r="AF541" s="210">
        <f t="shared" si="169"/>
        <v>0</v>
      </c>
      <c r="AG541" s="210">
        <f t="shared" si="170"/>
        <v>0</v>
      </c>
    </row>
    <row r="542" spans="2:33" ht="15" customHeight="1" x14ac:dyDescent="0.3">
      <c r="B542" s="196" t="s">
        <v>5</v>
      </c>
      <c r="C542" s="197" t="s">
        <v>13</v>
      </c>
      <c r="D542" s="198" t="str">
        <f t="shared" si="152"/>
        <v>C</v>
      </c>
      <c r="E542" s="199">
        <v>43851.5</v>
      </c>
      <c r="F542" s="200" t="s">
        <v>94</v>
      </c>
      <c r="G542" s="201">
        <v>7555.79</v>
      </c>
      <c r="H542" s="201">
        <v>7606.47</v>
      </c>
      <c r="I542" s="202">
        <f t="shared" si="153"/>
        <v>50.680000000000291</v>
      </c>
      <c r="J542" s="201">
        <v>7302.4</v>
      </c>
      <c r="K542" s="199">
        <v>43851.60833333333</v>
      </c>
      <c r="L542" s="201">
        <v>7593.5</v>
      </c>
      <c r="M542" s="203">
        <f t="shared" si="154"/>
        <v>-37.71</v>
      </c>
      <c r="N542" s="204">
        <f t="shared" si="155"/>
        <v>-0.74</v>
      </c>
      <c r="O542" s="205">
        <f t="shared" si="156"/>
        <v>0</v>
      </c>
      <c r="P542" s="206">
        <f t="shared" si="157"/>
        <v>0</v>
      </c>
      <c r="Q542" s="206">
        <f t="shared" si="158"/>
        <v>-0.74</v>
      </c>
      <c r="R5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95180</v>
      </c>
      <c r="T5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42" s="208">
        <f ca="1">IF(Tabla33610673[[#This Row],[Equity]]&lt;Tabla33610673[[#This Row],[Equity Peak]],(Tabla33610673[[#This Row],[Equity Peak]]-Tabla33610673[[#This Row],[Equity]])/Tabla33610673[[#This Row],[Equity Peak]],"")</f>
        <v>0.10905176448563138</v>
      </c>
      <c r="V542" s="209">
        <f t="shared" si="159"/>
        <v>0</v>
      </c>
      <c r="W542" s="209">
        <f t="shared" si="160"/>
        <v>0</v>
      </c>
      <c r="X542" s="209">
        <f t="shared" si="161"/>
        <v>0</v>
      </c>
      <c r="Y542" s="209">
        <f t="shared" si="162"/>
        <v>0</v>
      </c>
      <c r="Z542" s="209">
        <f t="shared" si="163"/>
        <v>-0.74</v>
      </c>
      <c r="AA542" s="205">
        <f t="shared" si="164"/>
        <v>0</v>
      </c>
      <c r="AB542" s="209">
        <f t="shared" si="165"/>
        <v>0</v>
      </c>
      <c r="AC542" s="205">
        <f t="shared" si="166"/>
        <v>0</v>
      </c>
      <c r="AD542" s="210">
        <f t="shared" si="167"/>
        <v>0.10833333332993789</v>
      </c>
      <c r="AE542" s="210">
        <f t="shared" si="168"/>
        <v>0</v>
      </c>
      <c r="AF542" s="210">
        <f t="shared" si="169"/>
        <v>0.10833333332993789</v>
      </c>
      <c r="AG542" s="210">
        <f t="shared" si="170"/>
        <v>0</v>
      </c>
    </row>
    <row r="543" spans="2:33" ht="15" customHeight="1" x14ac:dyDescent="0.3">
      <c r="B543" s="196" t="s">
        <v>7</v>
      </c>
      <c r="C543" s="197" t="s">
        <v>15</v>
      </c>
      <c r="D543" s="198" t="str">
        <f t="shared" si="152"/>
        <v>C</v>
      </c>
      <c r="E543" s="199">
        <v>43839.166666666664</v>
      </c>
      <c r="F543" s="200" t="s">
        <v>113</v>
      </c>
      <c r="G543" s="201">
        <v>109.23699999999999</v>
      </c>
      <c r="H543" s="201">
        <v>108.161</v>
      </c>
      <c r="I543" s="202">
        <f t="shared" si="153"/>
        <v>1.0759999999999934</v>
      </c>
      <c r="J543" s="201">
        <v>114.26</v>
      </c>
      <c r="K543" s="199">
        <v>43851.100694444445</v>
      </c>
      <c r="L543" s="201">
        <v>110.008</v>
      </c>
      <c r="M543" s="203">
        <f t="shared" si="154"/>
        <v>0.77100000000000002</v>
      </c>
      <c r="N543" s="204">
        <f t="shared" si="155"/>
        <v>0.72</v>
      </c>
      <c r="O543" s="205">
        <f t="shared" si="156"/>
        <v>0</v>
      </c>
      <c r="P543" s="206">
        <f t="shared" si="157"/>
        <v>0.72</v>
      </c>
      <c r="Q543" s="206">
        <f t="shared" si="158"/>
        <v>0</v>
      </c>
      <c r="R5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95920</v>
      </c>
      <c r="T5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43" s="208">
        <f ca="1">IF(Tabla33610673[[#This Row],[Equity]]&lt;Tabla33610673[[#This Row],[Equity Peak]],(Tabla33610673[[#This Row],[Equity Peak]]-Tabla33610673[[#This Row],[Equity]])/Tabla33610673[[#This Row],[Equity Peak]],"")</f>
        <v>0.1021248712908359</v>
      </c>
      <c r="V543" s="209">
        <f t="shared" si="159"/>
        <v>0.72</v>
      </c>
      <c r="W543" s="209">
        <f t="shared" si="160"/>
        <v>0</v>
      </c>
      <c r="X543" s="209">
        <f t="shared" si="161"/>
        <v>0</v>
      </c>
      <c r="Y543" s="209">
        <f t="shared" si="162"/>
        <v>0</v>
      </c>
      <c r="Z543" s="209">
        <f t="shared" si="163"/>
        <v>0</v>
      </c>
      <c r="AA543" s="205">
        <f t="shared" si="164"/>
        <v>0</v>
      </c>
      <c r="AB543" s="209">
        <f t="shared" si="165"/>
        <v>0</v>
      </c>
      <c r="AC543" s="205">
        <f t="shared" si="166"/>
        <v>0</v>
      </c>
      <c r="AD543" s="210">
        <f t="shared" si="167"/>
        <v>11.934027777781012</v>
      </c>
      <c r="AE543" s="210">
        <f t="shared" si="168"/>
        <v>11.934027777781012</v>
      </c>
      <c r="AF543" s="210">
        <f t="shared" si="169"/>
        <v>0</v>
      </c>
      <c r="AG543" s="210">
        <f t="shared" si="170"/>
        <v>0</v>
      </c>
    </row>
    <row r="544" spans="2:33" ht="15" customHeight="1" x14ac:dyDescent="0.3">
      <c r="B544" s="196" t="s">
        <v>7</v>
      </c>
      <c r="C544" s="197" t="s">
        <v>13</v>
      </c>
      <c r="D544" s="198" t="str">
        <f t="shared" si="152"/>
        <v>C</v>
      </c>
      <c r="E544" s="199">
        <v>43850.333333333336</v>
      </c>
      <c r="F544" s="200" t="s">
        <v>120</v>
      </c>
      <c r="G544" s="201">
        <v>1.6116900000000001</v>
      </c>
      <c r="H544" s="201">
        <v>1.61616</v>
      </c>
      <c r="I544" s="202">
        <f t="shared" si="153"/>
        <v>4.469999999999974E-3</v>
      </c>
      <c r="J544" s="201">
        <v>1.5640400000000001</v>
      </c>
      <c r="K544" s="199">
        <v>43850.5</v>
      </c>
      <c r="L544" s="201">
        <v>1.6139699999999999</v>
      </c>
      <c r="M544" s="203">
        <f t="shared" si="154"/>
        <v>-2.3E-3</v>
      </c>
      <c r="N544" s="204">
        <f t="shared" si="155"/>
        <v>-0.51</v>
      </c>
      <c r="O544" s="205">
        <f t="shared" si="156"/>
        <v>0</v>
      </c>
      <c r="P544" s="206">
        <f t="shared" si="157"/>
        <v>0</v>
      </c>
      <c r="Q544" s="206">
        <f t="shared" si="158"/>
        <v>-0.51</v>
      </c>
      <c r="R5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95200</v>
      </c>
      <c r="T5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44" s="208">
        <f ca="1">IF(Tabla33610673[[#This Row],[Equity]]&lt;Tabla33610673[[#This Row],[Equity Peak]],(Tabla33610673[[#This Row],[Equity Peak]]-Tabla33610673[[#This Row],[Equity]])/Tabla33610673[[#This Row],[Equity Peak]],"")</f>
        <v>0.10886455115604231</v>
      </c>
      <c r="V544" s="209">
        <f t="shared" si="159"/>
        <v>-0.51</v>
      </c>
      <c r="W544" s="209">
        <f t="shared" si="160"/>
        <v>0</v>
      </c>
      <c r="X544" s="209">
        <f t="shared" si="161"/>
        <v>0</v>
      </c>
      <c r="Y544" s="209">
        <f t="shared" si="162"/>
        <v>0</v>
      </c>
      <c r="Z544" s="209">
        <f t="shared" si="163"/>
        <v>0</v>
      </c>
      <c r="AA544" s="205">
        <f t="shared" si="164"/>
        <v>0</v>
      </c>
      <c r="AB544" s="209">
        <f t="shared" si="165"/>
        <v>0</v>
      </c>
      <c r="AC544" s="205">
        <f t="shared" si="166"/>
        <v>0</v>
      </c>
      <c r="AD544" s="210">
        <f t="shared" si="167"/>
        <v>0.16666666666424135</v>
      </c>
      <c r="AE544" s="210">
        <f t="shared" si="168"/>
        <v>0</v>
      </c>
      <c r="AF544" s="210">
        <f t="shared" si="169"/>
        <v>0.16666666666424135</v>
      </c>
      <c r="AG544" s="210">
        <f t="shared" si="170"/>
        <v>0</v>
      </c>
    </row>
    <row r="545" spans="2:33" ht="15" customHeight="1" x14ac:dyDescent="0.3">
      <c r="B545" s="196" t="s">
        <v>7</v>
      </c>
      <c r="C545" s="197" t="s">
        <v>15</v>
      </c>
      <c r="D545" s="198" t="str">
        <f t="shared" si="152"/>
        <v>C</v>
      </c>
      <c r="E545" s="199">
        <v>43850.017361111109</v>
      </c>
      <c r="F545" s="200" t="s">
        <v>120</v>
      </c>
      <c r="G545" s="201">
        <v>1.6134200000000001</v>
      </c>
      <c r="H545" s="201">
        <v>1.6084700000000001</v>
      </c>
      <c r="I545" s="202">
        <f t="shared" si="153"/>
        <v>4.9500000000000099E-3</v>
      </c>
      <c r="J545" s="201">
        <v>1.66621</v>
      </c>
      <c r="K545" s="199">
        <v>43850.333333333336</v>
      </c>
      <c r="L545" s="201">
        <v>1.6116900000000001</v>
      </c>
      <c r="M545" s="203">
        <f t="shared" si="154"/>
        <v>-1.6999999999999999E-3</v>
      </c>
      <c r="N545" s="204">
        <f t="shared" si="155"/>
        <v>-0.34</v>
      </c>
      <c r="O545" s="205">
        <f t="shared" si="156"/>
        <v>0</v>
      </c>
      <c r="P545" s="206">
        <f t="shared" si="157"/>
        <v>0</v>
      </c>
      <c r="Q545" s="206">
        <f t="shared" si="158"/>
        <v>-0.34</v>
      </c>
      <c r="R5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95710</v>
      </c>
      <c r="T5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45" s="208">
        <f ca="1">IF(Tabla33610673[[#This Row],[Equity]]&lt;Tabla33610673[[#This Row],[Equity Peak]],(Tabla33610673[[#This Row],[Equity Peak]]-Tabla33610673[[#This Row],[Equity]])/Tabla33610673[[#This Row],[Equity Peak]],"")</f>
        <v>0.10409061125152111</v>
      </c>
      <c r="V545" s="209">
        <f t="shared" si="159"/>
        <v>-0.34</v>
      </c>
      <c r="W545" s="209">
        <f t="shared" si="160"/>
        <v>0</v>
      </c>
      <c r="X545" s="209">
        <f t="shared" si="161"/>
        <v>0</v>
      </c>
      <c r="Y545" s="209">
        <f t="shared" si="162"/>
        <v>0</v>
      </c>
      <c r="Z545" s="209">
        <f t="shared" si="163"/>
        <v>0</v>
      </c>
      <c r="AA545" s="205">
        <f t="shared" si="164"/>
        <v>0</v>
      </c>
      <c r="AB545" s="209">
        <f t="shared" si="165"/>
        <v>0</v>
      </c>
      <c r="AC545" s="205">
        <f t="shared" si="166"/>
        <v>0</v>
      </c>
      <c r="AD545" s="210">
        <f t="shared" si="167"/>
        <v>0.31597222222626442</v>
      </c>
      <c r="AE545" s="210">
        <f t="shared" si="168"/>
        <v>0</v>
      </c>
      <c r="AF545" s="210">
        <f t="shared" si="169"/>
        <v>0.31597222222626442</v>
      </c>
      <c r="AG545" s="210">
        <f t="shared" si="170"/>
        <v>0</v>
      </c>
    </row>
    <row r="546" spans="2:33" ht="15" customHeight="1" x14ac:dyDescent="0.3">
      <c r="B546" s="196" t="s">
        <v>7</v>
      </c>
      <c r="C546" s="197" t="s">
        <v>15</v>
      </c>
      <c r="D546" s="198" t="str">
        <f t="shared" si="152"/>
        <v>C</v>
      </c>
      <c r="E546" s="199">
        <v>43843.017361111109</v>
      </c>
      <c r="F546" s="200" t="s">
        <v>122</v>
      </c>
      <c r="G546" s="201">
        <v>75.542000000000002</v>
      </c>
      <c r="H546" s="201">
        <v>75.174999999999997</v>
      </c>
      <c r="I546" s="202">
        <f t="shared" si="153"/>
        <v>0.36700000000000443</v>
      </c>
      <c r="J546" s="201">
        <v>81.905000000000001</v>
      </c>
      <c r="K546" s="199">
        <v>43850.040972222225</v>
      </c>
      <c r="L546" s="201">
        <v>75.622</v>
      </c>
      <c r="M546" s="203">
        <f t="shared" si="154"/>
        <v>0.08</v>
      </c>
      <c r="N546" s="204">
        <f t="shared" si="155"/>
        <v>0.22</v>
      </c>
      <c r="O546" s="205">
        <f t="shared" si="156"/>
        <v>0</v>
      </c>
      <c r="P546" s="206">
        <f t="shared" si="157"/>
        <v>0.22</v>
      </c>
      <c r="Q546" s="206">
        <f t="shared" si="158"/>
        <v>0</v>
      </c>
      <c r="R5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96050</v>
      </c>
      <c r="T5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46" s="208">
        <f ca="1">IF(Tabla33610673[[#This Row],[Equity]]&lt;Tabla33610673[[#This Row],[Equity Peak]],(Tabla33610673[[#This Row],[Equity Peak]]-Tabla33610673[[#This Row],[Equity]])/Tabla33610673[[#This Row],[Equity Peak]],"")</f>
        <v>0.10090798464850698</v>
      </c>
      <c r="V546" s="209">
        <f t="shared" si="159"/>
        <v>0.22</v>
      </c>
      <c r="W546" s="209">
        <f t="shared" si="160"/>
        <v>0</v>
      </c>
      <c r="X546" s="209">
        <f t="shared" si="161"/>
        <v>0</v>
      </c>
      <c r="Y546" s="209">
        <f t="shared" si="162"/>
        <v>0</v>
      </c>
      <c r="Z546" s="209">
        <f t="shared" si="163"/>
        <v>0</v>
      </c>
      <c r="AA546" s="205">
        <f t="shared" si="164"/>
        <v>0</v>
      </c>
      <c r="AB546" s="209">
        <f t="shared" si="165"/>
        <v>0</v>
      </c>
      <c r="AC546" s="205">
        <f t="shared" si="166"/>
        <v>0</v>
      </c>
      <c r="AD546" s="210">
        <f t="shared" si="167"/>
        <v>7.023611111115315</v>
      </c>
      <c r="AE546" s="210">
        <f t="shared" si="168"/>
        <v>7.023611111115315</v>
      </c>
      <c r="AF546" s="210">
        <f t="shared" si="169"/>
        <v>0</v>
      </c>
      <c r="AG546" s="210">
        <f t="shared" si="170"/>
        <v>0</v>
      </c>
    </row>
    <row r="547" spans="2:33" ht="15" customHeight="1" x14ac:dyDescent="0.3">
      <c r="B547" s="196" t="s">
        <v>7</v>
      </c>
      <c r="C547" s="197" t="s">
        <v>13</v>
      </c>
      <c r="D547" s="198" t="str">
        <f t="shared" si="152"/>
        <v>C</v>
      </c>
      <c r="E547" s="199">
        <v>43847.833333333336</v>
      </c>
      <c r="F547" s="200" t="s">
        <v>120</v>
      </c>
      <c r="G547" s="201">
        <v>1.61239</v>
      </c>
      <c r="H547" s="201">
        <v>1.6176999999999999</v>
      </c>
      <c r="I547" s="202">
        <f t="shared" si="153"/>
        <v>5.3099999999999259E-3</v>
      </c>
      <c r="J547" s="201">
        <v>1.5557799999999999</v>
      </c>
      <c r="K547" s="199">
        <v>43850.017361111109</v>
      </c>
      <c r="L547" s="201">
        <v>1.6134200000000001</v>
      </c>
      <c r="M547" s="203">
        <f t="shared" si="154"/>
        <v>-1E-3</v>
      </c>
      <c r="N547" s="204">
        <f t="shared" si="155"/>
        <v>-0.19</v>
      </c>
      <c r="O547" s="205">
        <f t="shared" si="156"/>
        <v>0</v>
      </c>
      <c r="P547" s="206">
        <f t="shared" si="157"/>
        <v>0</v>
      </c>
      <c r="Q547" s="206">
        <f t="shared" si="158"/>
        <v>-0.19</v>
      </c>
      <c r="R5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95830</v>
      </c>
      <c r="T5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47" s="208">
        <f ca="1">IF(Tabla33610673[[#This Row],[Equity]]&lt;Tabla33610673[[#This Row],[Equity Peak]],(Tabla33610673[[#This Row],[Equity Peak]]-Tabla33610673[[#This Row],[Equity]])/Tabla33610673[[#This Row],[Equity Peak]],"")</f>
        <v>0.1029673312739867</v>
      </c>
      <c r="V547" s="209">
        <f t="shared" si="159"/>
        <v>-0.19</v>
      </c>
      <c r="W547" s="209">
        <f t="shared" si="160"/>
        <v>0</v>
      </c>
      <c r="X547" s="209">
        <f t="shared" si="161"/>
        <v>0</v>
      </c>
      <c r="Y547" s="209">
        <f t="shared" si="162"/>
        <v>0</v>
      </c>
      <c r="Z547" s="209">
        <f t="shared" si="163"/>
        <v>0</v>
      </c>
      <c r="AA547" s="205">
        <f t="shared" si="164"/>
        <v>0</v>
      </c>
      <c r="AB547" s="209">
        <f t="shared" si="165"/>
        <v>0</v>
      </c>
      <c r="AC547" s="205">
        <f t="shared" si="166"/>
        <v>0</v>
      </c>
      <c r="AD547" s="210">
        <f t="shared" si="167"/>
        <v>2.1840277777737356</v>
      </c>
      <c r="AE547" s="210">
        <f t="shared" si="168"/>
        <v>0</v>
      </c>
      <c r="AF547" s="210">
        <f t="shared" si="169"/>
        <v>2.1840277777737356</v>
      </c>
      <c r="AG547" s="210">
        <f t="shared" si="170"/>
        <v>0</v>
      </c>
    </row>
    <row r="548" spans="2:33" ht="15" customHeight="1" x14ac:dyDescent="0.3">
      <c r="B548" s="196" t="s">
        <v>7</v>
      </c>
      <c r="C548" s="197" t="s">
        <v>15</v>
      </c>
      <c r="D548" s="198" t="str">
        <f t="shared" si="152"/>
        <v>C</v>
      </c>
      <c r="E548" s="199">
        <v>43839.333333333336</v>
      </c>
      <c r="F548" s="200" t="s">
        <v>115</v>
      </c>
      <c r="G548" s="201">
        <v>143.34899999999999</v>
      </c>
      <c r="H548" s="201">
        <v>141.71799999999999</v>
      </c>
      <c r="I548" s="202">
        <f t="shared" si="153"/>
        <v>1.6310000000000002</v>
      </c>
      <c r="J548" s="201">
        <v>152.48400000000001</v>
      </c>
      <c r="K548" s="199">
        <v>43850</v>
      </c>
      <c r="L548" s="201">
        <v>143.07300000000001</v>
      </c>
      <c r="M548" s="203">
        <f t="shared" si="154"/>
        <v>-0.27600000000000002</v>
      </c>
      <c r="N548" s="204">
        <f t="shared" si="155"/>
        <v>-0.17</v>
      </c>
      <c r="O548" s="205">
        <f t="shared" si="156"/>
        <v>0</v>
      </c>
      <c r="P548" s="206">
        <f t="shared" si="157"/>
        <v>0</v>
      </c>
      <c r="Q548" s="206">
        <f t="shared" si="158"/>
        <v>-0.17</v>
      </c>
      <c r="R5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96020</v>
      </c>
      <c r="T5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48" s="208">
        <f ca="1">IF(Tabla33610673[[#This Row],[Equity]]&lt;Tabla33610673[[#This Row],[Equity Peak]],(Tabla33610673[[#This Row],[Equity Peak]]-Tabla33610673[[#This Row],[Equity]])/Tabla33610673[[#This Row],[Equity Peak]],"")</f>
        <v>0.10118880464289057</v>
      </c>
      <c r="V548" s="209">
        <f t="shared" si="159"/>
        <v>-0.17</v>
      </c>
      <c r="W548" s="209">
        <f t="shared" si="160"/>
        <v>0</v>
      </c>
      <c r="X548" s="209">
        <f t="shared" si="161"/>
        <v>0</v>
      </c>
      <c r="Y548" s="209">
        <f t="shared" si="162"/>
        <v>0</v>
      </c>
      <c r="Z548" s="209">
        <f t="shared" si="163"/>
        <v>0</v>
      </c>
      <c r="AA548" s="205">
        <f t="shared" si="164"/>
        <v>0</v>
      </c>
      <c r="AB548" s="209">
        <f t="shared" si="165"/>
        <v>0</v>
      </c>
      <c r="AC548" s="205">
        <f t="shared" si="166"/>
        <v>0</v>
      </c>
      <c r="AD548" s="210">
        <f t="shared" si="167"/>
        <v>10.666666666664241</v>
      </c>
      <c r="AE548" s="210">
        <f t="shared" si="168"/>
        <v>0</v>
      </c>
      <c r="AF548" s="210">
        <f t="shared" si="169"/>
        <v>10.666666666664241</v>
      </c>
      <c r="AG548" s="210">
        <f t="shared" si="170"/>
        <v>0</v>
      </c>
    </row>
    <row r="549" spans="2:33" ht="15" customHeight="1" x14ac:dyDescent="0.3">
      <c r="B549" s="196" t="s">
        <v>7</v>
      </c>
      <c r="C549" s="197" t="s">
        <v>15</v>
      </c>
      <c r="D549" s="198" t="str">
        <f t="shared" si="152"/>
        <v>C</v>
      </c>
      <c r="E549" s="199">
        <v>43839.333333333336</v>
      </c>
      <c r="F549" s="200" t="s">
        <v>118</v>
      </c>
      <c r="G549" s="201">
        <v>121.514</v>
      </c>
      <c r="H549" s="201">
        <v>120.622</v>
      </c>
      <c r="I549" s="202">
        <f t="shared" si="153"/>
        <v>0.89199999999999591</v>
      </c>
      <c r="J549" s="201">
        <v>125.081</v>
      </c>
      <c r="K549" s="199">
        <v>43847.61041666667</v>
      </c>
      <c r="L549" s="201">
        <v>122.298</v>
      </c>
      <c r="M549" s="203">
        <f t="shared" si="154"/>
        <v>0.78400000000000003</v>
      </c>
      <c r="N549" s="204">
        <f t="shared" si="155"/>
        <v>0.88</v>
      </c>
      <c r="O549" s="205">
        <f t="shared" si="156"/>
        <v>0</v>
      </c>
      <c r="P549" s="206">
        <f t="shared" si="157"/>
        <v>0.88</v>
      </c>
      <c r="Q549" s="206">
        <f t="shared" si="158"/>
        <v>0</v>
      </c>
      <c r="R5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96190</v>
      </c>
      <c r="T5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49" s="208">
        <f ca="1">IF(Tabla33610673[[#This Row],[Equity]]&lt;Tabla33610673[[#This Row],[Equity Peak]],(Tabla33610673[[#This Row],[Equity Peak]]-Tabla33610673[[#This Row],[Equity]])/Tabla33610673[[#This Row],[Equity Peak]],"")</f>
        <v>9.9597491341383501E-2</v>
      </c>
      <c r="V549" s="209">
        <f t="shared" si="159"/>
        <v>0.88</v>
      </c>
      <c r="W549" s="209">
        <f t="shared" si="160"/>
        <v>0</v>
      </c>
      <c r="X549" s="209">
        <f t="shared" si="161"/>
        <v>0</v>
      </c>
      <c r="Y549" s="209">
        <f t="shared" si="162"/>
        <v>0</v>
      </c>
      <c r="Z549" s="209">
        <f t="shared" si="163"/>
        <v>0</v>
      </c>
      <c r="AA549" s="205">
        <f t="shared" si="164"/>
        <v>0</v>
      </c>
      <c r="AB549" s="209">
        <f t="shared" si="165"/>
        <v>0</v>
      </c>
      <c r="AC549" s="205">
        <f t="shared" si="166"/>
        <v>0</v>
      </c>
      <c r="AD549" s="210">
        <f t="shared" si="167"/>
        <v>8.2770833333343035</v>
      </c>
      <c r="AE549" s="210">
        <f t="shared" si="168"/>
        <v>8.2770833333343035</v>
      </c>
      <c r="AF549" s="210">
        <f t="shared" si="169"/>
        <v>0</v>
      </c>
      <c r="AG549" s="210">
        <f t="shared" si="170"/>
        <v>0</v>
      </c>
    </row>
    <row r="550" spans="2:33" ht="15" customHeight="1" x14ac:dyDescent="0.3">
      <c r="B550" s="196" t="s">
        <v>7</v>
      </c>
      <c r="C550" s="197" t="s">
        <v>15</v>
      </c>
      <c r="D550" s="198" t="str">
        <f t="shared" si="152"/>
        <v>C</v>
      </c>
      <c r="E550" s="199">
        <v>43845.833333333336</v>
      </c>
      <c r="F550" s="200" t="s">
        <v>117</v>
      </c>
      <c r="G550" s="201">
        <v>1.1157600000000001</v>
      </c>
      <c r="H550" s="201">
        <v>1.11151</v>
      </c>
      <c r="I550" s="202">
        <f t="shared" si="153"/>
        <v>4.250000000000087E-3</v>
      </c>
      <c r="J550" s="201">
        <v>1.1429800000000001</v>
      </c>
      <c r="K550" s="199">
        <v>43847.574999999997</v>
      </c>
      <c r="L550" s="201">
        <v>1.11154</v>
      </c>
      <c r="M550" s="203">
        <f t="shared" si="154"/>
        <v>-4.1999999999999997E-3</v>
      </c>
      <c r="N550" s="204">
        <f t="shared" si="155"/>
        <v>-0.99</v>
      </c>
      <c r="O550" s="205">
        <f t="shared" si="156"/>
        <v>0</v>
      </c>
      <c r="P550" s="206">
        <f t="shared" si="157"/>
        <v>0</v>
      </c>
      <c r="Q550" s="206">
        <f t="shared" si="158"/>
        <v>-0.99</v>
      </c>
      <c r="R5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95310</v>
      </c>
      <c r="T5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50" s="208">
        <f ca="1">IF(Tabla33610673[[#This Row],[Equity]]&lt;Tabla33610673[[#This Row],[Equity Peak]],(Tabla33610673[[#This Row],[Equity Peak]]-Tabla33610673[[#This Row],[Equity]])/Tabla33610673[[#This Row],[Equity Peak]],"")</f>
        <v>0.10783487784330244</v>
      </c>
      <c r="V550" s="209">
        <f t="shared" si="159"/>
        <v>-0.99</v>
      </c>
      <c r="W550" s="209">
        <f t="shared" si="160"/>
        <v>0</v>
      </c>
      <c r="X550" s="209">
        <f t="shared" si="161"/>
        <v>0</v>
      </c>
      <c r="Y550" s="209">
        <f t="shared" si="162"/>
        <v>0</v>
      </c>
      <c r="Z550" s="209">
        <f t="shared" si="163"/>
        <v>0</v>
      </c>
      <c r="AA550" s="205">
        <f t="shared" si="164"/>
        <v>0</v>
      </c>
      <c r="AB550" s="209">
        <f t="shared" si="165"/>
        <v>0</v>
      </c>
      <c r="AC550" s="205">
        <f t="shared" si="166"/>
        <v>0</v>
      </c>
      <c r="AD550" s="210">
        <f t="shared" si="167"/>
        <v>1.741666666661331</v>
      </c>
      <c r="AE550" s="210">
        <f t="shared" si="168"/>
        <v>0</v>
      </c>
      <c r="AF550" s="210">
        <f t="shared" si="169"/>
        <v>1.741666666661331</v>
      </c>
      <c r="AG550" s="210">
        <f t="shared" si="170"/>
        <v>0</v>
      </c>
    </row>
    <row r="551" spans="2:33" ht="15" customHeight="1" x14ac:dyDescent="0.3">
      <c r="B551" s="196" t="s">
        <v>7</v>
      </c>
      <c r="C551" s="197" t="s">
        <v>15</v>
      </c>
      <c r="D551" s="198" t="str">
        <f t="shared" si="152"/>
        <v>C</v>
      </c>
      <c r="E551" s="199">
        <v>43845.166666666664</v>
      </c>
      <c r="F551" s="200" t="s">
        <v>120</v>
      </c>
      <c r="G551" s="201">
        <v>1.61338</v>
      </c>
      <c r="H551" s="201">
        <v>1.60843</v>
      </c>
      <c r="I551" s="202">
        <f t="shared" si="153"/>
        <v>4.9500000000000099E-3</v>
      </c>
      <c r="J551" s="201">
        <v>1.6661999999999999</v>
      </c>
      <c r="K551" s="199">
        <v>43846.438194444447</v>
      </c>
      <c r="L551" s="201">
        <v>1.6123000000000001</v>
      </c>
      <c r="M551" s="203">
        <f t="shared" si="154"/>
        <v>-1.1000000000000001E-3</v>
      </c>
      <c r="N551" s="204">
        <f t="shared" si="155"/>
        <v>-0.22</v>
      </c>
      <c r="O551" s="205">
        <f t="shared" si="156"/>
        <v>0</v>
      </c>
      <c r="P551" s="206">
        <f t="shared" si="157"/>
        <v>0</v>
      </c>
      <c r="Q551" s="206">
        <f t="shared" si="158"/>
        <v>-0.22</v>
      </c>
      <c r="R5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96300</v>
      </c>
      <c r="T5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51" s="208">
        <f ca="1">IF(Tabla33610673[[#This Row],[Equity]]&lt;Tabla33610673[[#This Row],[Equity Peak]],(Tabla33610673[[#This Row],[Equity Peak]]-Tabla33610673[[#This Row],[Equity]])/Tabla33610673[[#This Row],[Equity Peak]],"")</f>
        <v>9.8567818028643645E-2</v>
      </c>
      <c r="V551" s="209">
        <f t="shared" si="159"/>
        <v>-0.22</v>
      </c>
      <c r="W551" s="209">
        <f t="shared" si="160"/>
        <v>0</v>
      </c>
      <c r="X551" s="209">
        <f t="shared" si="161"/>
        <v>0</v>
      </c>
      <c r="Y551" s="209">
        <f t="shared" si="162"/>
        <v>0</v>
      </c>
      <c r="Z551" s="209">
        <f t="shared" si="163"/>
        <v>0</v>
      </c>
      <c r="AA551" s="205">
        <f t="shared" si="164"/>
        <v>0</v>
      </c>
      <c r="AB551" s="209">
        <f t="shared" si="165"/>
        <v>0</v>
      </c>
      <c r="AC551" s="205">
        <f t="shared" si="166"/>
        <v>0</v>
      </c>
      <c r="AD551" s="210">
        <f t="shared" si="167"/>
        <v>1.2715277777824667</v>
      </c>
      <c r="AE551" s="210">
        <f t="shared" si="168"/>
        <v>0</v>
      </c>
      <c r="AF551" s="210">
        <f t="shared" si="169"/>
        <v>1.2715277777824667</v>
      </c>
      <c r="AG551" s="210">
        <f t="shared" si="170"/>
        <v>0</v>
      </c>
    </row>
    <row r="552" spans="2:33" ht="15" customHeight="1" x14ac:dyDescent="0.3">
      <c r="B552" s="196" t="s">
        <v>7</v>
      </c>
      <c r="C552" s="197" t="s">
        <v>13</v>
      </c>
      <c r="D552" s="198" t="str">
        <f t="shared" si="152"/>
        <v>C</v>
      </c>
      <c r="E552" s="199">
        <v>43845.017361111109</v>
      </c>
      <c r="F552" s="200" t="s">
        <v>120</v>
      </c>
      <c r="G552" s="201">
        <v>1.6116900000000001</v>
      </c>
      <c r="H552" s="201">
        <v>1.6167499999999999</v>
      </c>
      <c r="I552" s="202">
        <f t="shared" si="153"/>
        <v>5.0599999999998424E-3</v>
      </c>
      <c r="J552" s="201">
        <v>1.5577399999999999</v>
      </c>
      <c r="K552" s="199">
        <v>43845.166666666664</v>
      </c>
      <c r="L552" s="201">
        <v>1.61338</v>
      </c>
      <c r="M552" s="203">
        <f t="shared" si="154"/>
        <v>-1.6999999999999999E-3</v>
      </c>
      <c r="N552" s="204">
        <f t="shared" si="155"/>
        <v>-0.34</v>
      </c>
      <c r="O552" s="205">
        <f t="shared" si="156"/>
        <v>0</v>
      </c>
      <c r="P552" s="206">
        <f t="shared" si="157"/>
        <v>0</v>
      </c>
      <c r="Q552" s="206">
        <f t="shared" si="158"/>
        <v>-0.34</v>
      </c>
      <c r="R5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96520</v>
      </c>
      <c r="T5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52" s="208">
        <f ca="1">IF(Tabla33610673[[#This Row],[Equity]]&lt;Tabla33610673[[#This Row],[Equity Peak]],(Tabla33610673[[#This Row],[Equity Peak]]-Tabla33610673[[#This Row],[Equity]])/Tabla33610673[[#This Row],[Equity Peak]],"")</f>
        <v>9.6508471403163903E-2</v>
      </c>
      <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="209">
        <f t="shared" si="162"/>
        <v>0</v>
      </c>
      <c r="Z552" s="209">
        <f t="shared" si="163"/>
        <v>0</v>
      </c>
      <c r="AA552" s="205">
        <f t="shared" si="164"/>
        <v>0</v>
      </c>
      <c r="AB552" s="209">
        <f t="shared" si="165"/>
        <v>0</v>
      </c>
      <c r="AC552" s="205">
        <f t="shared" si="166"/>
        <v>0</v>
      </c>
      <c r="AD552" s="210">
        <f t="shared" si="167"/>
        <v>0.14930555555474712</v>
      </c>
      <c r="AE552" s="210">
        <f t="shared" si="168"/>
        <v>0</v>
      </c>
      <c r="AF552" s="210">
        <f t="shared" si="169"/>
        <v>0.14930555555474712</v>
      </c>
      <c r="AG552" s="210">
        <f t="shared" si="170"/>
        <v>0</v>
      </c>
    </row>
    <row r="553" spans="2:33" ht="15" customHeight="1" x14ac:dyDescent="0.3">
      <c r="B553" s="196" t="s">
        <v>7</v>
      </c>
      <c r="C553" s="197" t="s">
        <v>15</v>
      </c>
      <c r="D553" s="198" t="str">
        <f t="shared" si="152"/>
        <v>C</v>
      </c>
      <c r="E553" s="199">
        <v>43844.166666666664</v>
      </c>
      <c r="F553" s="200" t="s">
        <v>120</v>
      </c>
      <c r="G553" s="201">
        <v>1.6166100000000001</v>
      </c>
      <c r="H553" s="201">
        <v>1.6115900000000001</v>
      </c>
      <c r="I553" s="202">
        <f t="shared" si="153"/>
        <v>5.0200000000000244E-3</v>
      </c>
      <c r="J553" s="201">
        <v>1.67011</v>
      </c>
      <c r="K553" s="199">
        <v>43844.582638888889</v>
      </c>
      <c r="L553" s="201">
        <v>1.6115900000000001</v>
      </c>
      <c r="M553" s="203">
        <f t="shared" si="154"/>
        <v>-5.0000000000000001E-3</v>
      </c>
      <c r="N553" s="204">
        <f t="shared" si="155"/>
        <v>-1</v>
      </c>
      <c r="O553" s="205">
        <f t="shared" si="156"/>
        <v>0</v>
      </c>
      <c r="P553" s="206">
        <f t="shared" si="157"/>
        <v>0</v>
      </c>
      <c r="Q553" s="206">
        <f t="shared" si="158"/>
        <v>-1</v>
      </c>
      <c r="R5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96860</v>
      </c>
      <c r="T5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53" s="208">
        <f ca="1">IF(Tabla33610673[[#This Row],[Equity]]&lt;Tabla33610673[[#This Row],[Equity Peak]],(Tabla33610673[[#This Row],[Equity Peak]]-Tabla33610673[[#This Row],[Equity]])/Tabla33610673[[#This Row],[Equity Peak]],"")</f>
        <v>9.3325844800149771E-2</v>
      </c>
      <c r="V553" s="209">
        <f t="shared" si="159"/>
        <v>-1</v>
      </c>
      <c r="W553" s="209">
        <f t="shared" si="160"/>
        <v>0</v>
      </c>
      <c r="X553" s="209">
        <f t="shared" si="161"/>
        <v>0</v>
      </c>
      <c r="Y553" s="209">
        <f t="shared" si="162"/>
        <v>0</v>
      </c>
      <c r="Z553" s="209">
        <f t="shared" si="163"/>
        <v>0</v>
      </c>
      <c r="AA553" s="205">
        <f t="shared" si="164"/>
        <v>0</v>
      </c>
      <c r="AB553" s="209">
        <f t="shared" si="165"/>
        <v>0</v>
      </c>
      <c r="AC553" s="205">
        <f t="shared" si="166"/>
        <v>0</v>
      </c>
      <c r="AD553" s="210">
        <f t="shared" si="167"/>
        <v>0.41597222222480923</v>
      </c>
      <c r="AE553" s="210">
        <f t="shared" si="168"/>
        <v>0</v>
      </c>
      <c r="AF553" s="210">
        <f t="shared" si="169"/>
        <v>0.41597222222480923</v>
      </c>
      <c r="AG553" s="210">
        <f t="shared" si="170"/>
        <v>0</v>
      </c>
    </row>
    <row r="554" spans="2:33" ht="15" customHeight="1" x14ac:dyDescent="0.3">
      <c r="B554" s="196" t="s">
        <v>7</v>
      </c>
      <c r="C554" s="197" t="s">
        <v>13</v>
      </c>
      <c r="D554" s="198" t="str">
        <f t="shared" si="152"/>
        <v>C</v>
      </c>
      <c r="E554" s="199">
        <v>43843.166666666664</v>
      </c>
      <c r="F554" s="200" t="s">
        <v>120</v>
      </c>
      <c r="G554" s="201">
        <v>1.6088499999999999</v>
      </c>
      <c r="H554" s="201">
        <v>1.61392</v>
      </c>
      <c r="I554" s="202">
        <f t="shared" si="153"/>
        <v>5.07000000000013E-3</v>
      </c>
      <c r="J554" s="201">
        <v>1.5548200000000001</v>
      </c>
      <c r="K554" s="199">
        <v>43844.052777777775</v>
      </c>
      <c r="L554" s="201">
        <v>1.6138999999999999</v>
      </c>
      <c r="M554" s="203">
        <f t="shared" si="154"/>
        <v>-5.1000000000000004E-3</v>
      </c>
      <c r="N554" s="204">
        <f t="shared" si="155"/>
        <v>-1.01</v>
      </c>
      <c r="O554" s="205">
        <f t="shared" si="156"/>
        <v>0</v>
      </c>
      <c r="P554" s="206">
        <f t="shared" si="157"/>
        <v>0</v>
      </c>
      <c r="Q554" s="206">
        <f t="shared" si="158"/>
        <v>-1.01</v>
      </c>
      <c r="R5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97860</v>
      </c>
      <c r="T5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54" s="208">
        <f ca="1">IF(Tabla33610673[[#This Row],[Equity]]&lt;Tabla33610673[[#This Row],[Equity Peak]],(Tabla33610673[[#This Row],[Equity Peak]]-Tabla33610673[[#This Row],[Equity]])/Tabla33610673[[#This Row],[Equity Peak]],"")</f>
        <v>8.3965178320696429E-2</v>
      </c>
      <c r="V554" s="209">
        <f t="shared" si="159"/>
        <v>-1.01</v>
      </c>
      <c r="W554" s="209">
        <f t="shared" si="160"/>
        <v>0</v>
      </c>
      <c r="X554" s="209">
        <f t="shared" si="161"/>
        <v>0</v>
      </c>
      <c r="Y554" s="209">
        <f t="shared" si="162"/>
        <v>0</v>
      </c>
      <c r="Z554" s="209">
        <f t="shared" si="163"/>
        <v>0</v>
      </c>
      <c r="AA554" s="205">
        <f t="shared" si="164"/>
        <v>0</v>
      </c>
      <c r="AB554" s="209">
        <f t="shared" si="165"/>
        <v>0</v>
      </c>
      <c r="AC554" s="205">
        <f t="shared" si="166"/>
        <v>0</v>
      </c>
      <c r="AD554" s="210">
        <f t="shared" si="167"/>
        <v>0.88611111111094942</v>
      </c>
      <c r="AE554" s="210">
        <f t="shared" si="168"/>
        <v>0</v>
      </c>
      <c r="AF554" s="210">
        <f t="shared" si="169"/>
        <v>0.88611111111094942</v>
      </c>
      <c r="AG554" s="210">
        <f t="shared" si="170"/>
        <v>0</v>
      </c>
    </row>
    <row r="555" spans="2:33" ht="15" customHeight="1" x14ac:dyDescent="0.3">
      <c r="B555" s="196" t="s">
        <v>7</v>
      </c>
      <c r="C555" s="197" t="s">
        <v>13</v>
      </c>
      <c r="D555" s="198" t="str">
        <f t="shared" si="152"/>
        <v>C</v>
      </c>
      <c r="E555" s="199">
        <v>43840.5</v>
      </c>
      <c r="F555" s="200" t="s">
        <v>117</v>
      </c>
      <c r="G555" s="201">
        <v>1.10964</v>
      </c>
      <c r="H555" s="201">
        <v>1.11395</v>
      </c>
      <c r="I555" s="202">
        <f t="shared" si="153"/>
        <v>4.310000000000036E-3</v>
      </c>
      <c r="J555" s="201">
        <v>1.08206</v>
      </c>
      <c r="K555" s="199">
        <v>43843.768055555556</v>
      </c>
      <c r="L555" s="201">
        <v>1.11395</v>
      </c>
      <c r="M555" s="203">
        <f t="shared" si="154"/>
        <v>-4.3E-3</v>
      </c>
      <c r="N555" s="204">
        <f t="shared" si="155"/>
        <v>-1</v>
      </c>
      <c r="O555" s="205">
        <f t="shared" si="156"/>
        <v>0</v>
      </c>
      <c r="P555" s="206">
        <f t="shared" si="157"/>
        <v>0</v>
      </c>
      <c r="Q555" s="206">
        <f t="shared" si="158"/>
        <v>-1</v>
      </c>
      <c r="R5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98870</v>
      </c>
      <c r="T5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55" s="208">
        <f ca="1">IF(Tabla33610673[[#This Row],[Equity]]&lt;Tabla33610673[[#This Row],[Equity Peak]],(Tabla33610673[[#This Row],[Equity Peak]]-Tabla33610673[[#This Row],[Equity]])/Tabla33610673[[#This Row],[Equity Peak]],"")</f>
        <v>7.4510905176448566E-2</v>
      </c>
      <c r="V555" s="209">
        <f t="shared" si="159"/>
        <v>-1</v>
      </c>
      <c r="W555" s="209">
        <f t="shared" si="160"/>
        <v>0</v>
      </c>
      <c r="X555" s="209">
        <f t="shared" si="161"/>
        <v>0</v>
      </c>
      <c r="Y555" s="209">
        <f t="shared" si="162"/>
        <v>0</v>
      </c>
      <c r="Z555" s="209">
        <f t="shared" si="163"/>
        <v>0</v>
      </c>
      <c r="AA555" s="205">
        <f t="shared" si="164"/>
        <v>0</v>
      </c>
      <c r="AB555" s="209">
        <f t="shared" si="165"/>
        <v>0</v>
      </c>
      <c r="AC555" s="205">
        <f t="shared" si="166"/>
        <v>0</v>
      </c>
      <c r="AD555" s="210">
        <f t="shared" si="167"/>
        <v>3.2680555555562023</v>
      </c>
      <c r="AE555" s="210">
        <f t="shared" si="168"/>
        <v>0</v>
      </c>
      <c r="AF555" s="210">
        <f t="shared" si="169"/>
        <v>3.2680555555562023</v>
      </c>
      <c r="AG555" s="210">
        <f t="shared" si="170"/>
        <v>0</v>
      </c>
    </row>
    <row r="556" spans="2:33" ht="15" customHeight="1" x14ac:dyDescent="0.3">
      <c r="B556" s="196" t="s">
        <v>7</v>
      </c>
      <c r="C556" s="197" t="s">
        <v>15</v>
      </c>
      <c r="D556" s="198" t="str">
        <f t="shared" si="152"/>
        <v>C</v>
      </c>
      <c r="E556" s="199">
        <v>43836.666666666664</v>
      </c>
      <c r="F556" s="200" t="s">
        <v>116</v>
      </c>
      <c r="G556" s="201">
        <v>1.8922399999999999</v>
      </c>
      <c r="H556" s="201">
        <v>1.87225</v>
      </c>
      <c r="I556" s="202">
        <f t="shared" si="153"/>
        <v>1.9989999999999952E-2</v>
      </c>
      <c r="J556" s="201">
        <v>1.9588699999999999</v>
      </c>
      <c r="K556" s="199">
        <v>43840.772222222222</v>
      </c>
      <c r="L556" s="201">
        <v>1.8913800000000001</v>
      </c>
      <c r="M556" s="203">
        <f t="shared" si="154"/>
        <v>-8.9999999999999998E-4</v>
      </c>
      <c r="N556" s="204">
        <f t="shared" si="155"/>
        <v>-0.05</v>
      </c>
      <c r="O556" s="205">
        <f t="shared" si="156"/>
        <v>0</v>
      </c>
      <c r="P556" s="206">
        <f t="shared" si="157"/>
        <v>0</v>
      </c>
      <c r="Q556" s="206">
        <f t="shared" si="158"/>
        <v>-0.05</v>
      </c>
      <c r="R5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99870</v>
      </c>
      <c r="T5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56" s="208">
        <f ca="1">IF(Tabla33610673[[#This Row],[Equity]]&lt;Tabla33610673[[#This Row],[Equity Peak]],(Tabla33610673[[#This Row],[Equity Peak]]-Tabla33610673[[#This Row],[Equity]])/Tabla33610673[[#This Row],[Equity Peak]],"")</f>
        <v>6.5150238696995225E-2</v>
      </c>
      <c r="V556" s="209">
        <f t="shared" si="159"/>
        <v>-0.05</v>
      </c>
      <c r="W556" s="209">
        <f t="shared" si="160"/>
        <v>0</v>
      </c>
      <c r="X556" s="209">
        <f t="shared" si="161"/>
        <v>0</v>
      </c>
      <c r="Y556" s="209">
        <f t="shared" si="162"/>
        <v>0</v>
      </c>
      <c r="Z556" s="209">
        <f t="shared" si="163"/>
        <v>0</v>
      </c>
      <c r="AA556" s="205">
        <f t="shared" si="164"/>
        <v>0</v>
      </c>
      <c r="AB556" s="209">
        <f t="shared" si="165"/>
        <v>0</v>
      </c>
      <c r="AC556" s="205">
        <f t="shared" si="166"/>
        <v>0</v>
      </c>
      <c r="AD556" s="210">
        <f t="shared" si="167"/>
        <v>4.1055555555576575</v>
      </c>
      <c r="AE556" s="210">
        <f t="shared" si="168"/>
        <v>0</v>
      </c>
      <c r="AF556" s="210">
        <f t="shared" si="169"/>
        <v>4.1055555555576575</v>
      </c>
      <c r="AG556" s="210">
        <f t="shared" si="170"/>
        <v>0</v>
      </c>
    </row>
    <row r="557" spans="2:33" ht="15" customHeight="1" x14ac:dyDescent="0.3">
      <c r="B557" s="196" t="s">
        <v>5</v>
      </c>
      <c r="C557" s="197" t="s">
        <v>15</v>
      </c>
      <c r="D557" s="198" t="str">
        <f t="shared" si="152"/>
        <v>C</v>
      </c>
      <c r="E557" s="199">
        <v>43838.833333333336</v>
      </c>
      <c r="F557" s="200" t="s">
        <v>94</v>
      </c>
      <c r="G557" s="201">
        <v>7592.62</v>
      </c>
      <c r="H557" s="201">
        <v>7521.23</v>
      </c>
      <c r="I557" s="202">
        <f t="shared" si="153"/>
        <v>71.390000000000327</v>
      </c>
      <c r="J557" s="201">
        <v>7949.56</v>
      </c>
      <c r="K557" s="199">
        <v>43840.772222222222</v>
      </c>
      <c r="L557" s="201">
        <v>7577.92</v>
      </c>
      <c r="M557" s="203">
        <f t="shared" si="154"/>
        <v>-14.7</v>
      </c>
      <c r="N557" s="204">
        <f t="shared" si="155"/>
        <v>-0.21</v>
      </c>
      <c r="O557" s="205">
        <f t="shared" si="156"/>
        <v>0</v>
      </c>
      <c r="P557" s="206">
        <f t="shared" si="157"/>
        <v>0</v>
      </c>
      <c r="Q557" s="206">
        <f t="shared" si="158"/>
        <v>-0.21</v>
      </c>
      <c r="R5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99920</v>
      </c>
      <c r="T5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57" s="208">
        <f ca="1">IF(Tabla33610673[[#This Row],[Equity]]&lt;Tabla33610673[[#This Row],[Equity Peak]],(Tabla33610673[[#This Row],[Equity Peak]]-Tabla33610673[[#This Row],[Equity]])/Tabla33610673[[#This Row],[Equity Peak]],"")</f>
        <v>6.4682205373022564E-2</v>
      </c>
      <c r="V557" s="209">
        <f t="shared" si="159"/>
        <v>0</v>
      </c>
      <c r="W557" s="209">
        <f t="shared" si="160"/>
        <v>0</v>
      </c>
      <c r="X557" s="209">
        <f t="shared" si="161"/>
        <v>0</v>
      </c>
      <c r="Y557" s="209">
        <f t="shared" si="162"/>
        <v>0</v>
      </c>
      <c r="Z557" s="209">
        <f t="shared" si="163"/>
        <v>-0.21</v>
      </c>
      <c r="AA557" s="205">
        <f t="shared" si="164"/>
        <v>0</v>
      </c>
      <c r="AB557" s="209">
        <f t="shared" si="165"/>
        <v>0</v>
      </c>
      <c r="AC557" s="205">
        <f t="shared" si="166"/>
        <v>0</v>
      </c>
      <c r="AD557" s="210">
        <f t="shared" si="167"/>
        <v>1.9388888888861402</v>
      </c>
      <c r="AE557" s="210">
        <f t="shared" si="168"/>
        <v>0</v>
      </c>
      <c r="AF557" s="210">
        <f t="shared" si="169"/>
        <v>1.9388888888861402</v>
      </c>
      <c r="AG557" s="210">
        <f t="shared" si="170"/>
        <v>0</v>
      </c>
    </row>
    <row r="558" spans="2:33" ht="15" customHeight="1" x14ac:dyDescent="0.3">
      <c r="B558" s="196" t="s">
        <v>5</v>
      </c>
      <c r="C558" s="197" t="s">
        <v>15</v>
      </c>
      <c r="D558" s="198" t="str">
        <f t="shared" si="152"/>
        <v>C</v>
      </c>
      <c r="E558" s="199">
        <v>43840.166666666664</v>
      </c>
      <c r="F558" s="200" t="s">
        <v>95</v>
      </c>
      <c r="G558" s="201">
        <v>29017</v>
      </c>
      <c r="H558" s="201">
        <v>28882.59</v>
      </c>
      <c r="I558" s="202">
        <f t="shared" si="153"/>
        <v>134.40999999999985</v>
      </c>
      <c r="J558" s="201">
        <v>29554.63</v>
      </c>
      <c r="K558" s="199">
        <v>43840.768750000003</v>
      </c>
      <c r="L558" s="201">
        <v>28882.59</v>
      </c>
      <c r="M558" s="203">
        <f t="shared" si="154"/>
        <v>-134.41</v>
      </c>
      <c r="N558" s="204">
        <f t="shared" si="155"/>
        <v>-1</v>
      </c>
      <c r="O558" s="205">
        <f t="shared" si="156"/>
        <v>0</v>
      </c>
      <c r="P558" s="206">
        <f t="shared" si="157"/>
        <v>0</v>
      </c>
      <c r="Q558" s="206">
        <f t="shared" si="158"/>
        <v>-1</v>
      </c>
      <c r="R5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100130</v>
      </c>
      <c r="T5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58" s="208">
        <f ca="1">IF(Tabla33610673[[#This Row],[Equity]]&lt;Tabla33610673[[#This Row],[Equity Peak]],(Tabla33610673[[#This Row],[Equity Peak]]-Tabla33610673[[#This Row],[Equity]])/Tabla33610673[[#This Row],[Equity Peak]],"")</f>
        <v>6.2716465412337358E-2</v>
      </c>
      <c r="V558" s="209">
        <f t="shared" si="159"/>
        <v>0</v>
      </c>
      <c r="W558" s="209">
        <f t="shared" si="160"/>
        <v>0</v>
      </c>
      <c r="X558" s="209">
        <f t="shared" si="161"/>
        <v>0</v>
      </c>
      <c r="Y558" s="209">
        <f t="shared" si="162"/>
        <v>0</v>
      </c>
      <c r="Z558" s="209">
        <f t="shared" si="163"/>
        <v>-1</v>
      </c>
      <c r="AA558" s="205">
        <f t="shared" si="164"/>
        <v>0</v>
      </c>
      <c r="AB558" s="209">
        <f t="shared" si="165"/>
        <v>0</v>
      </c>
      <c r="AC558" s="205">
        <f t="shared" si="166"/>
        <v>0</v>
      </c>
      <c r="AD558" s="210">
        <f t="shared" si="167"/>
        <v>0.60208333333866904</v>
      </c>
      <c r="AE558" s="210">
        <f t="shared" si="168"/>
        <v>0</v>
      </c>
      <c r="AF558" s="210">
        <f t="shared" si="169"/>
        <v>0.60208333333866904</v>
      </c>
      <c r="AG558" s="210">
        <f t="shared" si="170"/>
        <v>0</v>
      </c>
    </row>
    <row r="559" spans="2:33" ht="15" customHeight="1" x14ac:dyDescent="0.3">
      <c r="B559" s="196" t="s">
        <v>5</v>
      </c>
      <c r="C559" s="197" t="s">
        <v>15</v>
      </c>
      <c r="D559" s="198" t="str">
        <f t="shared" si="152"/>
        <v>C</v>
      </c>
      <c r="E559" s="199">
        <v>43840.201388888891</v>
      </c>
      <c r="F559" s="200" t="s">
        <v>90</v>
      </c>
      <c r="G559" s="201">
        <v>6924.6</v>
      </c>
      <c r="H559" s="201">
        <v>6880.14</v>
      </c>
      <c r="I559" s="202">
        <f t="shared" si="153"/>
        <v>44.460000000000036</v>
      </c>
      <c r="J559" s="201">
        <v>7517.46</v>
      </c>
      <c r="K559" s="199">
        <v>43840.75277777778</v>
      </c>
      <c r="L559" s="201">
        <v>6880.14</v>
      </c>
      <c r="M559" s="203">
        <f t="shared" si="154"/>
        <v>-44.46</v>
      </c>
      <c r="N559" s="204">
        <f t="shared" si="155"/>
        <v>-1</v>
      </c>
      <c r="O559" s="205">
        <f t="shared" si="156"/>
        <v>0</v>
      </c>
      <c r="P559" s="206">
        <f t="shared" si="157"/>
        <v>0</v>
      </c>
      <c r="Q559" s="206">
        <f t="shared" si="158"/>
        <v>-1</v>
      </c>
      <c r="R5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101130</v>
      </c>
      <c r="T5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59" s="208">
        <f ca="1">IF(Tabla33610673[[#This Row],[Equity]]&lt;Tabla33610673[[#This Row],[Equity Peak]],(Tabla33610673[[#This Row],[Equity Peak]]-Tabla33610673[[#This Row],[Equity]])/Tabla33610673[[#This Row],[Equity Peak]],"")</f>
        <v>5.3355798932884023E-2</v>
      </c>
      <c r="V559" s="209">
        <f t="shared" si="159"/>
        <v>0</v>
      </c>
      <c r="W559" s="209">
        <f t="shared" si="160"/>
        <v>0</v>
      </c>
      <c r="X559" s="209">
        <f t="shared" si="161"/>
        <v>0</v>
      </c>
      <c r="Y559" s="209">
        <f t="shared" si="162"/>
        <v>0</v>
      </c>
      <c r="Z559" s="209">
        <f t="shared" si="163"/>
        <v>-1</v>
      </c>
      <c r="AA559" s="205">
        <f t="shared" si="164"/>
        <v>0</v>
      </c>
      <c r="AB559" s="209">
        <f t="shared" si="165"/>
        <v>0</v>
      </c>
      <c r="AC559" s="205">
        <f t="shared" si="166"/>
        <v>0</v>
      </c>
      <c r="AD559" s="210">
        <f t="shared" si="167"/>
        <v>0.55138888888905058</v>
      </c>
      <c r="AE559" s="210">
        <f t="shared" si="168"/>
        <v>0</v>
      </c>
      <c r="AF559" s="210">
        <f t="shared" si="169"/>
        <v>0.55138888888905058</v>
      </c>
      <c r="AG559" s="210">
        <f t="shared" si="170"/>
        <v>0</v>
      </c>
    </row>
    <row r="560" spans="2:33" ht="15" customHeight="1" x14ac:dyDescent="0.3">
      <c r="B560" s="196" t="s">
        <v>7</v>
      </c>
      <c r="C560" s="197" t="s">
        <v>13</v>
      </c>
      <c r="D560" s="198" t="str">
        <f t="shared" si="152"/>
        <v>C</v>
      </c>
      <c r="E560" s="199">
        <v>43838.666666666664</v>
      </c>
      <c r="F560" s="200" t="s">
        <v>119</v>
      </c>
      <c r="G560" s="201">
        <v>0.84740000000000004</v>
      </c>
      <c r="H560" s="201">
        <v>0.85133000000000003</v>
      </c>
      <c r="I560" s="202">
        <f t="shared" si="153"/>
        <v>3.9299999999999891E-3</v>
      </c>
      <c r="J560" s="201">
        <v>0.83691000000000004</v>
      </c>
      <c r="K560" s="199">
        <v>43839.434027777781</v>
      </c>
      <c r="L560" s="201">
        <v>0.85133000000000003</v>
      </c>
      <c r="M560" s="203">
        <f t="shared" si="154"/>
        <v>-3.8999999999999998E-3</v>
      </c>
      <c r="N560" s="204">
        <f t="shared" si="155"/>
        <v>-0.99</v>
      </c>
      <c r="O560" s="205">
        <f t="shared" si="156"/>
        <v>0</v>
      </c>
      <c r="P560" s="206">
        <f t="shared" si="157"/>
        <v>0</v>
      </c>
      <c r="Q560" s="206">
        <f t="shared" si="158"/>
        <v>-0.99</v>
      </c>
      <c r="R5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102130</v>
      </c>
      <c r="T5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60" s="208">
        <f ca="1">IF(Tabla33610673[[#This Row],[Equity]]&lt;Tabla33610673[[#This Row],[Equity Peak]],(Tabla33610673[[#This Row],[Equity Peak]]-Tabla33610673[[#This Row],[Equity]])/Tabla33610673[[#This Row],[Equity Peak]],"")</f>
        <v>4.3995132453430681E-2</v>
      </c>
      <c r="V560" s="209">
        <f t="shared" si="159"/>
        <v>-0.99</v>
      </c>
      <c r="W560" s="209">
        <f t="shared" si="160"/>
        <v>0</v>
      </c>
      <c r="X560" s="209">
        <f t="shared" si="161"/>
        <v>0</v>
      </c>
      <c r="Y560" s="209">
        <f t="shared" si="162"/>
        <v>0</v>
      </c>
      <c r="Z560" s="209">
        <f t="shared" si="163"/>
        <v>0</v>
      </c>
      <c r="AA560" s="205">
        <f t="shared" si="164"/>
        <v>0</v>
      </c>
      <c r="AB560" s="209">
        <f t="shared" si="165"/>
        <v>0</v>
      </c>
      <c r="AC560" s="205">
        <f t="shared" si="166"/>
        <v>0</v>
      </c>
      <c r="AD560" s="210">
        <f t="shared" si="167"/>
        <v>0.76736111111677019</v>
      </c>
      <c r="AE560" s="210">
        <f t="shared" si="168"/>
        <v>0</v>
      </c>
      <c r="AF560" s="210">
        <f t="shared" si="169"/>
        <v>0.76736111111677019</v>
      </c>
      <c r="AG560" s="210">
        <f t="shared" si="170"/>
        <v>0</v>
      </c>
    </row>
    <row r="561" spans="2:33" ht="15" customHeight="1" x14ac:dyDescent="0.3">
      <c r="B561" s="196" t="s">
        <v>5</v>
      </c>
      <c r="C561" s="197" t="s">
        <v>13</v>
      </c>
      <c r="D561" s="198" t="str">
        <f t="shared" si="152"/>
        <v>C</v>
      </c>
      <c r="E561" s="199">
        <v>43838.166666666664</v>
      </c>
      <c r="F561" s="200" t="s">
        <v>94</v>
      </c>
      <c r="G561" s="201">
        <v>7505.61</v>
      </c>
      <c r="H561" s="201">
        <v>7576.5</v>
      </c>
      <c r="I561" s="202">
        <f t="shared" si="153"/>
        <v>70.890000000000327</v>
      </c>
      <c r="J561" s="201">
        <v>7151.14</v>
      </c>
      <c r="K561" s="199">
        <v>43838.502083333333</v>
      </c>
      <c r="L561" s="201">
        <v>7558.28</v>
      </c>
      <c r="M561" s="203">
        <f t="shared" si="154"/>
        <v>-52.67</v>
      </c>
      <c r="N561" s="204">
        <f t="shared" si="155"/>
        <v>-0.74</v>
      </c>
      <c r="O561" s="205">
        <f t="shared" si="156"/>
        <v>0</v>
      </c>
      <c r="P561" s="206">
        <f t="shared" si="157"/>
        <v>0</v>
      </c>
      <c r="Q561" s="206">
        <f t="shared" si="158"/>
        <v>-0.74</v>
      </c>
      <c r="R5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103120</v>
      </c>
      <c r="T5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61" s="208">
        <f ca="1">IF(Tabla33610673[[#This Row],[Equity]]&lt;Tabla33610673[[#This Row],[Equity Peak]],(Tabla33610673[[#This Row],[Equity Peak]]-Tabla33610673[[#This Row],[Equity]])/Tabla33610673[[#This Row],[Equity Peak]],"")</f>
        <v>3.4728072638771881E-2</v>
      </c>
      <c r="V561" s="209">
        <f t="shared" si="159"/>
        <v>0</v>
      </c>
      <c r="W561" s="209">
        <f t="shared" si="160"/>
        <v>0</v>
      </c>
      <c r="X561" s="209">
        <f t="shared" si="161"/>
        <v>0</v>
      </c>
      <c r="Y561" s="209">
        <f t="shared" si="162"/>
        <v>0</v>
      </c>
      <c r="Z561" s="209">
        <f t="shared" si="163"/>
        <v>-0.74</v>
      </c>
      <c r="AA561" s="205">
        <f t="shared" si="164"/>
        <v>0</v>
      </c>
      <c r="AB561" s="209">
        <f t="shared" si="165"/>
        <v>0</v>
      </c>
      <c r="AC561" s="205">
        <f t="shared" si="166"/>
        <v>0</v>
      </c>
      <c r="AD561" s="210">
        <f t="shared" si="167"/>
        <v>0.33541666666860692</v>
      </c>
      <c r="AE561" s="210">
        <f t="shared" si="168"/>
        <v>0</v>
      </c>
      <c r="AF561" s="210">
        <f t="shared" si="169"/>
        <v>0.33541666666860692</v>
      </c>
      <c r="AG561" s="210">
        <f t="shared" si="170"/>
        <v>0</v>
      </c>
    </row>
    <row r="562" spans="2:33" ht="15" customHeight="1" x14ac:dyDescent="0.3">
      <c r="B562" s="196" t="s">
        <v>5</v>
      </c>
      <c r="C562" s="197" t="s">
        <v>15</v>
      </c>
      <c r="D562" s="198" t="str">
        <f t="shared" si="152"/>
        <v>C</v>
      </c>
      <c r="E562" s="199">
        <v>43837.840277777781</v>
      </c>
      <c r="F562" s="200" t="s">
        <v>90</v>
      </c>
      <c r="G562" s="201">
        <v>6825.6</v>
      </c>
      <c r="H562" s="201">
        <v>6771.47</v>
      </c>
      <c r="I562" s="202">
        <f t="shared" si="153"/>
        <v>54.130000000000109</v>
      </c>
      <c r="J562" s="201">
        <v>7547.31</v>
      </c>
      <c r="K562" s="199">
        <v>43838.138194444444</v>
      </c>
      <c r="L562" s="201">
        <v>6771.47</v>
      </c>
      <c r="M562" s="203">
        <f t="shared" si="154"/>
        <v>-54.13</v>
      </c>
      <c r="N562" s="204">
        <f t="shared" si="155"/>
        <v>-1</v>
      </c>
      <c r="O562" s="205">
        <f t="shared" si="156"/>
        <v>0</v>
      </c>
      <c r="P562" s="206">
        <f t="shared" si="157"/>
        <v>0</v>
      </c>
      <c r="Q562" s="206">
        <f t="shared" si="158"/>
        <v>-1</v>
      </c>
      <c r="R5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103860</v>
      </c>
      <c r="T5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62" s="208">
        <f ca="1">IF(Tabla33610673[[#This Row],[Equity]]&lt;Tabla33610673[[#This Row],[Equity Peak]],(Tabla33610673[[#This Row],[Equity Peak]]-Tabla33610673[[#This Row],[Equity]])/Tabla33610673[[#This Row],[Equity Peak]],"")</f>
        <v>2.780117944397641E-2</v>
      </c>
      <c r="V562" s="209">
        <f t="shared" si="159"/>
        <v>0</v>
      </c>
      <c r="W562" s="209">
        <f t="shared" si="160"/>
        <v>0</v>
      </c>
      <c r="X562" s="209">
        <f t="shared" si="161"/>
        <v>0</v>
      </c>
      <c r="Y562" s="209">
        <f t="shared" si="162"/>
        <v>0</v>
      </c>
      <c r="Z562" s="209">
        <f t="shared" si="163"/>
        <v>-1</v>
      </c>
      <c r="AA562" s="205">
        <f t="shared" si="164"/>
        <v>0</v>
      </c>
      <c r="AB562" s="209">
        <f t="shared" si="165"/>
        <v>0</v>
      </c>
      <c r="AC562" s="205">
        <f t="shared" si="166"/>
        <v>0</v>
      </c>
      <c r="AD562" s="210">
        <f t="shared" si="167"/>
        <v>0.29791666666278616</v>
      </c>
      <c r="AE562" s="210">
        <f t="shared" si="168"/>
        <v>0</v>
      </c>
      <c r="AF562" s="210">
        <f t="shared" si="169"/>
        <v>0.29791666666278616</v>
      </c>
      <c r="AG562" s="210">
        <f t="shared" si="170"/>
        <v>0</v>
      </c>
    </row>
    <row r="563" spans="2:33" ht="15" customHeight="1" x14ac:dyDescent="0.3">
      <c r="B563" s="196" t="s">
        <v>7</v>
      </c>
      <c r="C563" s="197" t="s">
        <v>13</v>
      </c>
      <c r="D563" s="198" t="str">
        <f t="shared" si="152"/>
        <v>C</v>
      </c>
      <c r="E563" s="199">
        <v>43833.833333333336</v>
      </c>
      <c r="F563" s="200" t="s">
        <v>115</v>
      </c>
      <c r="G563" s="201">
        <v>141.30799999999999</v>
      </c>
      <c r="H563" s="201">
        <v>142.78899999999999</v>
      </c>
      <c r="I563" s="202">
        <f t="shared" si="153"/>
        <v>1.4809999999999945</v>
      </c>
      <c r="J563" s="201">
        <v>133.01300000000001</v>
      </c>
      <c r="K563" s="199">
        <v>43836.942361111112</v>
      </c>
      <c r="L563" s="201">
        <v>142.78899999999999</v>
      </c>
      <c r="M563" s="203">
        <f t="shared" si="154"/>
        <v>-1.4810000000000001</v>
      </c>
      <c r="N563" s="204">
        <f t="shared" si="155"/>
        <v>-1</v>
      </c>
      <c r="O563" s="205">
        <f t="shared" si="156"/>
        <v>0</v>
      </c>
      <c r="P563" s="206">
        <f t="shared" si="157"/>
        <v>0</v>
      </c>
      <c r="Q563" s="206">
        <f t="shared" si="158"/>
        <v>-1</v>
      </c>
      <c r="R5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104860</v>
      </c>
      <c r="T5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63" s="208">
        <f ca="1">IF(Tabla33610673[[#This Row],[Equity]]&lt;Tabla33610673[[#This Row],[Equity Peak]],(Tabla33610673[[#This Row],[Equity Peak]]-Tabla33610673[[#This Row],[Equity]])/Tabla33610673[[#This Row],[Equity Peak]],"")</f>
        <v>1.8440512964523075E-2</v>
      </c>
      <c r="V563" s="209">
        <f t="shared" si="159"/>
        <v>-1</v>
      </c>
      <c r="W563" s="209">
        <f t="shared" si="160"/>
        <v>0</v>
      </c>
      <c r="X563" s="209">
        <f t="shared" si="161"/>
        <v>0</v>
      </c>
      <c r="Y563" s="209">
        <f t="shared" si="162"/>
        <v>0</v>
      </c>
      <c r="Z563" s="209">
        <f t="shared" si="163"/>
        <v>0</v>
      </c>
      <c r="AA563" s="205">
        <f t="shared" si="164"/>
        <v>0</v>
      </c>
      <c r="AB563" s="209">
        <f t="shared" si="165"/>
        <v>0</v>
      </c>
      <c r="AC563" s="205">
        <f t="shared" si="166"/>
        <v>0</v>
      </c>
      <c r="AD563" s="210">
        <f t="shared" si="167"/>
        <v>3.109027777776646</v>
      </c>
      <c r="AE563" s="210">
        <f t="shared" si="168"/>
        <v>0</v>
      </c>
      <c r="AF563" s="210">
        <f t="shared" si="169"/>
        <v>3.109027777776646</v>
      </c>
      <c r="AG563" s="210">
        <f t="shared" si="170"/>
        <v>0</v>
      </c>
    </row>
    <row r="564" spans="2:33" ht="15" customHeight="1" x14ac:dyDescent="0.3">
      <c r="B564" s="196" t="s">
        <v>7</v>
      </c>
      <c r="C564" s="197" t="s">
        <v>13</v>
      </c>
      <c r="D564" s="198" t="str">
        <f t="shared" si="152"/>
        <v>C</v>
      </c>
      <c r="E564" s="199">
        <v>43833.166666666664</v>
      </c>
      <c r="F564" s="200" t="s">
        <v>118</v>
      </c>
      <c r="G564" s="201">
        <v>120.90300000000001</v>
      </c>
      <c r="H564" s="201">
        <v>121.581</v>
      </c>
      <c r="I564" s="202">
        <f t="shared" si="153"/>
        <v>0.67799999999999727</v>
      </c>
      <c r="J564" s="201">
        <v>118.191</v>
      </c>
      <c r="K564" s="199">
        <v>43836.609027777777</v>
      </c>
      <c r="L564" s="201">
        <v>121.134</v>
      </c>
      <c r="M564" s="203">
        <f t="shared" si="154"/>
        <v>-0.23100000000000001</v>
      </c>
      <c r="N564" s="204">
        <f t="shared" si="155"/>
        <v>-0.34</v>
      </c>
      <c r="O564" s="205">
        <f t="shared" si="156"/>
        <v>0</v>
      </c>
      <c r="P564" s="206">
        <f t="shared" si="157"/>
        <v>0</v>
      </c>
      <c r="Q564" s="206">
        <f t="shared" si="158"/>
        <v>-0.34</v>
      </c>
      <c r="R5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105860</v>
      </c>
      <c r="T5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64" s="208">
        <f ca="1">IF(Tabla33610673[[#This Row],[Equity]]&lt;Tabla33610673[[#This Row],[Equity Peak]],(Tabla33610673[[#This Row],[Equity Peak]]-Tabla33610673[[#This Row],[Equity]])/Tabla33610673[[#This Row],[Equity Peak]],"")</f>
        <v>9.0798464850697369E-3</v>
      </c>
      <c r="V564" s="209">
        <f t="shared" si="159"/>
        <v>-0.34</v>
      </c>
      <c r="W564" s="209">
        <f t="shared" si="160"/>
        <v>0</v>
      </c>
      <c r="X564" s="209">
        <f t="shared" si="161"/>
        <v>0</v>
      </c>
      <c r="Y564" s="209">
        <f t="shared" si="162"/>
        <v>0</v>
      </c>
      <c r="Z564" s="209">
        <f t="shared" si="163"/>
        <v>0</v>
      </c>
      <c r="AA564" s="205">
        <f t="shared" si="164"/>
        <v>0</v>
      </c>
      <c r="AB564" s="209">
        <f t="shared" si="165"/>
        <v>0</v>
      </c>
      <c r="AC564" s="205">
        <f t="shared" si="166"/>
        <v>0</v>
      </c>
      <c r="AD564" s="210">
        <f t="shared" si="167"/>
        <v>3.4423611111124046</v>
      </c>
      <c r="AE564" s="210">
        <f t="shared" si="168"/>
        <v>0</v>
      </c>
      <c r="AF564" s="210">
        <f t="shared" si="169"/>
        <v>3.4423611111124046</v>
      </c>
      <c r="AG564" s="210">
        <f t="shared" si="170"/>
        <v>0</v>
      </c>
    </row>
    <row r="565" spans="2:33" ht="15" customHeight="1" x14ac:dyDescent="0.3">
      <c r="B565" s="196" t="s">
        <v>19</v>
      </c>
      <c r="C565" s="197" t="s">
        <v>15</v>
      </c>
      <c r="D565" s="198" t="str">
        <f t="shared" si="152"/>
        <v>C</v>
      </c>
      <c r="E565" s="199">
        <v>43836.291666666664</v>
      </c>
      <c r="F565" s="200" t="s">
        <v>108</v>
      </c>
      <c r="G565" s="201">
        <v>64.409000000000006</v>
      </c>
      <c r="H565" s="201">
        <v>63.231999999999999</v>
      </c>
      <c r="I565" s="202">
        <f t="shared" si="153"/>
        <v>1.1770000000000067</v>
      </c>
      <c r="J565" s="201">
        <v>78.537000000000006</v>
      </c>
      <c r="K565" s="199">
        <v>43836.505555555559</v>
      </c>
      <c r="L565" s="201">
        <v>63.667000000000002</v>
      </c>
      <c r="M565" s="203">
        <f t="shared" si="154"/>
        <v>-0.74199999999999999</v>
      </c>
      <c r="N565" s="204">
        <f t="shared" si="155"/>
        <v>-0.63</v>
      </c>
      <c r="O565" s="205">
        <f t="shared" si="156"/>
        <v>0</v>
      </c>
      <c r="P565" s="206">
        <f t="shared" si="157"/>
        <v>0</v>
      </c>
      <c r="Q565" s="206">
        <f t="shared" si="158"/>
        <v>-0.63</v>
      </c>
      <c r="R5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106200</v>
      </c>
      <c r="T5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65" s="208">
        <f ca="1">IF(Tabla33610673[[#This Row],[Equity]]&lt;Tabla33610673[[#This Row],[Equity Peak]],(Tabla33610673[[#This Row],[Equity Peak]]-Tabla33610673[[#This Row],[Equity]])/Tabla33610673[[#This Row],[Equity Peak]],"")</f>
        <v>5.8972198820556026E-3</v>
      </c>
      <c r="V565" s="209">
        <f t="shared" si="159"/>
        <v>0</v>
      </c>
      <c r="W565" s="209">
        <f t="shared" si="160"/>
        <v>0</v>
      </c>
      <c r="X565" s="209">
        <f t="shared" si="161"/>
        <v>-0.63</v>
      </c>
      <c r="Y565" s="209">
        <f t="shared" si="162"/>
        <v>0</v>
      </c>
      <c r="Z565" s="209">
        <f t="shared" si="163"/>
        <v>0</v>
      </c>
      <c r="AA565" s="205">
        <f t="shared" si="164"/>
        <v>0</v>
      </c>
      <c r="AB565" s="209">
        <f t="shared" si="165"/>
        <v>0</v>
      </c>
      <c r="AC565" s="205">
        <f t="shared" si="166"/>
        <v>0</v>
      </c>
      <c r="AD565" s="210">
        <f t="shared" si="167"/>
        <v>0.21388888889487134</v>
      </c>
      <c r="AE565" s="210">
        <f t="shared" si="168"/>
        <v>0</v>
      </c>
      <c r="AF565" s="210">
        <f t="shared" si="169"/>
        <v>0.21388888889487134</v>
      </c>
      <c r="AG565" s="210">
        <f t="shared" si="170"/>
        <v>0</v>
      </c>
    </row>
    <row r="566" spans="2:33" ht="15" customHeight="1" x14ac:dyDescent="0.3">
      <c r="B566" s="196" t="s">
        <v>19</v>
      </c>
      <c r="C566" s="197" t="s">
        <v>15</v>
      </c>
      <c r="D566" s="198" t="str">
        <f t="shared" si="152"/>
        <v>C</v>
      </c>
      <c r="E566" s="199">
        <v>43830.208333333336</v>
      </c>
      <c r="F566" s="200" t="s">
        <v>88</v>
      </c>
      <c r="G566" s="201">
        <v>1521.33</v>
      </c>
      <c r="H566" s="201">
        <v>1511.01</v>
      </c>
      <c r="I566" s="202">
        <f t="shared" si="153"/>
        <v>10.319999999999936</v>
      </c>
      <c r="J566" s="201">
        <v>1587.38</v>
      </c>
      <c r="K566" s="199">
        <v>43836.152083333334</v>
      </c>
      <c r="L566" s="201">
        <v>1587.38</v>
      </c>
      <c r="M566" s="203">
        <f t="shared" si="154"/>
        <v>66.05</v>
      </c>
      <c r="N566" s="204">
        <f t="shared" si="155"/>
        <v>6.4</v>
      </c>
      <c r="O566" s="205">
        <f t="shared" si="156"/>
        <v>0</v>
      </c>
      <c r="P566" s="206">
        <f t="shared" si="157"/>
        <v>6.4</v>
      </c>
      <c r="Q566" s="206">
        <f t="shared" si="158"/>
        <v>0</v>
      </c>
      <c r="R5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106830</v>
      </c>
      <c r="T5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106830</v>
      </c>
      <c r="U56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66" s="209">
        <f t="shared" si="159"/>
        <v>0</v>
      </c>
      <c r="W566" s="209">
        <f t="shared" si="160"/>
        <v>0</v>
      </c>
      <c r="X566" s="209">
        <f t="shared" si="161"/>
        <v>6.4</v>
      </c>
      <c r="Y566" s="209">
        <f t="shared" si="162"/>
        <v>0</v>
      </c>
      <c r="Z566" s="209">
        <f t="shared" si="163"/>
        <v>0</v>
      </c>
      <c r="AA566" s="205">
        <f t="shared" si="164"/>
        <v>0</v>
      </c>
      <c r="AB566" s="209">
        <f t="shared" si="165"/>
        <v>0</v>
      </c>
      <c r="AC566" s="205">
        <f t="shared" si="166"/>
        <v>0</v>
      </c>
      <c r="AD566" s="210">
        <f t="shared" si="167"/>
        <v>5.9437499999985448</v>
      </c>
      <c r="AE566" s="210">
        <f t="shared" si="168"/>
        <v>5.9437499999985448</v>
      </c>
      <c r="AF566" s="210">
        <f t="shared" si="169"/>
        <v>0</v>
      </c>
      <c r="AG566" s="210">
        <f t="shared" si="170"/>
        <v>0</v>
      </c>
    </row>
    <row r="567" spans="2:33" ht="15" customHeight="1" x14ac:dyDescent="0.3">
      <c r="B567" s="196" t="s">
        <v>7</v>
      </c>
      <c r="C567" s="197" t="s">
        <v>13</v>
      </c>
      <c r="D567" s="198" t="str">
        <f t="shared" si="152"/>
        <v>C</v>
      </c>
      <c r="E567" s="199">
        <v>43836.017361111109</v>
      </c>
      <c r="F567" s="200" t="s">
        <v>122</v>
      </c>
      <c r="G567" s="201">
        <v>74.783000000000001</v>
      </c>
      <c r="H567" s="201">
        <v>75.167000000000002</v>
      </c>
      <c r="I567" s="202">
        <f t="shared" si="153"/>
        <v>0.38400000000000034</v>
      </c>
      <c r="J567" s="201">
        <v>68.125</v>
      </c>
      <c r="K567" s="199">
        <v>43836.107638888891</v>
      </c>
      <c r="L567" s="201">
        <v>75.167000000000002</v>
      </c>
      <c r="M567" s="203">
        <f t="shared" si="154"/>
        <v>-0.38400000000000001</v>
      </c>
      <c r="N567" s="204">
        <f t="shared" si="155"/>
        <v>-1</v>
      </c>
      <c r="O567" s="205">
        <f t="shared" si="156"/>
        <v>0</v>
      </c>
      <c r="P567" s="206">
        <f t="shared" si="157"/>
        <v>0</v>
      </c>
      <c r="Q567" s="206">
        <f t="shared" si="158"/>
        <v>-1</v>
      </c>
      <c r="R5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100430</v>
      </c>
      <c r="T5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101720</v>
      </c>
      <c r="U567" s="208">
        <f ca="1">IF(Tabla33610673[[#This Row],[Equity]]&lt;Tabla33610673[[#This Row],[Equity Peak]],(Tabla33610673[[#This Row],[Equity Peak]]-Tabla33610673[[#This Row],[Equity]])/Tabla33610673[[#This Row],[Equity Peak]],"")</f>
        <v>1.2681871804954777E-2</v>
      </c>
      <c r="V567" s="209">
        <f t="shared" si="159"/>
        <v>-1</v>
      </c>
      <c r="W567" s="209">
        <f t="shared" si="160"/>
        <v>0</v>
      </c>
      <c r="X567" s="209">
        <f t="shared" si="161"/>
        <v>0</v>
      </c>
      <c r="Y567" s="209">
        <f t="shared" si="162"/>
        <v>0</v>
      </c>
      <c r="Z567" s="209">
        <f t="shared" si="163"/>
        <v>0</v>
      </c>
      <c r="AA567" s="205">
        <f t="shared" si="164"/>
        <v>0</v>
      </c>
      <c r="AB567" s="209">
        <f t="shared" si="165"/>
        <v>0</v>
      </c>
      <c r="AC567" s="205">
        <f t="shared" si="166"/>
        <v>0</v>
      </c>
      <c r="AD567" s="210">
        <f t="shared" si="167"/>
        <v>9.0277777781011537E-2</v>
      </c>
      <c r="AE567" s="210">
        <f t="shared" si="168"/>
        <v>0</v>
      </c>
      <c r="AF567" s="210">
        <f t="shared" si="169"/>
        <v>9.0277777781011537E-2</v>
      </c>
      <c r="AG567" s="210">
        <f t="shared" si="170"/>
        <v>0</v>
      </c>
    </row>
    <row r="568" spans="2:33" ht="15" customHeight="1" x14ac:dyDescent="0.3">
      <c r="B568" s="196" t="s">
        <v>19</v>
      </c>
      <c r="C568" s="197" t="s">
        <v>15</v>
      </c>
      <c r="D568" s="198" t="str">
        <f t="shared" si="152"/>
        <v>C</v>
      </c>
      <c r="E568" s="199">
        <v>43833.291666666664</v>
      </c>
      <c r="F568" s="200" t="s">
        <v>108</v>
      </c>
      <c r="G568" s="201">
        <v>62.912999999999997</v>
      </c>
      <c r="H568" s="201">
        <v>61.755000000000003</v>
      </c>
      <c r="I568" s="202">
        <f t="shared" si="153"/>
        <v>1.1579999999999941</v>
      </c>
      <c r="J568" s="201">
        <v>76.814999999999998</v>
      </c>
      <c r="K568" s="199">
        <v>43833.724999999999</v>
      </c>
      <c r="L568" s="201">
        <v>62.582000000000001</v>
      </c>
      <c r="M568" s="203">
        <f t="shared" si="154"/>
        <v>-0.33100000000000002</v>
      </c>
      <c r="N568" s="204">
        <f t="shared" si="155"/>
        <v>-0.28999999999999998</v>
      </c>
      <c r="O568" s="205">
        <f t="shared" si="156"/>
        <v>0</v>
      </c>
      <c r="P568" s="206">
        <f t="shared" si="157"/>
        <v>0</v>
      </c>
      <c r="Q568" s="206">
        <f t="shared" si="158"/>
        <v>-0.28999999999999998</v>
      </c>
      <c r="R5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101430</v>
      </c>
      <c r="T5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101720</v>
      </c>
      <c r="U568" s="208">
        <f ca="1">IF(Tabla33610673[[#This Row],[Equity]]&lt;Tabla33610673[[#This Row],[Equity Peak]],(Tabla33610673[[#This Row],[Equity Peak]]-Tabla33610673[[#This Row],[Equity]])/Tabla33610673[[#This Row],[Equity Peak]],"")</f>
        <v>2.8509634290208416E-3</v>
      </c>
      <c r="V568" s="209">
        <f t="shared" si="159"/>
        <v>0</v>
      </c>
      <c r="W568" s="209">
        <f t="shared" si="160"/>
        <v>0</v>
      </c>
      <c r="X568" s="209">
        <f t="shared" si="161"/>
        <v>-0.28999999999999998</v>
      </c>
      <c r="Y568" s="209">
        <f t="shared" si="162"/>
        <v>0</v>
      </c>
      <c r="Z568" s="209">
        <f t="shared" si="163"/>
        <v>0</v>
      </c>
      <c r="AA568" s="205">
        <f t="shared" si="164"/>
        <v>0</v>
      </c>
      <c r="AB568" s="209">
        <f t="shared" si="165"/>
        <v>0</v>
      </c>
      <c r="AC568" s="205">
        <f t="shared" si="166"/>
        <v>0</v>
      </c>
      <c r="AD568" s="210">
        <f t="shared" si="167"/>
        <v>0.43333333333430346</v>
      </c>
      <c r="AE568" s="210">
        <f t="shared" si="168"/>
        <v>0</v>
      </c>
      <c r="AF568" s="210">
        <f t="shared" si="169"/>
        <v>0.43333333333430346</v>
      </c>
      <c r="AG568" s="210">
        <f t="shared" si="170"/>
        <v>0</v>
      </c>
    </row>
    <row r="569" spans="2:33" ht="15" customHeight="1" x14ac:dyDescent="0.3">
      <c r="B569" s="196" t="s">
        <v>5</v>
      </c>
      <c r="C569" s="197" t="s">
        <v>15</v>
      </c>
      <c r="D569" s="198" t="str">
        <f t="shared" si="152"/>
        <v>C</v>
      </c>
      <c r="E569" s="199">
        <v>43815.708333333336</v>
      </c>
      <c r="F569" s="200" t="s">
        <v>95</v>
      </c>
      <c r="G569" s="201">
        <v>28300.25</v>
      </c>
      <c r="H569" s="201">
        <v>28151.88</v>
      </c>
      <c r="I569" s="202">
        <f t="shared" si="153"/>
        <v>148.36999999999898</v>
      </c>
      <c r="J569" s="201">
        <v>28893.73</v>
      </c>
      <c r="K569" s="199">
        <v>43832.943055555559</v>
      </c>
      <c r="L569" s="201">
        <v>28893.73</v>
      </c>
      <c r="M569" s="203">
        <f t="shared" si="154"/>
        <v>593.48</v>
      </c>
      <c r="N569" s="204">
        <f t="shared" si="155"/>
        <v>4</v>
      </c>
      <c r="O569" s="205">
        <f t="shared" si="156"/>
        <v>0</v>
      </c>
      <c r="P569" s="206">
        <f t="shared" si="157"/>
        <v>4</v>
      </c>
      <c r="Q569" s="206">
        <f t="shared" si="158"/>
        <v>0</v>
      </c>
      <c r="R5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101720</v>
      </c>
      <c r="T5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101720</v>
      </c>
      <c r="U56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69" s="209">
        <f t="shared" si="159"/>
        <v>0</v>
      </c>
      <c r="W569" s="209">
        <f t="shared" si="160"/>
        <v>0</v>
      </c>
      <c r="X569" s="209">
        <f t="shared" si="161"/>
        <v>0</v>
      </c>
      <c r="Y569" s="209">
        <f t="shared" si="162"/>
        <v>0</v>
      </c>
      <c r="Z569" s="209">
        <f t="shared" si="163"/>
        <v>4</v>
      </c>
      <c r="AA569" s="205">
        <f t="shared" si="164"/>
        <v>0</v>
      </c>
      <c r="AB569" s="209">
        <f t="shared" si="165"/>
        <v>0</v>
      </c>
      <c r="AC569" s="205">
        <f t="shared" si="166"/>
        <v>0</v>
      </c>
      <c r="AD569" s="210">
        <f t="shared" si="167"/>
        <v>17.234722222223354</v>
      </c>
      <c r="AE569" s="210">
        <f t="shared" si="168"/>
        <v>17.234722222223354</v>
      </c>
      <c r="AF569" s="210">
        <f t="shared" si="169"/>
        <v>0</v>
      </c>
      <c r="AG569" s="210">
        <f t="shared" si="170"/>
        <v>0</v>
      </c>
    </row>
    <row r="570" spans="2:33" ht="15" customHeight="1" x14ac:dyDescent="0.3">
      <c r="B570" s="196" t="s">
        <v>7</v>
      </c>
      <c r="C570" s="197" t="s">
        <v>15</v>
      </c>
      <c r="D570" s="198" t="str">
        <f t="shared" si="152"/>
        <v>C</v>
      </c>
      <c r="E570" s="199">
        <v>43830.166666666664</v>
      </c>
      <c r="F570" s="200" t="s">
        <v>114</v>
      </c>
      <c r="G570" s="201">
        <v>1.3124199999999999</v>
      </c>
      <c r="H570" s="201">
        <v>1.30331</v>
      </c>
      <c r="I570" s="202">
        <f t="shared" si="153"/>
        <v>9.1099999999999515E-3</v>
      </c>
      <c r="J570" s="201">
        <v>1.3488599999999999</v>
      </c>
      <c r="K570" s="199">
        <v>43832.775694444441</v>
      </c>
      <c r="L570" s="201">
        <v>1.3120000000000001</v>
      </c>
      <c r="M570" s="203">
        <f t="shared" si="154"/>
        <v>-4.0000000000000002E-4</v>
      </c>
      <c r="N570" s="204">
        <f t="shared" si="155"/>
        <v>-0.04</v>
      </c>
      <c r="O570" s="205">
        <f t="shared" si="156"/>
        <v>0</v>
      </c>
      <c r="P570" s="206">
        <f t="shared" si="157"/>
        <v>0</v>
      </c>
      <c r="Q570" s="206">
        <f t="shared" si="158"/>
        <v>-0.04</v>
      </c>
      <c r="R5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Yes</v>
      </c>
      <c r="S5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97720</v>
      </c>
      <c r="T5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70" s="208">
        <f ca="1">IF(Tabla33610673[[#This Row],[Equity]]&lt;Tabla33610673[[#This Row],[Equity Peak]],(Tabla33610673[[#This Row],[Equity Peak]]-Tabla33610673[[#This Row],[Equity]])/Tabla33610673[[#This Row],[Equity Peak]],"")</f>
        <v>2.2800000000000001E-2</v>
      </c>
      <c r="V570" s="209">
        <f t="shared" si="159"/>
        <v>-0.04</v>
      </c>
      <c r="W570" s="209">
        <f t="shared" si="160"/>
        <v>0</v>
      </c>
      <c r="X570" s="209">
        <f t="shared" si="161"/>
        <v>0</v>
      </c>
      <c r="Y570" s="209">
        <f t="shared" si="162"/>
        <v>0</v>
      </c>
      <c r="Z570" s="209">
        <f t="shared" si="163"/>
        <v>0</v>
      </c>
      <c r="AA570" s="205">
        <f t="shared" si="164"/>
        <v>0</v>
      </c>
      <c r="AB570" s="209">
        <f t="shared" si="165"/>
        <v>0</v>
      </c>
      <c r="AC570" s="205">
        <f t="shared" si="166"/>
        <v>0</v>
      </c>
      <c r="AD570" s="210">
        <f t="shared" si="167"/>
        <v>2.609027777776646</v>
      </c>
      <c r="AE570" s="210">
        <f t="shared" si="168"/>
        <v>0</v>
      </c>
      <c r="AF570" s="210">
        <f t="shared" si="169"/>
        <v>2.609027777776646</v>
      </c>
      <c r="AG570" s="210">
        <f t="shared" si="170"/>
        <v>0</v>
      </c>
    </row>
    <row r="571" spans="2:33" ht="15" customHeight="1" x14ac:dyDescent="0.3">
      <c r="B571" s="196" t="s">
        <v>7</v>
      </c>
      <c r="C571" s="197" t="s">
        <v>15</v>
      </c>
      <c r="D571" s="198" t="str">
        <f t="shared" si="152"/>
        <v>C</v>
      </c>
      <c r="E571" s="199">
        <v>43826.833333333336</v>
      </c>
      <c r="F571" s="200" t="s">
        <v>115</v>
      </c>
      <c r="G571" s="201">
        <v>143.38800000000001</v>
      </c>
      <c r="H571" s="201">
        <v>142.35400000000001</v>
      </c>
      <c r="I571" s="202">
        <f t="shared" si="153"/>
        <v>1.0339999999999918</v>
      </c>
      <c r="J571" s="201">
        <v>149.178</v>
      </c>
      <c r="K571" s="199">
        <v>43832.768750000003</v>
      </c>
      <c r="L571" s="201">
        <v>142.55600000000001</v>
      </c>
      <c r="M571" s="203">
        <f t="shared" si="154"/>
        <v>-0.83199999999999996</v>
      </c>
      <c r="N571" s="204">
        <f t="shared" si="155"/>
        <v>-0.8</v>
      </c>
      <c r="O571" s="205">
        <f t="shared" si="156"/>
        <v>0</v>
      </c>
      <c r="P571" s="206">
        <f t="shared" si="157"/>
        <v>0</v>
      </c>
      <c r="Q571" s="206">
        <f t="shared" si="158"/>
        <v>-0.8</v>
      </c>
      <c r="R5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Yes</v>
      </c>
      <c r="S5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97760</v>
      </c>
      <c r="T5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71" s="208">
        <f ca="1">IF(Tabla33610673[[#This Row],[Equity]]&lt;Tabla33610673[[#This Row],[Equity Peak]],(Tabla33610673[[#This Row],[Equity Peak]]-Tabla33610673[[#This Row],[Equity]])/Tabla33610673[[#This Row],[Equity Peak]],"")</f>
        <v>2.24E-2</v>
      </c>
      <c r="V571" s="209">
        <f t="shared" si="159"/>
        <v>-0.8</v>
      </c>
      <c r="W571" s="209">
        <f t="shared" si="160"/>
        <v>0</v>
      </c>
      <c r="X571" s="209">
        <f t="shared" si="161"/>
        <v>0</v>
      </c>
      <c r="Y571" s="209">
        <f t="shared" si="162"/>
        <v>0</v>
      </c>
      <c r="Z571" s="209">
        <f t="shared" si="163"/>
        <v>0</v>
      </c>
      <c r="AA571" s="205">
        <f t="shared" si="164"/>
        <v>0</v>
      </c>
      <c r="AB571" s="209">
        <f t="shared" si="165"/>
        <v>0</v>
      </c>
      <c r="AC571" s="205">
        <f t="shared" si="166"/>
        <v>0</v>
      </c>
      <c r="AD571" s="210">
        <f t="shared" si="167"/>
        <v>5.9354166666671517</v>
      </c>
      <c r="AE571" s="210">
        <f t="shared" si="168"/>
        <v>0</v>
      </c>
      <c r="AF571" s="210">
        <f t="shared" si="169"/>
        <v>5.9354166666671517</v>
      </c>
      <c r="AG571" s="210">
        <f t="shared" si="170"/>
        <v>0</v>
      </c>
    </row>
    <row r="572" spans="2:33" ht="15" customHeight="1" x14ac:dyDescent="0.3">
      <c r="B572" s="196" t="s">
        <v>7</v>
      </c>
      <c r="C572" s="197" t="s">
        <v>15</v>
      </c>
      <c r="D572" s="198" t="str">
        <f t="shared" si="152"/>
        <v>C</v>
      </c>
      <c r="E572" s="199">
        <v>43829.333333333336</v>
      </c>
      <c r="F572" s="200" t="s">
        <v>117</v>
      </c>
      <c r="G572" s="201">
        <v>1.1202700000000001</v>
      </c>
      <c r="H572" s="201">
        <v>1.1159300000000001</v>
      </c>
      <c r="I572" s="202">
        <f t="shared" si="153"/>
        <v>4.3400000000000105E-3</v>
      </c>
      <c r="J572" s="201">
        <v>1.1480600000000001</v>
      </c>
      <c r="K572" s="199">
        <v>43832.609722222223</v>
      </c>
      <c r="L572" s="201">
        <v>1.11835</v>
      </c>
      <c r="M572" s="203">
        <f t="shared" si="154"/>
        <v>-1.9E-3</v>
      </c>
      <c r="N572" s="204">
        <f t="shared" si="155"/>
        <v>-0.44</v>
      </c>
      <c r="O572" s="205">
        <f t="shared" si="156"/>
        <v>0</v>
      </c>
      <c r="P572" s="206">
        <f t="shared" si="157"/>
        <v>0</v>
      </c>
      <c r="Q572" s="206">
        <f t="shared" si="158"/>
        <v>-0.44</v>
      </c>
      <c r="R5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Yes</v>
      </c>
      <c r="S5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98560</v>
      </c>
      <c r="T5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72" s="208">
        <f ca="1">IF(Tabla33610673[[#This Row],[Equity]]&lt;Tabla33610673[[#This Row],[Equity Peak]],(Tabla33610673[[#This Row],[Equity Peak]]-Tabla33610673[[#This Row],[Equity]])/Tabla33610673[[#This Row],[Equity Peak]],"")</f>
        <v>1.44E-2</v>
      </c>
      <c r="V572" s="209">
        <f t="shared" si="159"/>
        <v>-0.44</v>
      </c>
      <c r="W572" s="209">
        <f t="shared" si="160"/>
        <v>0</v>
      </c>
      <c r="X572" s="209">
        <f t="shared" si="161"/>
        <v>0</v>
      </c>
      <c r="Y572" s="209">
        <f t="shared" si="162"/>
        <v>0</v>
      </c>
      <c r="Z572" s="209">
        <f t="shared" si="163"/>
        <v>0</v>
      </c>
      <c r="AA572" s="205">
        <f t="shared" si="164"/>
        <v>0</v>
      </c>
      <c r="AB572" s="209">
        <f t="shared" si="165"/>
        <v>0</v>
      </c>
      <c r="AC572" s="205">
        <f t="shared" si="166"/>
        <v>0</v>
      </c>
      <c r="AD572" s="210">
        <f t="shared" si="167"/>
        <v>3.2763888888875954</v>
      </c>
      <c r="AE572" s="210">
        <f t="shared" si="168"/>
        <v>0</v>
      </c>
      <c r="AF572" s="210">
        <f t="shared" si="169"/>
        <v>3.2763888888875954</v>
      </c>
      <c r="AG572" s="210">
        <f t="shared" si="170"/>
        <v>0</v>
      </c>
    </row>
    <row r="573" spans="2:33" ht="15" customHeight="1" x14ac:dyDescent="0.3">
      <c r="B573" s="196" t="s">
        <v>5</v>
      </c>
      <c r="C573" s="197" t="s">
        <v>13</v>
      </c>
      <c r="D573" s="198" t="str">
        <f t="shared" si="152"/>
        <v>C</v>
      </c>
      <c r="E573" s="199">
        <v>43832.340277777781</v>
      </c>
      <c r="F573" s="200" t="s">
        <v>90</v>
      </c>
      <c r="G573" s="201">
        <v>6687.2</v>
      </c>
      <c r="H573" s="201">
        <v>6731.18</v>
      </c>
      <c r="I573" s="202">
        <f t="shared" si="153"/>
        <v>43.980000000000473</v>
      </c>
      <c r="J573" s="201">
        <v>6100.77</v>
      </c>
      <c r="K573" s="199">
        <v>43832.425694444442</v>
      </c>
      <c r="L573" s="201">
        <v>6731.18</v>
      </c>
      <c r="M573" s="203">
        <f t="shared" si="154"/>
        <v>-43.98</v>
      </c>
      <c r="N573" s="204">
        <f t="shared" si="155"/>
        <v>-1</v>
      </c>
      <c r="O573" s="205">
        <f t="shared" si="156"/>
        <v>0</v>
      </c>
      <c r="P573" s="206">
        <f t="shared" si="157"/>
        <v>0</v>
      </c>
      <c r="Q573" s="206">
        <f t="shared" si="158"/>
        <v>-1</v>
      </c>
      <c r="R5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Yes</v>
      </c>
      <c r="S5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99000</v>
      </c>
      <c r="T5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573" s="208">
        <f ca="1">IF(Tabla33610673[[#This Row],[Equity]]&lt;Tabla33610673[[#This Row],[Equity Peak]],(Tabla33610673[[#This Row],[Equity Peak]]-Tabla33610673[[#This Row],[Equity]])/Tabla33610673[[#This Row],[Equity Peak]],"")</f>
        <v>0.01</v>
      </c>
      <c r="V573" s="209">
        <f t="shared" si="159"/>
        <v>0</v>
      </c>
      <c r="W573" s="209">
        <f t="shared" si="160"/>
        <v>0</v>
      </c>
      <c r="X573" s="209">
        <f t="shared" si="161"/>
        <v>0</v>
      </c>
      <c r="Y573" s="209">
        <f t="shared" si="162"/>
        <v>0</v>
      </c>
      <c r="Z573" s="209">
        <f t="shared" si="163"/>
        <v>-1</v>
      </c>
      <c r="AA573" s="205">
        <f t="shared" si="164"/>
        <v>0</v>
      </c>
      <c r="AB573" s="209">
        <f t="shared" si="165"/>
        <v>0</v>
      </c>
      <c r="AC573" s="205">
        <f t="shared" si="166"/>
        <v>0</v>
      </c>
      <c r="AD573" s="210">
        <f t="shared" si="167"/>
        <v>8.5416666661330964E-2</v>
      </c>
      <c r="AE573" s="210">
        <f t="shared" si="168"/>
        <v>0</v>
      </c>
      <c r="AF573" s="210">
        <f t="shared" si="169"/>
        <v>8.5416666661330964E-2</v>
      </c>
      <c r="AG573" s="210">
        <f t="shared" si="170"/>
        <v>0</v>
      </c>
    </row>
  </sheetData>
  <sheetProtection algorithmName="SHA-512" hashValue="tTtqY+DF7bHmOHJnS7atChrWr8t1wKmtPnFxC2TFMEgBMyUf/sovQkA1fjf5Zy3oY70iOm+Djk0592vhHfJc0w==" saltValue="5PXWaziKbr9zewbT4hvINQ==" spinCount="100000" sheet="1" objects="1" scenarios="1" selectLockedCells="1"/>
  <mergeCells count="11">
    <mergeCell ref="E2:N5"/>
    <mergeCell ref="L8:M8"/>
    <mergeCell ref="H11:I11"/>
    <mergeCell ref="H12:I12"/>
    <mergeCell ref="AD12:AG12"/>
    <mergeCell ref="L6:M7"/>
    <mergeCell ref="N6:N7"/>
    <mergeCell ref="I7:I9"/>
    <mergeCell ref="J7:J9"/>
    <mergeCell ref="L9:M9"/>
    <mergeCell ref="L10:M10"/>
  </mergeCells>
  <conditionalFormatting sqref="X9">
    <cfRule type="cellIs" dxfId="974" priority="3" operator="equal">
      <formula>"OK"</formula>
    </cfRule>
    <cfRule type="cellIs" dxfId="973" priority="4" operator="equal">
      <formula>"warning"</formula>
    </cfRule>
  </conditionalFormatting>
  <conditionalFormatting sqref="F13">
    <cfRule type="cellIs" dxfId="972" priority="1" operator="equal">
      <formula>"OK"</formula>
    </cfRule>
    <cfRule type="cellIs" dxfId="971" priority="2" operator="equal">
      <formula>"Error!!"</formula>
    </cfRule>
  </conditionalFormatting>
  <conditionalFormatting sqref="E15:H15 K15:L15">
    <cfRule type="expression" dxfId="970" priority="5">
      <formula>+$D15=#REF!</formula>
    </cfRule>
    <cfRule type="expression" dxfId="969" priority="6">
      <formula>+$D15=#REF!</formula>
    </cfRule>
  </conditionalFormatting>
  <conditionalFormatting sqref="D15 K16:L16 D16:H573 J17:L573">
    <cfRule type="expression" dxfId="968" priority="9">
      <formula>+$D15=$AG$8</formula>
    </cfRule>
    <cfRule type="expression" dxfId="967" priority="10">
      <formula>+$D15=$AG$9</formula>
    </cfRule>
  </conditionalFormatting>
  <dataValidations count="3">
    <dataValidation type="list" allowBlank="1" showInputMessage="1" showErrorMessage="1" promptTitle="Trade Direction" prompt="Select from List" sqref="C15:C17" xr:uid="{020A4BBE-4A54-4F2D-9269-EC2E91A4487B}">
      <formula1>$AG$4:$AG$5</formula1>
    </dataValidation>
    <dataValidation type="list" allowBlank="1" showInputMessage="1" showErrorMessage="1" promptTitle="Instrument Type" prompt="Select Type from List_x000a_" sqref="B15:B16" xr:uid="{81CB297B-3E19-4342-BA62-629C5730D696}">
      <formula1>$AE$4:$AE$6</formula1>
    </dataValidation>
    <dataValidation type="list" allowBlank="1" showInputMessage="1" showErrorMessage="1" promptTitle="Instrument Type" prompt="Select Type from List_x000a_" sqref="B17:B573" xr:uid="{EC12D098-1306-40F5-8A86-DDB8717308A2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47"/>
  <sheetViews>
    <sheetView showGridLines="0" topLeftCell="F1" zoomScaleNormal="100" workbookViewId="0">
      <selection activeCell="A2" sqref="A2"/>
    </sheetView>
  </sheetViews>
  <sheetFormatPr defaultColWidth="0" defaultRowHeight="12.75" x14ac:dyDescent="0.2"/>
  <cols>
    <col min="1" max="1" width="9.375" style="100" bestFit="1" customWidth="1"/>
    <col min="2" max="2" width="15.625" style="101" bestFit="1" customWidth="1"/>
    <col min="3" max="3" width="16.625" style="101" bestFit="1" customWidth="1"/>
    <col min="4" max="4" width="14.625" style="101" bestFit="1" customWidth="1"/>
    <col min="5" max="5" width="22" style="101" hidden="1" customWidth="1"/>
    <col min="6" max="6" width="1.625" style="93" customWidth="1"/>
    <col min="7" max="7" width="1.875" style="84" hidden="1" customWidth="1"/>
    <col min="8" max="8" width="16.875" style="84" hidden="1" customWidth="1"/>
    <col min="9" max="9" width="11.625" style="93" hidden="1" customWidth="1"/>
    <col min="10" max="10" width="14.5" style="93" hidden="1" customWidth="1"/>
    <col min="11" max="11" width="23.625" style="84" customWidth="1"/>
    <col min="12" max="12" width="12.625" style="84" customWidth="1"/>
    <col min="13" max="13" width="8.875" style="84" customWidth="1"/>
    <col min="14" max="14" width="9" style="84" customWidth="1"/>
    <col min="15" max="15" width="10.625" style="84" bestFit="1" customWidth="1"/>
    <col min="16" max="24" width="9" style="84" customWidth="1"/>
    <col min="25" max="26" width="0" style="84" hidden="1" customWidth="1"/>
    <col min="27" max="16384" width="9" style="84" hidden="1"/>
  </cols>
  <sheetData>
    <row r="1" spans="1:24" ht="16.5" thickBot="1" x14ac:dyDescent="0.35">
      <c r="A1" s="81" t="s">
        <v>64</v>
      </c>
      <c r="B1" s="82" t="s">
        <v>65</v>
      </c>
      <c r="C1" s="82" t="s">
        <v>66</v>
      </c>
      <c r="D1" s="82" t="s">
        <v>67</v>
      </c>
      <c r="E1" s="82" t="s">
        <v>68</v>
      </c>
      <c r="F1" s="83"/>
      <c r="H1" s="102" t="s">
        <v>69</v>
      </c>
      <c r="I1" s="85" t="s">
        <v>75</v>
      </c>
      <c r="J1"/>
      <c r="K1" s="3"/>
      <c r="L1" s="86" t="s">
        <v>70</v>
      </c>
      <c r="M1" s="87">
        <f>SUMIFS(Table2[Profits in $],Table2[Date],MIN(Table2[Date]))+$P$1</f>
        <v>112120</v>
      </c>
      <c r="N1" s="3"/>
      <c r="O1" s="86" t="s">
        <v>71</v>
      </c>
      <c r="P1" s="87">
        <f>SUMIFS(Table2[Profits in $],Table2[Date],MAX(Table2[Date]))</f>
        <v>12120</v>
      </c>
      <c r="Q1" s="3"/>
      <c r="R1" s="86" t="s">
        <v>72</v>
      </c>
      <c r="S1" s="88">
        <f>($P$1/SUMIFS(Table2[Profits in $],Table2[Date],MIN(Table2[Date])))</f>
        <v>0.1212</v>
      </c>
      <c r="T1" s="3"/>
      <c r="U1" s="3"/>
      <c r="V1" s="3"/>
      <c r="W1" s="3"/>
      <c r="X1" s="3"/>
    </row>
    <row r="2" spans="1:24" ht="15" x14ac:dyDescent="0.3">
      <c r="A2" s="89">
        <v>44317</v>
      </c>
      <c r="B2" s="90">
        <v>12.12</v>
      </c>
      <c r="C2" s="91">
        <v>1000</v>
      </c>
      <c r="D2" s="91">
        <v>12120</v>
      </c>
      <c r="E2" s="92">
        <f>IF(Table2[[#This Row],[Date]]=MIN(Table2[Date]),Table2[[#This Row],[Profits in $]],SUMIFS(Table2[Profits in $],Table2[Date],MIN(Table2[Date]))+Table2[[#This Row],[Profits in $]])</f>
        <v>112120</v>
      </c>
      <c r="G2" s="94">
        <f>MIN(Table2[Cumulative Equity])*0.99</f>
        <v>99000</v>
      </c>
      <c r="H2" s="95">
        <v>44197</v>
      </c>
      <c r="I2" s="85">
        <v>100000</v>
      </c>
      <c r="J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x14ac:dyDescent="0.3">
      <c r="A3" s="96">
        <v>44197</v>
      </c>
      <c r="B3" s="97" t="s">
        <v>73</v>
      </c>
      <c r="C3" s="98" t="s">
        <v>73</v>
      </c>
      <c r="D3" s="98">
        <v>100000</v>
      </c>
      <c r="E3" s="99">
        <f>IF(Table2[[#This Row],[Date]]=MIN(Table2[Date]),Table2[[#This Row],[Profits in $]],SUMIFS(Table2[Profits in $],Table2[Date],MIN(Table2[Date]))+Table2[[#This Row],[Profits in $]])</f>
        <v>100000</v>
      </c>
      <c r="G3" s="94">
        <f>MAX(Table2[Cumulative Equity])*1.05</f>
        <v>117999</v>
      </c>
      <c r="H3" s="95">
        <v>44253</v>
      </c>
      <c r="I3" s="85">
        <v>112270</v>
      </c>
      <c r="J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x14ac:dyDescent="0.3">
      <c r="A4" s="89">
        <v>44253</v>
      </c>
      <c r="B4" s="90">
        <v>12.27</v>
      </c>
      <c r="C4" s="91">
        <v>1000</v>
      </c>
      <c r="D4" s="91">
        <v>12270</v>
      </c>
      <c r="E4" s="92">
        <f>IF(Table2[[#This Row],[Date]]=MIN(Table2[Date]),Table2[[#This Row],[Profits in $]],SUMIFS(Table2[Profits in $],Table2[Date],MIN(Table2[Date]))+Table2[[#This Row],[Profits in $]])</f>
        <v>112270</v>
      </c>
      <c r="H4" s="95">
        <v>44274</v>
      </c>
      <c r="I4" s="85">
        <v>111120</v>
      </c>
      <c r="J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x14ac:dyDescent="0.3">
      <c r="A5" s="96">
        <v>44274</v>
      </c>
      <c r="B5" s="97">
        <v>11.12</v>
      </c>
      <c r="C5" s="98">
        <v>1000</v>
      </c>
      <c r="D5" s="98">
        <v>11120</v>
      </c>
      <c r="E5" s="99">
        <f>IF(Table2[[#This Row],[Date]]=MIN(Table2[Date]),Table2[[#This Row],[Profits in $]],SUMIFS(Table2[Profits in $],Table2[Date],MIN(Table2[Date]))+Table2[[#This Row],[Profits in $]])</f>
        <v>111120</v>
      </c>
      <c r="H5" s="95">
        <v>44287</v>
      </c>
      <c r="I5" s="85">
        <v>112380</v>
      </c>
      <c r="J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x14ac:dyDescent="0.3">
      <c r="A6" s="96">
        <v>44287</v>
      </c>
      <c r="B6" s="97">
        <v>12.38</v>
      </c>
      <c r="C6" s="98">
        <v>1000</v>
      </c>
      <c r="D6" s="98">
        <v>12380</v>
      </c>
      <c r="E6" s="99">
        <f>IF(Table2[[#This Row],[Date]]=MIN(Table2[Date]),Table2[[#This Row],[Profits in $]],SUMIFS(Table2[Profits in $],Table2[Date],MIN(Table2[Date]))+Table2[[#This Row],[Profits in $]])</f>
        <v>112380</v>
      </c>
      <c r="H6" s="95">
        <v>44317</v>
      </c>
      <c r="I6" s="85">
        <v>112120</v>
      </c>
      <c r="J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" x14ac:dyDescent="0.3">
      <c r="H7" s="95" t="s">
        <v>74</v>
      </c>
      <c r="I7" s="85">
        <v>547890</v>
      </c>
      <c r="J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x14ac:dyDescent="0.3">
      <c r="H8"/>
      <c r="I8"/>
      <c r="J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x14ac:dyDescent="0.3">
      <c r="H9"/>
      <c r="I9"/>
      <c r="J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thickBot="1" x14ac:dyDescent="0.35">
      <c r="H10"/>
      <c r="I10"/>
      <c r="J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thickBot="1" x14ac:dyDescent="0.35">
      <c r="H11"/>
      <c r="I11" s="85"/>
      <c r="J11" s="85"/>
      <c r="K11" s="3"/>
      <c r="L11" s="8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x14ac:dyDescent="0.3">
      <c r="H12"/>
      <c r="I12" s="85"/>
      <c r="J12" s="8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" x14ac:dyDescent="0.3">
      <c r="H13"/>
      <c r="I13" s="85"/>
      <c r="J13" s="8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" x14ac:dyDescent="0.3">
      <c r="H14"/>
      <c r="I14" s="85"/>
      <c r="J14" s="8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x14ac:dyDescent="0.3">
      <c r="H15"/>
      <c r="I15" s="85"/>
      <c r="J15" s="8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" x14ac:dyDescent="0.3">
      <c r="H16"/>
      <c r="I16" s="85"/>
      <c r="J16" s="8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8:24" ht="15" x14ac:dyDescent="0.3">
      <c r="H17"/>
      <c r="I17" s="85"/>
      <c r="J17" s="8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8:24" ht="15" x14ac:dyDescent="0.3">
      <c r="H18"/>
      <c r="I18" s="85"/>
      <c r="J18" s="8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8:24" ht="15" x14ac:dyDescent="0.3">
      <c r="H19"/>
      <c r="I19" s="85"/>
      <c r="J19" s="8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8:24" ht="15" x14ac:dyDescent="0.3">
      <c r="H20"/>
      <c r="I20" s="85"/>
      <c r="J20" s="8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8:24" ht="15" x14ac:dyDescent="0.3">
      <c r="H21"/>
      <c r="I21" s="85"/>
      <c r="J21" s="8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8:24" ht="15" x14ac:dyDescent="0.3">
      <c r="H22"/>
      <c r="I22" s="85"/>
      <c r="J22" s="8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8:24" ht="15" x14ac:dyDescent="0.3">
      <c r="H23"/>
      <c r="I23" s="85"/>
      <c r="J23" s="8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8:24" ht="15" x14ac:dyDescent="0.3">
      <c r="H24"/>
      <c r="I24" s="85"/>
      <c r="J24" s="8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8:24" ht="15" x14ac:dyDescent="0.3">
      <c r="H25"/>
      <c r="I25" s="85"/>
      <c r="J25" s="8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8:24" ht="15" x14ac:dyDescent="0.3">
      <c r="H26"/>
      <c r="I26" s="85"/>
      <c r="J26" s="8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8:24" ht="15" x14ac:dyDescent="0.3">
      <c r="H27"/>
      <c r="I27" s="85"/>
      <c r="J27" s="8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8:24" ht="15" x14ac:dyDescent="0.3">
      <c r="H28"/>
      <c r="I28" s="85"/>
      <c r="J28" s="8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8:24" ht="15" x14ac:dyDescent="0.3">
      <c r="H29"/>
      <c r="I29" s="85"/>
      <c r="J29" s="8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8:24" ht="15" x14ac:dyDescent="0.3">
      <c r="H30"/>
      <c r="I30" s="85"/>
      <c r="J30" s="8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8:24" ht="15" x14ac:dyDescent="0.3">
      <c r="H31"/>
      <c r="I31" s="85"/>
      <c r="J31" s="8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8:24" ht="15" x14ac:dyDescent="0.3">
      <c r="H32"/>
      <c r="I32" s="85"/>
      <c r="J32" s="8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8:24" ht="15" x14ac:dyDescent="0.3">
      <c r="H33"/>
      <c r="I33" s="85"/>
      <c r="J33" s="8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8:24" ht="15" x14ac:dyDescent="0.3">
      <c r="H34"/>
      <c r="I34" s="85"/>
      <c r="J34" s="8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8:24" x14ac:dyDescent="0.2">
      <c r="H35"/>
      <c r="I35" s="85"/>
      <c r="J35" s="85"/>
    </row>
    <row r="36" spans="8:24" x14ac:dyDescent="0.2">
      <c r="H36"/>
      <c r="I36" s="85"/>
      <c r="J36" s="85"/>
    </row>
    <row r="37" spans="8:24" x14ac:dyDescent="0.2">
      <c r="H37"/>
      <c r="I37" s="85"/>
      <c r="J37" s="85"/>
    </row>
    <row r="38" spans="8:24" x14ac:dyDescent="0.2">
      <c r="H38"/>
      <c r="I38" s="85"/>
      <c r="J38" s="85"/>
    </row>
    <row r="39" spans="8:24" x14ac:dyDescent="0.2">
      <c r="H39"/>
      <c r="I39" s="85"/>
      <c r="J39" s="85"/>
    </row>
    <row r="40" spans="8:24" x14ac:dyDescent="0.2">
      <c r="H40"/>
      <c r="I40" s="85"/>
      <c r="J40" s="85"/>
    </row>
    <row r="41" spans="8:24" x14ac:dyDescent="0.2">
      <c r="H41"/>
      <c r="I41" s="85"/>
      <c r="J41" s="85"/>
    </row>
    <row r="42" spans="8:24" x14ac:dyDescent="0.2">
      <c r="H42"/>
      <c r="I42" s="85"/>
      <c r="J42" s="85"/>
    </row>
    <row r="43" spans="8:24" x14ac:dyDescent="0.2">
      <c r="H43"/>
      <c r="I43" s="85"/>
      <c r="J43" s="85"/>
    </row>
    <row r="44" spans="8:24" x14ac:dyDescent="0.2">
      <c r="H44"/>
      <c r="I44" s="85"/>
      <c r="J44" s="85"/>
    </row>
    <row r="45" spans="8:24" x14ac:dyDescent="0.2">
      <c r="H45"/>
      <c r="I45" s="85"/>
      <c r="J45" s="85"/>
    </row>
    <row r="46" spans="8:24" x14ac:dyDescent="0.2">
      <c r="H46"/>
      <c r="I46" s="85"/>
      <c r="J46" s="85"/>
    </row>
    <row r="47" spans="8:24" x14ac:dyDescent="0.2">
      <c r="H47"/>
      <c r="I47" s="85"/>
      <c r="J47" s="85"/>
    </row>
  </sheetData>
  <sheetProtection algorithmName="SHA-512" hashValue="NXa5/JknuXBWaWwlYCvnpsEm4kPPF4tDwcKilqDzprMKynzaIa/i00NDLW++R2ki93O4N9rMxhPcuPfOFHx9HA==" saltValue="or6kPG0BQBzRBi/w8XN6rA==" spinCount="100000" sheet="1" objects="1" scenarios="1" selectLockedCells="1"/>
  <pageMargins left="0.7" right="0.7" top="0.75" bottom="0.75" header="0.3" footer="0.3"/>
  <pageSetup paperSize="9" orientation="portrait" horizontalDpi="4294967294" verticalDpi="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22"/>
  <sheetViews>
    <sheetView showGridLines="0" workbookViewId="0">
      <selection activeCell="E33" sqref="E33"/>
    </sheetView>
  </sheetViews>
  <sheetFormatPr defaultColWidth="8.875" defaultRowHeight="12.75" x14ac:dyDescent="0.2"/>
  <cols>
    <col min="1" max="1" width="13" customWidth="1"/>
    <col min="2" max="2" width="12.375" customWidth="1"/>
  </cols>
  <sheetData>
    <row r="1" spans="1:2" x14ac:dyDescent="0.2">
      <c r="A1" t="s">
        <v>78</v>
      </c>
      <c r="B1" t="s">
        <v>79</v>
      </c>
    </row>
    <row r="2" spans="1:2" ht="15.75" x14ac:dyDescent="0.25">
      <c r="A2" s="105" t="s">
        <v>81</v>
      </c>
      <c r="B2" s="105" t="s">
        <v>7</v>
      </c>
    </row>
    <row r="3" spans="1:2" ht="15.75" x14ac:dyDescent="0.25">
      <c r="A3" s="105" t="s">
        <v>83</v>
      </c>
      <c r="B3" s="105" t="s">
        <v>7</v>
      </c>
    </row>
    <row r="4" spans="1:2" ht="15.75" x14ac:dyDescent="0.25">
      <c r="A4" s="105" t="s">
        <v>96</v>
      </c>
      <c r="B4" s="105" t="s">
        <v>7</v>
      </c>
    </row>
    <row r="5" spans="1:2" ht="15.75" x14ac:dyDescent="0.25">
      <c r="A5" s="105" t="s">
        <v>97</v>
      </c>
      <c r="B5" s="105" t="s">
        <v>7</v>
      </c>
    </row>
    <row r="6" spans="1:2" ht="15.75" x14ac:dyDescent="0.25">
      <c r="A6" s="105" t="s">
        <v>98</v>
      </c>
      <c r="B6" s="105" t="s">
        <v>7</v>
      </c>
    </row>
    <row r="7" spans="1:2" ht="15.75" x14ac:dyDescent="0.25">
      <c r="A7" s="105" t="s">
        <v>99</v>
      </c>
      <c r="B7" s="105" t="s">
        <v>7</v>
      </c>
    </row>
    <row r="8" spans="1:2" ht="15.75" x14ac:dyDescent="0.25">
      <c r="A8" s="105" t="s">
        <v>100</v>
      </c>
      <c r="B8" s="105" t="s">
        <v>7</v>
      </c>
    </row>
    <row r="9" spans="1:2" ht="15.75" x14ac:dyDescent="0.25">
      <c r="A9" s="105" t="s">
        <v>85</v>
      </c>
      <c r="B9" s="105" t="s">
        <v>7</v>
      </c>
    </row>
    <row r="10" spans="1:2" ht="15.75" x14ac:dyDescent="0.25">
      <c r="A10" s="105" t="s">
        <v>101</v>
      </c>
      <c r="B10" s="105" t="s">
        <v>7</v>
      </c>
    </row>
    <row r="11" spans="1:2" ht="15.75" x14ac:dyDescent="0.25">
      <c r="A11" s="105" t="s">
        <v>102</v>
      </c>
      <c r="B11" s="105" t="s">
        <v>7</v>
      </c>
    </row>
    <row r="12" spans="1:2" ht="15.75" x14ac:dyDescent="0.25">
      <c r="A12" s="105" t="s">
        <v>88</v>
      </c>
      <c r="B12" s="105" t="s">
        <v>19</v>
      </c>
    </row>
    <row r="13" spans="1:2" ht="15.75" x14ac:dyDescent="0.25">
      <c r="A13" s="105" t="s">
        <v>89</v>
      </c>
      <c r="B13" s="105" t="s">
        <v>19</v>
      </c>
    </row>
    <row r="14" spans="1:2" ht="15.75" x14ac:dyDescent="0.25">
      <c r="A14" s="105" t="s">
        <v>108</v>
      </c>
      <c r="B14" s="105" t="s">
        <v>19</v>
      </c>
    </row>
    <row r="15" spans="1:2" ht="15.75" x14ac:dyDescent="0.25">
      <c r="A15" s="105" t="s">
        <v>80</v>
      </c>
      <c r="B15" s="105" t="s">
        <v>84</v>
      </c>
    </row>
    <row r="16" spans="1:2" ht="15.75" x14ac:dyDescent="0.25">
      <c r="A16" s="105" t="s">
        <v>82</v>
      </c>
      <c r="B16" s="105" t="s">
        <v>84</v>
      </c>
    </row>
    <row r="17" spans="1:2" ht="15.75" x14ac:dyDescent="0.25">
      <c r="A17" s="105" t="s">
        <v>90</v>
      </c>
      <c r="B17" s="105" t="s">
        <v>5</v>
      </c>
    </row>
    <row r="18" spans="1:2" ht="15.75" x14ac:dyDescent="0.25">
      <c r="A18" s="105" t="s">
        <v>91</v>
      </c>
      <c r="B18" s="105" t="s">
        <v>5</v>
      </c>
    </row>
    <row r="19" spans="1:2" ht="15.75" x14ac:dyDescent="0.25">
      <c r="A19" s="105" t="s">
        <v>92</v>
      </c>
      <c r="B19" s="105" t="s">
        <v>5</v>
      </c>
    </row>
    <row r="20" spans="1:2" ht="15.75" x14ac:dyDescent="0.25">
      <c r="A20" s="105" t="s">
        <v>93</v>
      </c>
      <c r="B20" s="105" t="s">
        <v>5</v>
      </c>
    </row>
    <row r="21" spans="1:2" ht="15.75" x14ac:dyDescent="0.25">
      <c r="A21" s="105" t="s">
        <v>94</v>
      </c>
      <c r="B21" s="105" t="s">
        <v>5</v>
      </c>
    </row>
    <row r="22" spans="1:2" ht="15.75" x14ac:dyDescent="0.25">
      <c r="A22" s="105" t="s">
        <v>95</v>
      </c>
      <c r="B22" s="105" t="s">
        <v>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8305-4423-48B9-A9D5-D92FFD59A85A}">
  <sheetPr codeName="Hoja11">
    <pageSetUpPr fitToPage="1"/>
  </sheetPr>
  <dimension ref="A1:AX1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B17" sqref="B17:B58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77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COUNTA(Tabla3361067348[Inst])</f>
        <v>0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0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COUNTIF(Tabla3361067348[No. of Rs],"&gt;0")</f>
        <v>0</v>
      </c>
      <c r="G7" s="24" t="str">
        <f>IFERROR((F7/$F$6),"")</f>
        <v/>
      </c>
      <c r="H7" s="78" t="str">
        <f>IFERROR((+P13/F7),"")</f>
        <v/>
      </c>
      <c r="I7" s="227" t="e">
        <f>H7/H9</f>
        <v>#VALUE!</v>
      </c>
      <c r="J7" s="227" t="e">
        <f>AVERAGE(Tabla3361067348[No. of Rs])</f>
        <v>#DIV/0!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 t="str">
        <f>IFERROR((V6/N6),"")</f>
        <v/>
      </c>
      <c r="W7" s="27"/>
      <c r="X7" s="26" t="str">
        <f>IFERROR((X6/N6),"")</f>
        <v/>
      </c>
      <c r="Y7" s="28"/>
      <c r="Z7" s="26" t="str">
        <f>IFERROR((Z6/N6),"")</f>
        <v/>
      </c>
      <c r="AA7" s="28"/>
      <c r="AB7" s="26" t="str">
        <f>IFERROR((AB6/N6),"")</f>
        <v/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COUNTIF(Tabla3361067348[No. of Rs],"=0")</f>
        <v>0</v>
      </c>
      <c r="G8" s="24" t="str">
        <f>IFERROR((F8/$F$6),"")</f>
        <v/>
      </c>
      <c r="H8" s="78"/>
      <c r="I8" s="228"/>
      <c r="J8" s="228"/>
      <c r="K8" s="163"/>
      <c r="L8" s="212" t="s">
        <v>112</v>
      </c>
      <c r="M8" s="213"/>
      <c r="N8" s="195">
        <f ca="1">OFFSET(Tabla3361067348[[#Headers],[Equity]],1,0)</f>
        <v>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COUNTIF(Tabla3361067348[No. of Rs],"&lt;0")</f>
        <v>0</v>
      </c>
      <c r="G9" s="32" t="str">
        <f>IFERROR((F9/$F$6),"")</f>
        <v/>
      </c>
      <c r="H9" s="79" t="str">
        <f>IFERROR((-Q13/F9),"")</f>
        <v/>
      </c>
      <c r="I9" s="229"/>
      <c r="J9" s="229"/>
      <c r="K9" s="149"/>
      <c r="L9" s="230" t="s">
        <v>106</v>
      </c>
      <c r="M9" s="231"/>
      <c r="N9" s="125">
        <f>MAX(Tabla3361067348[Drawdown])</f>
        <v>0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OFFSET(Tabla3361067348[[#Headers],[Drawdown]],1,0)</f>
        <v>0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IF(COUNTIFS(Tabla3361067348[O/C],"O")&lt;1,"None",COUNTIFS(Tabla3361067348[O/C],"O"))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SUM(Tabla3361067348[No. of Rs])</f>
        <v>0</v>
      </c>
      <c r="O13" s="42">
        <f>SUM(Tabla3361067348[Heat])</f>
        <v>0</v>
      </c>
      <c r="P13" s="43">
        <f>SUM(Tabla3361067348[[ TR WIN]])</f>
        <v>0</v>
      </c>
      <c r="Q13" s="43">
        <f>SUM(Tabla3361067348[[ TR LOSS]])</f>
        <v>0</v>
      </c>
      <c r="R13" s="114"/>
      <c r="S13" s="115"/>
      <c r="T13" s="115"/>
      <c r="U13" s="121"/>
      <c r="V13" s="44">
        <f>SUM(Tabla3361067348[Currency])</f>
        <v>0</v>
      </c>
      <c r="W13" s="44">
        <f>SUM(Tabla3361067348[Heat3])</f>
        <v>0</v>
      </c>
      <c r="X13" s="44">
        <f>SUM(Tabla3361067348[Commodities])</f>
        <v>0</v>
      </c>
      <c r="Y13" s="44">
        <f>SUM(Tabla3361067348[Heat4])</f>
        <v>0</v>
      </c>
      <c r="Z13" s="44">
        <f>SUM(Tabla3361067348[Index])</f>
        <v>0</v>
      </c>
      <c r="AA13" s="44">
        <f>SUM(Tabla3361067348[Heat5])</f>
        <v>0</v>
      </c>
      <c r="AB13" s="44">
        <f>SUM(Tabla3361067348[Cryptocurrency])</f>
        <v>0</v>
      </c>
      <c r="AC13" s="44">
        <f>SUM(Tabla3361067348[Heat6])</f>
        <v>0</v>
      </c>
      <c r="AD13" s="75" t="e">
        <f>AVERAGEIF(Tabla3361067348[Length of 
Trade],"&lt;&gt;0")</f>
        <v>#DIV/0!</v>
      </c>
      <c r="AE13" s="75" t="e">
        <f>AVERAGEIF(Tabla3361067348[Win],"&lt;&gt;0")</f>
        <v>#DIV/0!</v>
      </c>
      <c r="AF13" s="75" t="e">
        <f>AVERAGEIF(Tabla3361067348[Loss],"&lt;&gt;0")</f>
        <v>#DIV/0!</v>
      </c>
      <c r="AG13" s="76" t="e">
        <f>AVERAGEIF(Tabla3361067348[Breakeven],"&lt;&gt;0")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181"/>
      <c r="C17" s="182"/>
      <c r="D17" s="183"/>
      <c r="E17" s="184"/>
      <c r="F17" s="185"/>
      <c r="G17" s="186"/>
      <c r="H17" s="186"/>
      <c r="I17" s="65"/>
      <c r="J17" s="186"/>
      <c r="K17" s="184"/>
      <c r="L17" s="186"/>
      <c r="M17" s="187"/>
      <c r="N17" s="188"/>
      <c r="O17" s="189"/>
      <c r="P17" s="190"/>
      <c r="Q17" s="190"/>
      <c r="R17" s="190"/>
      <c r="S17" s="191"/>
      <c r="T17" s="191"/>
      <c r="U17" s="192"/>
      <c r="V17" s="193"/>
      <c r="W17" s="193"/>
      <c r="X17" s="193"/>
      <c r="Y17" s="193"/>
      <c r="Z17" s="193"/>
      <c r="AA17" s="189"/>
      <c r="AB17" s="193"/>
      <c r="AC17" s="189"/>
      <c r="AD17" s="194"/>
      <c r="AE17" s="194"/>
      <c r="AF17" s="194"/>
      <c r="AG17" s="194"/>
      <c r="AH17" s="176"/>
      <c r="AI17" s="109"/>
    </row>
  </sheetData>
  <sheetProtection algorithmName="SHA-512" hashValue="0CM4O+Rx4DkjGqbOLvgK8Ou6ivzvKW7Ackftd6P0+DwN1o8bAaoyhUht6acmO80zd8D1geE8O29mIPRz+jcE3g==" saltValue="6UckQWzkJT81rKsIQU128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923" priority="3" operator="equal">
      <formula>"OK"</formula>
    </cfRule>
    <cfRule type="cellIs" dxfId="922" priority="4" operator="equal">
      <formula>"warning"</formula>
    </cfRule>
  </conditionalFormatting>
  <conditionalFormatting sqref="F13">
    <cfRule type="cellIs" dxfId="921" priority="1" operator="equal">
      <formula>"OK"</formula>
    </cfRule>
    <cfRule type="cellIs" dxfId="920" priority="2" operator="equal">
      <formula>"Error!!"</formula>
    </cfRule>
  </conditionalFormatting>
  <conditionalFormatting sqref="E15:H15 K15:L15">
    <cfRule type="expression" dxfId="919" priority="5">
      <formula>+$D15=#REF!</formula>
    </cfRule>
    <cfRule type="expression" dxfId="918" priority="6">
      <formula>+$D15=#REF!</formula>
    </cfRule>
  </conditionalFormatting>
  <conditionalFormatting sqref="D15 K16:L16 D16:H17 J17:L17">
    <cfRule type="expression" dxfId="917" priority="7">
      <formula>+$D15=$AG$8</formula>
    </cfRule>
    <cfRule type="expression" dxfId="916" priority="8">
      <formula>+$D15=$AG$9</formula>
    </cfRule>
  </conditionalFormatting>
  <dataValidations count="3">
    <dataValidation type="list" allowBlank="1" showInputMessage="1" showErrorMessage="1" promptTitle="Trade Direction" prompt="Select from List" sqref="C15:C17" xr:uid="{E238E195-9138-42BE-8AA1-2FB025BB7756}">
      <formula1>$AG$4:$AG$5</formula1>
    </dataValidation>
    <dataValidation type="list" allowBlank="1" showInputMessage="1" showErrorMessage="1" promptTitle="Instrument Type" prompt="Select Type from List_x000a_" sqref="B15:B16" xr:uid="{790F9287-FE2A-4227-B22B-FAFD6B8728FC}">
      <formula1>$AE$4:$AE$6</formula1>
    </dataValidation>
    <dataValidation type="list" allowBlank="1" showInputMessage="1" showErrorMessage="1" promptTitle="Instrument Type" prompt="Select Type from List_x000a_" sqref="B17" xr:uid="{71DE4D9A-DB2E-4631-B2A9-6EF06009D8D9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9EB7-0900-4C97-9997-F8CF9EBB868A}">
  <sheetPr codeName="Hoja19">
    <pageSetUpPr fitToPage="1"/>
  </sheetPr>
  <dimension ref="A1:AX42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COUNTA(Tabla336106734813[Inst])</f>
        <v>26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17.809999999999999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17.809999999999999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COUNTIF(Tabla336106734813[No. of Rs],"&gt;0")</f>
        <v>12</v>
      </c>
      <c r="G7" s="24">
        <f>IFERROR((F7/$F$6),"")</f>
        <v>0.46153846153846156</v>
      </c>
      <c r="H7" s="78">
        <f>IFERROR((+P13/F7),"")</f>
        <v>2.5166666666666666</v>
      </c>
      <c r="I7" s="227">
        <f>H7/H9</f>
        <v>2.8436911487758949</v>
      </c>
      <c r="J7" s="227">
        <f>AVERAGE(Tabla336106734813[No. of Rs])</f>
        <v>0.68499999999999994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COUNTIF(Tabla336106734813[No.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OFFSET(Tabla336106734813[[#Headers],[Equity]],1,0)</f>
        <v>117810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COUNTIF(Tabla336106734813[No. of Rs],"&lt;0")</f>
        <v>14</v>
      </c>
      <c r="G9" s="32">
        <f>IFERROR((F9/$F$6),"")</f>
        <v>0.53846153846153844</v>
      </c>
      <c r="H9" s="79">
        <f>IFERROR((-Q13/F9),"")</f>
        <v>0.8849999999999999</v>
      </c>
      <c r="I9" s="229"/>
      <c r="J9" s="229"/>
      <c r="K9" s="149"/>
      <c r="L9" s="230" t="s">
        <v>106</v>
      </c>
      <c r="M9" s="231"/>
      <c r="N9" s="125">
        <f ca="1">MAX(Tabla336106734813[Drawdown])</f>
        <v>2.4923153609703416E-2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OFFSET(Tabla336106734813[[#Headers],[Drawdown]],1,0)</f>
        <v>2.1267757746946912E-2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COUNTIF(Tabla336106734813[Heat],"&lt;0")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IF(COUNTIFS(Tabla336106734813[O/C],"O")&lt;1,"None",COUNTIFS(Tabla336106734813[O/C],"O"))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SUM(Tabla336106734813[No. of Rs])</f>
        <v>17.809999999999999</v>
      </c>
      <c r="O13" s="42">
        <f>SUM(Tabla336106734813[Heat])</f>
        <v>0</v>
      </c>
      <c r="P13" s="43">
        <f>SUM(Tabla336106734813[[ TR WIN]])</f>
        <v>30.2</v>
      </c>
      <c r="Q13" s="43">
        <f>SUM(Tabla336106734813[[ TR LOSS]])</f>
        <v>-12.389999999999999</v>
      </c>
      <c r="R13" s="114"/>
      <c r="S13" s="115"/>
      <c r="T13" s="115"/>
      <c r="U13" s="121"/>
      <c r="V13" s="44">
        <f>SUM(Tabla336106734813[Currency])</f>
        <v>17.809999999999999</v>
      </c>
      <c r="W13" s="44">
        <f>SUM(Tabla336106734813[Heat3])</f>
        <v>0</v>
      </c>
      <c r="X13" s="44">
        <f>SUM(Tabla336106734813[Commodities])</f>
        <v>0</v>
      </c>
      <c r="Y13" s="44">
        <f>SUM(Tabla336106734813[Heat4])</f>
        <v>0</v>
      </c>
      <c r="Z13" s="44">
        <f>SUM(Tabla336106734813[Index])</f>
        <v>0</v>
      </c>
      <c r="AA13" s="44">
        <f>SUM(Tabla336106734813[Heat5])</f>
        <v>0</v>
      </c>
      <c r="AB13" s="44">
        <f>SUM(Tabla336106734813[Cryptocurrency])</f>
        <v>0</v>
      </c>
      <c r="AC13" s="44">
        <f>SUM(Tabla336106734813[Heat6])</f>
        <v>0</v>
      </c>
      <c r="AD13" s="75">
        <f>AVERAGEIF(Tabla336106734813[Length of 
Trade],"&lt;&gt;0")</f>
        <v>4.5791666666667039</v>
      </c>
      <c r="AE13" s="75">
        <f>AVERAGEIF(Tabla336106734813[Win],"&lt;&gt;0")</f>
        <v>8.1244791666667879</v>
      </c>
      <c r="AF13" s="75">
        <f>AVERAGEIF(Tabla336106734813[Loss],"&lt;&gt;0")</f>
        <v>1.5403273809523463</v>
      </c>
      <c r="AG13" s="76" t="e">
        <f>AVERAGEIF(Tabla336106734813[Breakeven],"&lt;&gt;0")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18" si="0">IF(E17&lt;&gt;"",IF(K17&lt;&gt;"","C","O"),"")</f>
        <v>C</v>
      </c>
      <c r="E17" s="199">
        <v>44175.333333333336</v>
      </c>
      <c r="F17" s="200" t="s">
        <v>122</v>
      </c>
      <c r="G17" s="201">
        <v>78.010000000000005</v>
      </c>
      <c r="H17" s="201">
        <v>77.647999999999996</v>
      </c>
      <c r="I17" s="202">
        <f t="shared" ref="I17:I18" si="1">ABS(G17-H17)</f>
        <v>0.36200000000000898</v>
      </c>
      <c r="J17" s="201">
        <v>84.275999999999996</v>
      </c>
      <c r="K17" s="199">
        <v>44186.364583333336</v>
      </c>
      <c r="L17" s="201">
        <v>78.171000000000006</v>
      </c>
      <c r="M17" s="203">
        <f t="shared" ref="M17:M18" si="2">ROUND(IF(C17="L",(L17-G17),(G17-L17)),4)</f>
        <v>0.161</v>
      </c>
      <c r="N17" s="204">
        <f t="shared" ref="N17:N18" si="3">IFERROR(ROUND((M17/I17),2),"")</f>
        <v>0.44</v>
      </c>
      <c r="O17" s="205">
        <f t="shared" ref="O17:O18" si="4">IF(D17="O",IF(N17&lt;0,N17,0),0)</f>
        <v>0</v>
      </c>
      <c r="P17" s="206">
        <f t="shared" ref="P17:P18" si="5">IF(N17&gt;= 0,N17,0)</f>
        <v>0.44</v>
      </c>
      <c r="Q17" s="206">
        <f t="shared" ref="Q17:Q18" si="6">IF(N17&lt;0,N17,0)</f>
        <v>0</v>
      </c>
      <c r="R17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17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117810</v>
      </c>
      <c r="T17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120370</v>
      </c>
      <c r="U17" s="208">
        <f ca="1">IF(Tabla336106734813[[#This Row],[Equity]]&lt;Tabla336106734813[[#This Row],[Equity Peak]],(Tabla336106734813[[#This Row],[Equity Peak]]-Tabla336106734813[[#This Row],[Equity]])/Tabla336106734813[[#This Row],[Equity Peak]],"")</f>
        <v>2.1267757746946912E-2</v>
      </c>
      <c r="V17" s="209">
        <f t="shared" ref="V17:V18" si="7">IF(B17="FX",N17,0)</f>
        <v>0.44</v>
      </c>
      <c r="W17" s="209">
        <f t="shared" ref="W17:W18" si="8">IF(D17="O",IF(V17&lt;0,V17,0),0)</f>
        <v>0</v>
      </c>
      <c r="X17" s="209">
        <f t="shared" ref="X17:X18" si="9">IF(B17="COM",N17,0)</f>
        <v>0</v>
      </c>
      <c r="Y17" s="209">
        <f t="shared" ref="Y17:Y18" si="10">IF(D17="O",IF(X17&lt;0,X17,0),0)</f>
        <v>0</v>
      </c>
      <c r="Z17" s="209">
        <f t="shared" ref="Z17:Z18" si="11">IF(B17="IND",N17,0)</f>
        <v>0</v>
      </c>
      <c r="AA17" s="205">
        <f t="shared" ref="AA17:AA18" si="12">IF(D17="O",IF(Z17&lt;0,Z17,0),0)</f>
        <v>0</v>
      </c>
      <c r="AB17" s="209">
        <f t="shared" ref="AB17:AB18" si="13">IF(B17="CRYPTO",N17,0)</f>
        <v>0</v>
      </c>
      <c r="AC17" s="205">
        <f t="shared" ref="AC17:AC18" si="14">IF(D17="O",IF(AB17&lt;0,AB17,0),0)</f>
        <v>0</v>
      </c>
      <c r="AD17" s="210">
        <f t="shared" ref="AD17:AD18" si="15">IF(K17&lt;&gt;"",K17-E17,0)</f>
        <v>11.03125</v>
      </c>
      <c r="AE17" s="210">
        <f t="shared" ref="AE17:AE18" si="16">IF(N17&gt;0,AD17,0)</f>
        <v>11.03125</v>
      </c>
      <c r="AF17" s="210">
        <f t="shared" ref="AF17:AF18" si="17">IF(N17&lt;0,AD17,0)</f>
        <v>0</v>
      </c>
      <c r="AG17" s="210">
        <f t="shared" ref="AG17:AG18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44174.5</v>
      </c>
      <c r="F18" s="200" t="s">
        <v>122</v>
      </c>
      <c r="G18" s="201">
        <v>77.805999999999997</v>
      </c>
      <c r="H18" s="201">
        <v>77.448999999999998</v>
      </c>
      <c r="I18" s="202">
        <f t="shared" si="1"/>
        <v>0.35699999999999932</v>
      </c>
      <c r="J18" s="201">
        <v>83.988</v>
      </c>
      <c r="K18" s="199">
        <v>44174.872916666667</v>
      </c>
      <c r="L18" s="201">
        <v>77.448999999999998</v>
      </c>
      <c r="M18" s="203">
        <f t="shared" si="2"/>
        <v>-0.35699999999999998</v>
      </c>
      <c r="N18" s="204">
        <f t="shared" si="3"/>
        <v>-1</v>
      </c>
      <c r="O18" s="205">
        <f t="shared" si="4"/>
        <v>0</v>
      </c>
      <c r="P18" s="206">
        <f t="shared" si="5"/>
        <v>0</v>
      </c>
      <c r="Q18" s="206">
        <f t="shared" si="6"/>
        <v>-1</v>
      </c>
      <c r="R18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18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117370</v>
      </c>
      <c r="T18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120370</v>
      </c>
      <c r="U18" s="208">
        <f ca="1">IF(Tabla336106734813[[#This Row],[Equity]]&lt;Tabla336106734813[[#This Row],[Equity Peak]],(Tabla336106734813[[#This Row],[Equity Peak]]-Tabla336106734813[[#This Row],[Equity]])/Tabla336106734813[[#This Row],[Equity Peak]],"")</f>
        <v>2.4923153609703416E-2</v>
      </c>
      <c r="V18" s="209">
        <f t="shared" si="7"/>
        <v>-1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0.37291666666715173</v>
      </c>
      <c r="AE18" s="210">
        <f t="shared" si="16"/>
        <v>0</v>
      </c>
      <c r="AF18" s="210">
        <f t="shared" si="17"/>
        <v>0.37291666666715173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ref="D19:D42" si="19">IF(E19&lt;&gt;"",IF(K19&lt;&gt;"","C","O"),"")</f>
        <v>C</v>
      </c>
      <c r="E19" s="199">
        <v>44168.017361111109</v>
      </c>
      <c r="F19" s="200" t="s">
        <v>122</v>
      </c>
      <c r="G19" s="201">
        <v>77.459000000000003</v>
      </c>
      <c r="H19" s="201">
        <v>77.072000000000003</v>
      </c>
      <c r="I19" s="202">
        <f t="shared" ref="I19:I42" si="20">ABS(G19-H19)</f>
        <v>0.38700000000000045</v>
      </c>
      <c r="J19" s="201">
        <v>84.161000000000001</v>
      </c>
      <c r="K19" s="199">
        <v>44169.645833333336</v>
      </c>
      <c r="L19" s="201">
        <v>77.072000000000003</v>
      </c>
      <c r="M19" s="203">
        <f t="shared" ref="M19:M42" si="21">ROUND(IF(C19="L",(L19-G19),(G19-L19)),4)</f>
        <v>-0.38700000000000001</v>
      </c>
      <c r="N19" s="204">
        <f t="shared" ref="N19:N42" si="22">IFERROR(ROUND((M19/I19),2),"")</f>
        <v>-1</v>
      </c>
      <c r="O19" s="205">
        <f t="shared" ref="O19:O42" si="23">IF(D19="O",IF(N19&lt;0,N19,0),0)</f>
        <v>0</v>
      </c>
      <c r="P19" s="206">
        <f t="shared" ref="P19:P42" si="24">IF(N19&gt;= 0,N19,0)</f>
        <v>0</v>
      </c>
      <c r="Q19" s="206">
        <f t="shared" ref="Q19:Q42" si="25">IF(N19&lt;0,N19,0)</f>
        <v>-1</v>
      </c>
      <c r="R19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19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118370</v>
      </c>
      <c r="T19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120370</v>
      </c>
      <c r="U19" s="208">
        <f ca="1">IF(Tabla336106734813[[#This Row],[Equity]]&lt;Tabla336106734813[[#This Row],[Equity Peak]],(Tabla336106734813[[#This Row],[Equity Peak]]-Tabla336106734813[[#This Row],[Equity]])/Tabla336106734813[[#This Row],[Equity Peak]],"")</f>
        <v>1.6615435739802276E-2</v>
      </c>
      <c r="V19" s="209">
        <f t="shared" ref="V19:V42" si="26">IF(B19="FX",N19,0)</f>
        <v>-1</v>
      </c>
      <c r="W19" s="209">
        <f t="shared" ref="W19:W42" si="27">IF(D19="O",IF(V19&lt;0,V19,0),0)</f>
        <v>0</v>
      </c>
      <c r="X19" s="209">
        <f t="shared" ref="X19:X42" si="28">IF(B19="COM",N19,0)</f>
        <v>0</v>
      </c>
      <c r="Y19" s="209">
        <f t="shared" ref="Y19:Y42" si="29">IF(D19="O",IF(X19&lt;0,X19,0),0)</f>
        <v>0</v>
      </c>
      <c r="Z19" s="209">
        <f t="shared" ref="Z19:Z42" si="30">IF(B19="IND",N19,0)</f>
        <v>0</v>
      </c>
      <c r="AA19" s="205">
        <f t="shared" ref="AA19:AA42" si="31">IF(D19="O",IF(Z19&lt;0,Z19,0),0)</f>
        <v>0</v>
      </c>
      <c r="AB19" s="209">
        <f t="shared" ref="AB19:AB42" si="32">IF(B19="CRYPTO",N19,0)</f>
        <v>0</v>
      </c>
      <c r="AC19" s="205">
        <f t="shared" ref="AC19:AC42" si="33">IF(D19="O",IF(AB19&lt;0,AB19,0),0)</f>
        <v>0</v>
      </c>
      <c r="AD19" s="210">
        <f t="shared" ref="AD19:AD42" si="34">IF(K19&lt;&gt;"",K19-E19,0)</f>
        <v>1.6284722222262644</v>
      </c>
      <c r="AE19" s="210">
        <f t="shared" ref="AE19:AE42" si="35">IF(N19&gt;0,AD19,0)</f>
        <v>0</v>
      </c>
      <c r="AF19" s="210">
        <f t="shared" ref="AF19:AF42" si="36">IF(N19&lt;0,AD19,0)</f>
        <v>1.6284722222262644</v>
      </c>
      <c r="AG19" s="210">
        <f t="shared" ref="AG19:AG42" si="37">IF(N19=0,AD19,0)</f>
        <v>0</v>
      </c>
    </row>
    <row r="20" spans="2:33" ht="15" customHeight="1" x14ac:dyDescent="0.3">
      <c r="B20" s="196" t="s">
        <v>7</v>
      </c>
      <c r="C20" s="197" t="s">
        <v>15</v>
      </c>
      <c r="D20" s="198" t="str">
        <f t="shared" si="19"/>
        <v>C</v>
      </c>
      <c r="E20" s="199">
        <v>44167.5</v>
      </c>
      <c r="F20" s="200" t="s">
        <v>122</v>
      </c>
      <c r="G20" s="201">
        <v>77.281999999999996</v>
      </c>
      <c r="H20" s="201">
        <v>76.94</v>
      </c>
      <c r="I20" s="202">
        <f t="shared" si="20"/>
        <v>0.34199999999999875</v>
      </c>
      <c r="J20" s="201">
        <v>83.207999999999998</v>
      </c>
      <c r="K20" s="199">
        <v>44167.681944444441</v>
      </c>
      <c r="L20" s="201">
        <v>76.94</v>
      </c>
      <c r="M20" s="203">
        <f t="shared" si="21"/>
        <v>-0.34200000000000003</v>
      </c>
      <c r="N20" s="204">
        <f t="shared" si="22"/>
        <v>-1</v>
      </c>
      <c r="O20" s="205">
        <f t="shared" si="23"/>
        <v>0</v>
      </c>
      <c r="P20" s="206">
        <f t="shared" si="24"/>
        <v>0</v>
      </c>
      <c r="Q20" s="206">
        <f t="shared" si="25"/>
        <v>-1</v>
      </c>
      <c r="R20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0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119370</v>
      </c>
      <c r="T20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120370</v>
      </c>
      <c r="U20" s="208">
        <f ca="1">IF(Tabla336106734813[[#This Row],[Equity]]&lt;Tabla336106734813[[#This Row],[Equity Peak]],(Tabla336106734813[[#This Row],[Equity Peak]]-Tabla336106734813[[#This Row],[Equity]])/Tabla336106734813[[#This Row],[Equity Peak]],"")</f>
        <v>8.3077178699011382E-3</v>
      </c>
      <c r="V20" s="209">
        <f t="shared" si="26"/>
        <v>-1</v>
      </c>
      <c r="W20" s="209">
        <f t="shared" si="27"/>
        <v>0</v>
      </c>
      <c r="X20" s="209">
        <f t="shared" si="28"/>
        <v>0</v>
      </c>
      <c r="Y20" s="209">
        <f t="shared" si="29"/>
        <v>0</v>
      </c>
      <c r="Z20" s="209">
        <f t="shared" si="30"/>
        <v>0</v>
      </c>
      <c r="AA20" s="205">
        <f t="shared" si="31"/>
        <v>0</v>
      </c>
      <c r="AB20" s="209">
        <f t="shared" si="32"/>
        <v>0</v>
      </c>
      <c r="AC20" s="205">
        <f t="shared" si="33"/>
        <v>0</v>
      </c>
      <c r="AD20" s="210">
        <f t="shared" si="34"/>
        <v>0.18194444444088731</v>
      </c>
      <c r="AE20" s="210">
        <f t="shared" si="35"/>
        <v>0</v>
      </c>
      <c r="AF20" s="210">
        <f t="shared" si="36"/>
        <v>0.18194444444088731</v>
      </c>
      <c r="AG20" s="210">
        <f t="shared" si="37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19"/>
        <v>C</v>
      </c>
      <c r="E21" s="199">
        <v>44139.833333333336</v>
      </c>
      <c r="F21" s="200" t="s">
        <v>122</v>
      </c>
      <c r="G21" s="201">
        <v>75.072999999999993</v>
      </c>
      <c r="H21" s="201">
        <v>74.334000000000003</v>
      </c>
      <c r="I21" s="202">
        <f t="shared" si="20"/>
        <v>0.73899999999999011</v>
      </c>
      <c r="J21" s="201">
        <v>87.88</v>
      </c>
      <c r="K21" s="199">
        <v>44147.919444444444</v>
      </c>
      <c r="L21" s="201">
        <v>76.016999999999996</v>
      </c>
      <c r="M21" s="203">
        <f t="shared" si="21"/>
        <v>0.94399999999999995</v>
      </c>
      <c r="N21" s="204">
        <f t="shared" si="22"/>
        <v>1.28</v>
      </c>
      <c r="O21" s="205">
        <f t="shared" si="23"/>
        <v>0</v>
      </c>
      <c r="P21" s="206">
        <f t="shared" si="24"/>
        <v>1.28</v>
      </c>
      <c r="Q21" s="206">
        <f t="shared" si="25"/>
        <v>0</v>
      </c>
      <c r="R21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1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120370</v>
      </c>
      <c r="T21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120370</v>
      </c>
      <c r="U21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21" s="209">
        <f t="shared" si="26"/>
        <v>1.28</v>
      </c>
      <c r="W21" s="209">
        <f t="shared" si="27"/>
        <v>0</v>
      </c>
      <c r="X21" s="209">
        <f t="shared" si="28"/>
        <v>0</v>
      </c>
      <c r="Y21" s="209">
        <f t="shared" si="29"/>
        <v>0</v>
      </c>
      <c r="Z21" s="209">
        <f t="shared" si="30"/>
        <v>0</v>
      </c>
      <c r="AA21" s="205">
        <f t="shared" si="31"/>
        <v>0</v>
      </c>
      <c r="AB21" s="209">
        <f t="shared" si="32"/>
        <v>0</v>
      </c>
      <c r="AC21" s="205">
        <f t="shared" si="33"/>
        <v>0</v>
      </c>
      <c r="AD21" s="210">
        <f t="shared" si="34"/>
        <v>8.086111111108039</v>
      </c>
      <c r="AE21" s="210">
        <f t="shared" si="35"/>
        <v>8.086111111108039</v>
      </c>
      <c r="AF21" s="210">
        <f t="shared" si="36"/>
        <v>0</v>
      </c>
      <c r="AG21" s="210">
        <f t="shared" si="37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19"/>
        <v>C</v>
      </c>
      <c r="E22" s="199">
        <v>44118.166666666664</v>
      </c>
      <c r="F22" s="200" t="s">
        <v>122</v>
      </c>
      <c r="G22" s="201">
        <v>75.572999999999993</v>
      </c>
      <c r="H22" s="201">
        <v>75.902000000000001</v>
      </c>
      <c r="I22" s="202">
        <f t="shared" si="20"/>
        <v>0.32900000000000773</v>
      </c>
      <c r="J22" s="201">
        <v>69.875</v>
      </c>
      <c r="K22" s="199">
        <v>44127.068749999999</v>
      </c>
      <c r="L22" s="201">
        <v>74.84</v>
      </c>
      <c r="M22" s="203">
        <f t="shared" si="21"/>
        <v>0.73299999999999998</v>
      </c>
      <c r="N22" s="204">
        <f t="shared" si="22"/>
        <v>2.23</v>
      </c>
      <c r="O22" s="205">
        <f t="shared" si="23"/>
        <v>0</v>
      </c>
      <c r="P22" s="206">
        <f t="shared" si="24"/>
        <v>2.23</v>
      </c>
      <c r="Q22" s="206">
        <f t="shared" si="25"/>
        <v>0</v>
      </c>
      <c r="R22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2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119090</v>
      </c>
      <c r="T22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119090</v>
      </c>
      <c r="U22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22" s="209">
        <f t="shared" si="26"/>
        <v>2.23</v>
      </c>
      <c r="W22" s="209">
        <f t="shared" si="27"/>
        <v>0</v>
      </c>
      <c r="X22" s="209">
        <f t="shared" si="28"/>
        <v>0</v>
      </c>
      <c r="Y22" s="209">
        <f t="shared" si="29"/>
        <v>0</v>
      </c>
      <c r="Z22" s="209">
        <f t="shared" si="30"/>
        <v>0</v>
      </c>
      <c r="AA22" s="205">
        <f t="shared" si="31"/>
        <v>0</v>
      </c>
      <c r="AB22" s="209">
        <f t="shared" si="32"/>
        <v>0</v>
      </c>
      <c r="AC22" s="205">
        <f t="shared" si="33"/>
        <v>0</v>
      </c>
      <c r="AD22" s="210">
        <f t="shared" si="34"/>
        <v>8.9020833333343035</v>
      </c>
      <c r="AE22" s="210">
        <f t="shared" si="35"/>
        <v>8.9020833333343035</v>
      </c>
      <c r="AF22" s="210">
        <f t="shared" si="36"/>
        <v>0</v>
      </c>
      <c r="AG22" s="210">
        <f t="shared" si="37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19"/>
        <v>C</v>
      </c>
      <c r="E23" s="199">
        <v>44112.5</v>
      </c>
      <c r="F23" s="200" t="s">
        <v>122</v>
      </c>
      <c r="G23" s="201">
        <v>75.932000000000002</v>
      </c>
      <c r="H23" s="201">
        <v>75.501999999999995</v>
      </c>
      <c r="I23" s="202">
        <f t="shared" si="20"/>
        <v>0.43000000000000682</v>
      </c>
      <c r="J23" s="201">
        <v>83.381</v>
      </c>
      <c r="K23" s="199">
        <v>44116.677083333336</v>
      </c>
      <c r="L23" s="201">
        <v>75.956999999999994</v>
      </c>
      <c r="M23" s="203">
        <f t="shared" si="21"/>
        <v>2.5000000000000001E-2</v>
      </c>
      <c r="N23" s="204">
        <f t="shared" si="22"/>
        <v>0.06</v>
      </c>
      <c r="O23" s="205">
        <f t="shared" si="23"/>
        <v>0</v>
      </c>
      <c r="P23" s="206">
        <f t="shared" si="24"/>
        <v>0.06</v>
      </c>
      <c r="Q23" s="206">
        <f t="shared" si="25"/>
        <v>0</v>
      </c>
      <c r="R23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3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116860</v>
      </c>
      <c r="T23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118800</v>
      </c>
      <c r="U23" s="208">
        <f ca="1">IF(Tabla336106734813[[#This Row],[Equity]]&lt;Tabla336106734813[[#This Row],[Equity Peak]],(Tabla336106734813[[#This Row],[Equity Peak]]-Tabla336106734813[[#This Row],[Equity]])/Tabla336106734813[[#This Row],[Equity Peak]],"")</f>
        <v>1.632996632996633E-2</v>
      </c>
      <c r="V23" s="209">
        <f t="shared" si="26"/>
        <v>0.06</v>
      </c>
      <c r="W23" s="209">
        <f t="shared" si="27"/>
        <v>0</v>
      </c>
      <c r="X23" s="209">
        <f t="shared" si="28"/>
        <v>0</v>
      </c>
      <c r="Y23" s="209">
        <f t="shared" si="29"/>
        <v>0</v>
      </c>
      <c r="Z23" s="209">
        <f t="shared" si="30"/>
        <v>0</v>
      </c>
      <c r="AA23" s="205">
        <f t="shared" si="31"/>
        <v>0</v>
      </c>
      <c r="AB23" s="209">
        <f t="shared" si="32"/>
        <v>0</v>
      </c>
      <c r="AC23" s="205">
        <f t="shared" si="33"/>
        <v>0</v>
      </c>
      <c r="AD23" s="210">
        <f t="shared" si="34"/>
        <v>4.1770833333357587</v>
      </c>
      <c r="AE23" s="210">
        <f t="shared" si="35"/>
        <v>4.1770833333357587</v>
      </c>
      <c r="AF23" s="210">
        <f t="shared" si="36"/>
        <v>0</v>
      </c>
      <c r="AG23" s="210">
        <f t="shared" si="37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19"/>
        <v>C</v>
      </c>
      <c r="E24" s="199">
        <v>44111.017361111109</v>
      </c>
      <c r="F24" s="200" t="s">
        <v>122</v>
      </c>
      <c r="G24" s="201">
        <v>75.022999999999996</v>
      </c>
      <c r="H24" s="201">
        <v>75.483999999999995</v>
      </c>
      <c r="I24" s="202">
        <f t="shared" si="20"/>
        <v>0.46099999999999852</v>
      </c>
      <c r="J24" s="201">
        <v>67.03</v>
      </c>
      <c r="K24" s="199">
        <v>44111.42083333333</v>
      </c>
      <c r="L24" s="201">
        <v>75.483999999999995</v>
      </c>
      <c r="M24" s="203">
        <f t="shared" si="21"/>
        <v>-0.46100000000000002</v>
      </c>
      <c r="N24" s="204">
        <f t="shared" si="22"/>
        <v>-1</v>
      </c>
      <c r="O24" s="205">
        <f t="shared" si="23"/>
        <v>0</v>
      </c>
      <c r="P24" s="206">
        <f t="shared" si="24"/>
        <v>0</v>
      </c>
      <c r="Q24" s="206">
        <f t="shared" si="25"/>
        <v>-1</v>
      </c>
      <c r="R24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4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116800</v>
      </c>
      <c r="T24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118800</v>
      </c>
      <c r="U24" s="208">
        <f ca="1">IF(Tabla336106734813[[#This Row],[Equity]]&lt;Tabla336106734813[[#This Row],[Equity Peak]],(Tabla336106734813[[#This Row],[Equity Peak]]-Tabla336106734813[[#This Row],[Equity]])/Tabla336106734813[[#This Row],[Equity Peak]],"")</f>
        <v>1.6835016835016835E-2</v>
      </c>
      <c r="V24" s="209">
        <f t="shared" si="26"/>
        <v>-1</v>
      </c>
      <c r="W24" s="209">
        <f t="shared" si="27"/>
        <v>0</v>
      </c>
      <c r="X24" s="209">
        <f t="shared" si="28"/>
        <v>0</v>
      </c>
      <c r="Y24" s="209">
        <f t="shared" si="29"/>
        <v>0</v>
      </c>
      <c r="Z24" s="209">
        <f t="shared" si="30"/>
        <v>0</v>
      </c>
      <c r="AA24" s="205">
        <f t="shared" si="31"/>
        <v>0</v>
      </c>
      <c r="AB24" s="209">
        <f t="shared" si="32"/>
        <v>0</v>
      </c>
      <c r="AC24" s="205">
        <f t="shared" si="33"/>
        <v>0</v>
      </c>
      <c r="AD24" s="210">
        <f t="shared" si="34"/>
        <v>0.40347222222044365</v>
      </c>
      <c r="AE24" s="210">
        <f t="shared" si="35"/>
        <v>0</v>
      </c>
      <c r="AF24" s="210">
        <f t="shared" si="36"/>
        <v>0.40347222222044365</v>
      </c>
      <c r="AG24" s="210">
        <f t="shared" si="37"/>
        <v>0</v>
      </c>
    </row>
    <row r="25" spans="2:33" ht="15" customHeight="1" x14ac:dyDescent="0.3">
      <c r="B25" s="196" t="s">
        <v>7</v>
      </c>
      <c r="C25" s="197" t="s">
        <v>15</v>
      </c>
      <c r="D25" s="198" t="str">
        <f t="shared" si="19"/>
        <v>C</v>
      </c>
      <c r="E25" s="199">
        <v>44109.833333333336</v>
      </c>
      <c r="F25" s="200" t="s">
        <v>122</v>
      </c>
      <c r="G25" s="201">
        <v>76.001000000000005</v>
      </c>
      <c r="H25" s="201">
        <v>75.531999999999996</v>
      </c>
      <c r="I25" s="202">
        <f t="shared" si="20"/>
        <v>0.4690000000000083</v>
      </c>
      <c r="J25" s="201">
        <v>84.132000000000005</v>
      </c>
      <c r="K25" s="199">
        <v>44110.433333333334</v>
      </c>
      <c r="L25" s="201">
        <v>75.531999999999996</v>
      </c>
      <c r="M25" s="203">
        <f t="shared" si="21"/>
        <v>-0.46899999999999997</v>
      </c>
      <c r="N25" s="204">
        <f t="shared" si="22"/>
        <v>-1</v>
      </c>
      <c r="O25" s="205">
        <f t="shared" si="23"/>
        <v>0</v>
      </c>
      <c r="P25" s="206">
        <f t="shared" si="24"/>
        <v>0</v>
      </c>
      <c r="Q25" s="206">
        <f t="shared" si="25"/>
        <v>-1</v>
      </c>
      <c r="R25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5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117800</v>
      </c>
      <c r="T25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118800</v>
      </c>
      <c r="U25" s="208">
        <f ca="1">IF(Tabla336106734813[[#This Row],[Equity]]&lt;Tabla336106734813[[#This Row],[Equity Peak]],(Tabla336106734813[[#This Row],[Equity Peak]]-Tabla336106734813[[#This Row],[Equity]])/Tabla336106734813[[#This Row],[Equity Peak]],"")</f>
        <v>8.4175084175084174E-3</v>
      </c>
      <c r="V25" s="209">
        <f t="shared" si="26"/>
        <v>-1</v>
      </c>
      <c r="W25" s="209">
        <f t="shared" si="27"/>
        <v>0</v>
      </c>
      <c r="X25" s="209">
        <f t="shared" si="28"/>
        <v>0</v>
      </c>
      <c r="Y25" s="209">
        <f t="shared" si="29"/>
        <v>0</v>
      </c>
      <c r="Z25" s="209">
        <f t="shared" si="30"/>
        <v>0</v>
      </c>
      <c r="AA25" s="205">
        <f t="shared" si="31"/>
        <v>0</v>
      </c>
      <c r="AB25" s="209">
        <f t="shared" si="32"/>
        <v>0</v>
      </c>
      <c r="AC25" s="205">
        <f t="shared" si="33"/>
        <v>0</v>
      </c>
      <c r="AD25" s="210">
        <f t="shared" si="34"/>
        <v>0.59999999999854481</v>
      </c>
      <c r="AE25" s="210">
        <f t="shared" si="35"/>
        <v>0</v>
      </c>
      <c r="AF25" s="210">
        <f t="shared" si="36"/>
        <v>0.59999999999854481</v>
      </c>
      <c r="AG25" s="210">
        <f t="shared" si="37"/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19"/>
        <v>C</v>
      </c>
      <c r="E26" s="199">
        <v>44090.666666666664</v>
      </c>
      <c r="F26" s="200" t="s">
        <v>122</v>
      </c>
      <c r="G26" s="201">
        <v>76.849000000000004</v>
      </c>
      <c r="H26" s="201">
        <v>77.260000000000005</v>
      </c>
      <c r="I26" s="202">
        <f t="shared" si="20"/>
        <v>0.41100000000000136</v>
      </c>
      <c r="J26" s="201">
        <v>69.731999999999999</v>
      </c>
      <c r="K26" s="199">
        <v>44103.381249999999</v>
      </c>
      <c r="L26" s="201">
        <v>74.863</v>
      </c>
      <c r="M26" s="203">
        <f t="shared" si="21"/>
        <v>1.986</v>
      </c>
      <c r="N26" s="204">
        <f t="shared" si="22"/>
        <v>4.83</v>
      </c>
      <c r="O26" s="205">
        <f t="shared" si="23"/>
        <v>0</v>
      </c>
      <c r="P26" s="206">
        <f t="shared" si="24"/>
        <v>4.83</v>
      </c>
      <c r="Q26" s="206">
        <f t="shared" si="25"/>
        <v>0</v>
      </c>
      <c r="R26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6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118800</v>
      </c>
      <c r="T26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118800</v>
      </c>
      <c r="U26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26" s="209">
        <f t="shared" si="26"/>
        <v>4.83</v>
      </c>
      <c r="W26" s="209">
        <f t="shared" si="27"/>
        <v>0</v>
      </c>
      <c r="X26" s="209">
        <f t="shared" si="28"/>
        <v>0</v>
      </c>
      <c r="Y26" s="209">
        <f t="shared" si="29"/>
        <v>0</v>
      </c>
      <c r="Z26" s="209">
        <f t="shared" si="30"/>
        <v>0</v>
      </c>
      <c r="AA26" s="205">
        <f t="shared" si="31"/>
        <v>0</v>
      </c>
      <c r="AB26" s="209">
        <f t="shared" si="32"/>
        <v>0</v>
      </c>
      <c r="AC26" s="205">
        <f t="shared" si="33"/>
        <v>0</v>
      </c>
      <c r="AD26" s="210">
        <f t="shared" si="34"/>
        <v>12.714583333334303</v>
      </c>
      <c r="AE26" s="210">
        <f t="shared" si="35"/>
        <v>12.714583333334303</v>
      </c>
      <c r="AF26" s="210">
        <f t="shared" si="36"/>
        <v>0</v>
      </c>
      <c r="AG26" s="210">
        <f t="shared" si="37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19"/>
        <v>C</v>
      </c>
      <c r="E27" s="199">
        <v>44084.017361111109</v>
      </c>
      <c r="F27" s="200" t="s">
        <v>122</v>
      </c>
      <c r="G27" s="201">
        <v>77.221000000000004</v>
      </c>
      <c r="H27" s="201">
        <v>76.736999999999995</v>
      </c>
      <c r="I27" s="202">
        <f t="shared" si="20"/>
        <v>0.48400000000000887</v>
      </c>
      <c r="J27" s="201">
        <v>85.603999999999999</v>
      </c>
      <c r="K27" s="199">
        <v>44090.131249999999</v>
      </c>
      <c r="L27" s="201">
        <v>76.757999999999996</v>
      </c>
      <c r="M27" s="203">
        <f t="shared" si="21"/>
        <v>-0.46300000000000002</v>
      </c>
      <c r="N27" s="204">
        <f t="shared" si="22"/>
        <v>-0.96</v>
      </c>
      <c r="O27" s="205">
        <f t="shared" si="23"/>
        <v>0</v>
      </c>
      <c r="P27" s="206">
        <f t="shared" si="24"/>
        <v>0</v>
      </c>
      <c r="Q27" s="206">
        <f t="shared" si="25"/>
        <v>-0.96</v>
      </c>
      <c r="R27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7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113970</v>
      </c>
      <c r="T27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115930</v>
      </c>
      <c r="U27" s="208">
        <f ca="1">IF(Tabla336106734813[[#This Row],[Equity]]&lt;Tabla336106734813[[#This Row],[Equity Peak]],(Tabla336106734813[[#This Row],[Equity Peak]]-Tabla336106734813[[#This Row],[Equity]])/Tabla336106734813[[#This Row],[Equity Peak]],"")</f>
        <v>1.6906754075735358E-2</v>
      </c>
      <c r="V27" s="209">
        <f t="shared" si="26"/>
        <v>-0.96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0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6.1138888888890506</v>
      </c>
      <c r="AE27" s="210">
        <f t="shared" si="35"/>
        <v>0</v>
      </c>
      <c r="AF27" s="210">
        <f t="shared" si="36"/>
        <v>6.1138888888890506</v>
      </c>
      <c r="AG27" s="210">
        <f t="shared" si="37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19"/>
        <v>C</v>
      </c>
      <c r="E28" s="199">
        <v>44083.166666666664</v>
      </c>
      <c r="F28" s="200" t="s">
        <v>122</v>
      </c>
      <c r="G28" s="201">
        <v>76.47</v>
      </c>
      <c r="H28" s="201">
        <v>76.87</v>
      </c>
      <c r="I28" s="202">
        <f t="shared" si="20"/>
        <v>0.40000000000000568</v>
      </c>
      <c r="J28" s="201">
        <v>69.539000000000001</v>
      </c>
      <c r="K28" s="199">
        <v>44083.629861111112</v>
      </c>
      <c r="L28" s="201">
        <v>76.87</v>
      </c>
      <c r="M28" s="203">
        <f t="shared" si="21"/>
        <v>-0.4</v>
      </c>
      <c r="N28" s="204">
        <f t="shared" si="22"/>
        <v>-1</v>
      </c>
      <c r="O28" s="205">
        <f t="shared" si="23"/>
        <v>0</v>
      </c>
      <c r="P28" s="206">
        <f t="shared" si="24"/>
        <v>0</v>
      </c>
      <c r="Q28" s="206">
        <f t="shared" si="25"/>
        <v>-1</v>
      </c>
      <c r="R28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8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114930</v>
      </c>
      <c r="T28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115930</v>
      </c>
      <c r="U28" s="208">
        <f ca="1">IF(Tabla336106734813[[#This Row],[Equity]]&lt;Tabla336106734813[[#This Row],[Equity Peak]],(Tabla336106734813[[#This Row],[Equity Peak]]-Tabla336106734813[[#This Row],[Equity]])/Tabla336106734813[[#This Row],[Equity Peak]],"")</f>
        <v>8.6258949365996714E-3</v>
      </c>
      <c r="V28" s="209">
        <f t="shared" si="26"/>
        <v>-1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0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0.46319444444816327</v>
      </c>
      <c r="AE28" s="210">
        <f t="shared" si="35"/>
        <v>0</v>
      </c>
      <c r="AF28" s="210">
        <f t="shared" si="36"/>
        <v>0.46319444444816327</v>
      </c>
      <c r="AG28" s="210">
        <f t="shared" si="37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19"/>
        <v>C</v>
      </c>
      <c r="E29" s="199">
        <v>44068.5</v>
      </c>
      <c r="F29" s="200" t="s">
        <v>122</v>
      </c>
      <c r="G29" s="201">
        <v>76.149000000000001</v>
      </c>
      <c r="H29" s="201">
        <v>75.796000000000006</v>
      </c>
      <c r="I29" s="202">
        <f t="shared" si="20"/>
        <v>0.35299999999999443</v>
      </c>
      <c r="J29" s="201">
        <v>82.268000000000001</v>
      </c>
      <c r="K29" s="199">
        <v>44071.557638888888</v>
      </c>
      <c r="L29" s="201">
        <v>77.14</v>
      </c>
      <c r="M29" s="203">
        <f t="shared" si="21"/>
        <v>0.99099999999999999</v>
      </c>
      <c r="N29" s="204">
        <f t="shared" si="22"/>
        <v>2.81</v>
      </c>
      <c r="O29" s="205">
        <f t="shared" si="23"/>
        <v>0</v>
      </c>
      <c r="P29" s="206">
        <f t="shared" si="24"/>
        <v>2.81</v>
      </c>
      <c r="Q29" s="206">
        <f t="shared" si="25"/>
        <v>0</v>
      </c>
      <c r="R29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9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115930</v>
      </c>
      <c r="T29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115930</v>
      </c>
      <c r="U29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29" s="209">
        <f t="shared" si="26"/>
        <v>2.81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0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3.0576388888875954</v>
      </c>
      <c r="AE29" s="210">
        <f t="shared" si="35"/>
        <v>3.0576388888875954</v>
      </c>
      <c r="AF29" s="210">
        <f t="shared" si="36"/>
        <v>0</v>
      </c>
      <c r="AG29" s="210">
        <f t="shared" si="37"/>
        <v>0</v>
      </c>
    </row>
    <row r="30" spans="2:33" ht="15" customHeight="1" x14ac:dyDescent="0.3">
      <c r="B30" s="196" t="s">
        <v>7</v>
      </c>
      <c r="C30" s="197" t="s">
        <v>13</v>
      </c>
      <c r="D30" s="198" t="str">
        <f t="shared" si="19"/>
        <v>C</v>
      </c>
      <c r="E30" s="199">
        <v>44064.666666666664</v>
      </c>
      <c r="F30" s="200" t="s">
        <v>122</v>
      </c>
      <c r="G30" s="201">
        <v>75.745000000000005</v>
      </c>
      <c r="H30" s="201">
        <v>76.158000000000001</v>
      </c>
      <c r="I30" s="202">
        <f t="shared" si="20"/>
        <v>0.4129999999999967</v>
      </c>
      <c r="J30" s="201">
        <v>68.587999999999994</v>
      </c>
      <c r="K30" s="199">
        <v>44068.427777777775</v>
      </c>
      <c r="L30" s="201">
        <v>76.158000000000001</v>
      </c>
      <c r="M30" s="203">
        <f t="shared" si="21"/>
        <v>-0.41299999999999998</v>
      </c>
      <c r="N30" s="204">
        <f t="shared" si="22"/>
        <v>-1</v>
      </c>
      <c r="O30" s="205">
        <f t="shared" si="23"/>
        <v>0</v>
      </c>
      <c r="P30" s="206">
        <f t="shared" si="24"/>
        <v>0</v>
      </c>
      <c r="Q30" s="206">
        <f t="shared" si="25"/>
        <v>-1</v>
      </c>
      <c r="R30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0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113120</v>
      </c>
      <c r="T30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115120</v>
      </c>
      <c r="U30" s="208">
        <f ca="1">IF(Tabla336106734813[[#This Row],[Equity]]&lt;Tabla336106734813[[#This Row],[Equity Peak]],(Tabla336106734813[[#This Row],[Equity Peak]]-Tabla336106734813[[#This Row],[Equity]])/Tabla336106734813[[#This Row],[Equity Peak]],"")</f>
        <v>1.7373175816539264E-2</v>
      </c>
      <c r="V30" s="209">
        <f t="shared" si="26"/>
        <v>-1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0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3.7611111111109494</v>
      </c>
      <c r="AE30" s="210">
        <f t="shared" si="35"/>
        <v>0</v>
      </c>
      <c r="AF30" s="210">
        <f t="shared" si="36"/>
        <v>3.7611111111109494</v>
      </c>
      <c r="AG30" s="210">
        <f t="shared" si="37"/>
        <v>0</v>
      </c>
    </row>
    <row r="31" spans="2:33" ht="15" customHeight="1" x14ac:dyDescent="0.3">
      <c r="B31" s="196" t="s">
        <v>7</v>
      </c>
      <c r="C31" s="197" t="s">
        <v>15</v>
      </c>
      <c r="D31" s="198" t="str">
        <f t="shared" si="19"/>
        <v>C</v>
      </c>
      <c r="E31" s="199">
        <v>44004.833333333336</v>
      </c>
      <c r="F31" s="200" t="s">
        <v>122</v>
      </c>
      <c r="G31" s="201">
        <v>73.936000000000007</v>
      </c>
      <c r="H31" s="201">
        <v>73.295000000000002</v>
      </c>
      <c r="I31" s="202">
        <f t="shared" si="20"/>
        <v>0.64100000000000534</v>
      </c>
      <c r="J31" s="201">
        <v>85.051000000000002</v>
      </c>
      <c r="K31" s="199">
        <v>44005.179861111108</v>
      </c>
      <c r="L31" s="201">
        <v>73.295000000000002</v>
      </c>
      <c r="M31" s="203">
        <f t="shared" si="21"/>
        <v>-0.64100000000000001</v>
      </c>
      <c r="N31" s="204">
        <f t="shared" si="22"/>
        <v>-1</v>
      </c>
      <c r="O31" s="205">
        <f t="shared" si="23"/>
        <v>0</v>
      </c>
      <c r="P31" s="206">
        <f t="shared" si="24"/>
        <v>0</v>
      </c>
      <c r="Q31" s="206">
        <f t="shared" si="25"/>
        <v>-1</v>
      </c>
      <c r="R31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1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114120</v>
      </c>
      <c r="T31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115120</v>
      </c>
      <c r="U31" s="208">
        <f ca="1">IF(Tabla336106734813[[#This Row],[Equity]]&lt;Tabla336106734813[[#This Row],[Equity Peak]],(Tabla336106734813[[#This Row],[Equity Peak]]-Tabla336106734813[[#This Row],[Equity]])/Tabla336106734813[[#This Row],[Equity Peak]],"")</f>
        <v>8.6865879082696322E-3</v>
      </c>
      <c r="V31" s="209">
        <f t="shared" si="26"/>
        <v>-1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0.34652777777228039</v>
      </c>
      <c r="AE31" s="210">
        <f t="shared" si="35"/>
        <v>0</v>
      </c>
      <c r="AF31" s="210">
        <f t="shared" si="36"/>
        <v>0.34652777777228039</v>
      </c>
      <c r="AG31" s="210">
        <f t="shared" si="37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19"/>
        <v>C</v>
      </c>
      <c r="E32" s="199">
        <v>43983.166666666664</v>
      </c>
      <c r="F32" s="200" t="s">
        <v>122</v>
      </c>
      <c r="G32" s="201">
        <v>72.094999999999999</v>
      </c>
      <c r="H32" s="201">
        <v>71.507000000000005</v>
      </c>
      <c r="I32" s="202">
        <f t="shared" si="20"/>
        <v>0.58799999999999386</v>
      </c>
      <c r="J32" s="201">
        <v>82.28</v>
      </c>
      <c r="K32" s="199">
        <v>43991.326388888891</v>
      </c>
      <c r="L32" s="201">
        <v>75.391999999999996</v>
      </c>
      <c r="M32" s="203">
        <f t="shared" si="21"/>
        <v>3.2970000000000002</v>
      </c>
      <c r="N32" s="204">
        <f t="shared" si="22"/>
        <v>5.61</v>
      </c>
      <c r="O32" s="205">
        <f t="shared" si="23"/>
        <v>0</v>
      </c>
      <c r="P32" s="206">
        <f t="shared" si="24"/>
        <v>5.61</v>
      </c>
      <c r="Q32" s="206">
        <f t="shared" si="25"/>
        <v>0</v>
      </c>
      <c r="R32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2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115120</v>
      </c>
      <c r="T32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115120</v>
      </c>
      <c r="U32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32" s="209">
        <f t="shared" si="26"/>
        <v>5.61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8.1597222222262644</v>
      </c>
      <c r="AE32" s="210">
        <f t="shared" si="35"/>
        <v>8.1597222222262644</v>
      </c>
      <c r="AF32" s="210">
        <f t="shared" si="36"/>
        <v>0</v>
      </c>
      <c r="AG32" s="210">
        <f t="shared" si="37"/>
        <v>0</v>
      </c>
    </row>
    <row r="33" spans="2:33" ht="15" customHeight="1" x14ac:dyDescent="0.3">
      <c r="B33" s="196" t="s">
        <v>7</v>
      </c>
      <c r="C33" s="197" t="s">
        <v>15</v>
      </c>
      <c r="D33" s="198" t="str">
        <f t="shared" si="19"/>
        <v>C</v>
      </c>
      <c r="E33" s="199">
        <v>43977.5</v>
      </c>
      <c r="F33" s="200" t="s">
        <v>122</v>
      </c>
      <c r="G33" s="201">
        <v>71.344999999999999</v>
      </c>
      <c r="H33" s="201">
        <v>70.936000000000007</v>
      </c>
      <c r="I33" s="202">
        <f t="shared" si="20"/>
        <v>0.40899999999999181</v>
      </c>
      <c r="J33" s="201">
        <v>78.427999999999997</v>
      </c>
      <c r="K33" s="199">
        <v>43978.7</v>
      </c>
      <c r="L33" s="201">
        <v>70.936000000000007</v>
      </c>
      <c r="M33" s="203">
        <f t="shared" si="21"/>
        <v>-0.40899999999999997</v>
      </c>
      <c r="N33" s="204">
        <f t="shared" si="22"/>
        <v>-1</v>
      </c>
      <c r="O33" s="205">
        <f t="shared" si="23"/>
        <v>0</v>
      </c>
      <c r="P33" s="206">
        <f t="shared" si="24"/>
        <v>0</v>
      </c>
      <c r="Q33" s="206">
        <f t="shared" si="25"/>
        <v>-1</v>
      </c>
      <c r="R33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3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109510</v>
      </c>
      <c r="T33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111730</v>
      </c>
      <c r="U33" s="208">
        <f ca="1">IF(Tabla336106734813[[#This Row],[Equity]]&lt;Tabla336106734813[[#This Row],[Equity Peak]],(Tabla336106734813[[#This Row],[Equity Peak]]-Tabla336106734813[[#This Row],[Equity]])/Tabla336106734813[[#This Row],[Equity Peak]],"")</f>
        <v>1.9869327843909424E-2</v>
      </c>
      <c r="V33" s="209">
        <f t="shared" si="26"/>
        <v>-1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1.1999999999970896</v>
      </c>
      <c r="AE33" s="210">
        <f t="shared" si="35"/>
        <v>0</v>
      </c>
      <c r="AF33" s="210">
        <f t="shared" si="36"/>
        <v>1.1999999999970896</v>
      </c>
      <c r="AG33" s="210">
        <f t="shared" si="37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19"/>
        <v>C</v>
      </c>
      <c r="E34" s="199">
        <v>43970.166666666664</v>
      </c>
      <c r="F34" s="200" t="s">
        <v>122</v>
      </c>
      <c r="G34" s="201">
        <v>70.203000000000003</v>
      </c>
      <c r="H34" s="201">
        <v>69.634</v>
      </c>
      <c r="I34" s="202">
        <f t="shared" si="20"/>
        <v>0.56900000000000261</v>
      </c>
      <c r="J34" s="201">
        <v>80.072000000000003</v>
      </c>
      <c r="K34" s="199">
        <v>43973.426388888889</v>
      </c>
      <c r="L34" s="201">
        <v>69.994</v>
      </c>
      <c r="M34" s="203">
        <f t="shared" si="21"/>
        <v>-0.20899999999999999</v>
      </c>
      <c r="N34" s="204">
        <f t="shared" si="22"/>
        <v>-0.37</v>
      </c>
      <c r="O34" s="205">
        <f t="shared" si="23"/>
        <v>0</v>
      </c>
      <c r="P34" s="206">
        <f t="shared" si="24"/>
        <v>0</v>
      </c>
      <c r="Q34" s="206">
        <f t="shared" si="25"/>
        <v>-0.37</v>
      </c>
      <c r="R34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4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110510</v>
      </c>
      <c r="T34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111730</v>
      </c>
      <c r="U34" s="208">
        <f ca="1">IF(Tabla336106734813[[#This Row],[Equity]]&lt;Tabla336106734813[[#This Row],[Equity Peak]],(Tabla336106734813[[#This Row],[Equity Peak]]-Tabla336106734813[[#This Row],[Equity]])/Tabla336106734813[[#This Row],[Equity Peak]],"")</f>
        <v>1.0919180166472748E-2</v>
      </c>
      <c r="V34" s="209">
        <f t="shared" si="26"/>
        <v>-0.37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3.2597222222248092</v>
      </c>
      <c r="AE34" s="210">
        <f t="shared" si="35"/>
        <v>0</v>
      </c>
      <c r="AF34" s="210">
        <f t="shared" si="36"/>
        <v>3.2597222222248092</v>
      </c>
      <c r="AG34" s="210">
        <f t="shared" si="37"/>
        <v>0</v>
      </c>
    </row>
    <row r="35" spans="2:33" ht="15" customHeight="1" x14ac:dyDescent="0.3">
      <c r="B35" s="196" t="s">
        <v>7</v>
      </c>
      <c r="C35" s="197" t="s">
        <v>15</v>
      </c>
      <c r="D35" s="198" t="str">
        <f t="shared" si="19"/>
        <v>C</v>
      </c>
      <c r="E35" s="199">
        <v>43958.833333333336</v>
      </c>
      <c r="F35" s="200" t="s">
        <v>122</v>
      </c>
      <c r="G35" s="201">
        <v>69.021000000000001</v>
      </c>
      <c r="H35" s="201">
        <v>68.463999999999999</v>
      </c>
      <c r="I35" s="202">
        <f t="shared" si="20"/>
        <v>0.55700000000000216</v>
      </c>
      <c r="J35" s="201">
        <v>78.668999999999997</v>
      </c>
      <c r="K35" s="199">
        <v>43963.11041666667</v>
      </c>
      <c r="L35" s="201">
        <v>69.138999999999996</v>
      </c>
      <c r="M35" s="203">
        <f t="shared" si="21"/>
        <v>0.11799999999999999</v>
      </c>
      <c r="N35" s="204">
        <f t="shared" si="22"/>
        <v>0.21</v>
      </c>
      <c r="O35" s="205">
        <f t="shared" si="23"/>
        <v>0</v>
      </c>
      <c r="P35" s="206">
        <f t="shared" si="24"/>
        <v>0.21</v>
      </c>
      <c r="Q35" s="206">
        <f t="shared" si="25"/>
        <v>0</v>
      </c>
      <c r="R35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5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110880</v>
      </c>
      <c r="T35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111730</v>
      </c>
      <c r="U35" s="208">
        <f ca="1">IF(Tabla336106734813[[#This Row],[Equity]]&lt;Tabla336106734813[[#This Row],[Equity Peak]],(Tabla336106734813[[#This Row],[Equity Peak]]-Tabla336106734813[[#This Row],[Equity]])/Tabla336106734813[[#This Row],[Equity Peak]],"")</f>
        <v>7.6076255258211763E-3</v>
      </c>
      <c r="V35" s="209">
        <f t="shared" si="26"/>
        <v>0.21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4.2770833333343035</v>
      </c>
      <c r="AE35" s="210">
        <f t="shared" si="35"/>
        <v>4.2770833333343035</v>
      </c>
      <c r="AF35" s="210">
        <f t="shared" si="36"/>
        <v>0</v>
      </c>
      <c r="AG35" s="210">
        <f t="shared" si="37"/>
        <v>0</v>
      </c>
    </row>
    <row r="36" spans="2:33" ht="15" customHeight="1" x14ac:dyDescent="0.3">
      <c r="B36" s="196" t="s">
        <v>7</v>
      </c>
      <c r="C36" s="197" t="s">
        <v>13</v>
      </c>
      <c r="D36" s="198" t="str">
        <f t="shared" si="19"/>
        <v>C</v>
      </c>
      <c r="E36" s="199">
        <v>43957.5</v>
      </c>
      <c r="F36" s="200" t="s">
        <v>122</v>
      </c>
      <c r="G36" s="201">
        <v>68.337999999999994</v>
      </c>
      <c r="H36" s="201">
        <v>68.808999999999997</v>
      </c>
      <c r="I36" s="202">
        <f t="shared" si="20"/>
        <v>0.47100000000000364</v>
      </c>
      <c r="J36" s="201">
        <v>60.171999999999997</v>
      </c>
      <c r="K36" s="199">
        <v>43958.4375</v>
      </c>
      <c r="L36" s="201">
        <v>68.703999999999994</v>
      </c>
      <c r="M36" s="203">
        <f t="shared" si="21"/>
        <v>-0.36599999999999999</v>
      </c>
      <c r="N36" s="204">
        <f t="shared" si="22"/>
        <v>-0.78</v>
      </c>
      <c r="O36" s="205">
        <f t="shared" si="23"/>
        <v>0</v>
      </c>
      <c r="P36" s="206">
        <f t="shared" si="24"/>
        <v>0</v>
      </c>
      <c r="Q36" s="206">
        <f t="shared" si="25"/>
        <v>-0.78</v>
      </c>
      <c r="R36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6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110670</v>
      </c>
      <c r="T36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111730</v>
      </c>
      <c r="U36" s="208">
        <f ca="1">IF(Tabla336106734813[[#This Row],[Equity]]&lt;Tabla336106734813[[#This Row],[Equity Peak]],(Tabla336106734813[[#This Row],[Equity Peak]]-Tabla336106734813[[#This Row],[Equity]])/Tabla336106734813[[#This Row],[Equity Peak]],"")</f>
        <v>9.4871565380828787E-3</v>
      </c>
      <c r="V36" s="209">
        <f t="shared" si="26"/>
        <v>-0.78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0.9375</v>
      </c>
      <c r="AE36" s="210">
        <f t="shared" si="35"/>
        <v>0</v>
      </c>
      <c r="AF36" s="210">
        <f t="shared" si="36"/>
        <v>0.9375</v>
      </c>
      <c r="AG36" s="210">
        <f t="shared" si="37"/>
        <v>0</v>
      </c>
    </row>
    <row r="37" spans="2:33" ht="15" customHeight="1" x14ac:dyDescent="0.3">
      <c r="B37" s="196" t="s">
        <v>7</v>
      </c>
      <c r="C37" s="197" t="s">
        <v>15</v>
      </c>
      <c r="D37" s="198" t="str">
        <f t="shared" si="19"/>
        <v>C</v>
      </c>
      <c r="E37" s="199">
        <v>43949.5</v>
      </c>
      <c r="F37" s="200" t="s">
        <v>122</v>
      </c>
      <c r="G37" s="201">
        <v>69.39</v>
      </c>
      <c r="H37" s="201">
        <v>68.957999999999998</v>
      </c>
      <c r="I37" s="202">
        <f t="shared" si="20"/>
        <v>0.43200000000000216</v>
      </c>
      <c r="J37" s="201">
        <v>76.885000000000005</v>
      </c>
      <c r="K37" s="199">
        <v>43951.705555555556</v>
      </c>
      <c r="L37" s="201">
        <v>69.269000000000005</v>
      </c>
      <c r="M37" s="203">
        <f t="shared" si="21"/>
        <v>-0.121</v>
      </c>
      <c r="N37" s="204">
        <f t="shared" si="22"/>
        <v>-0.28000000000000003</v>
      </c>
      <c r="O37" s="205">
        <f t="shared" si="23"/>
        <v>0</v>
      </c>
      <c r="P37" s="206">
        <f t="shared" si="24"/>
        <v>0</v>
      </c>
      <c r="Q37" s="206">
        <f t="shared" si="25"/>
        <v>-0.28000000000000003</v>
      </c>
      <c r="R37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7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111450</v>
      </c>
      <c r="T37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111730</v>
      </c>
      <c r="U37" s="208">
        <f ca="1">IF(Tabla336106734813[[#This Row],[Equity]]&lt;Tabla336106734813[[#This Row],[Equity Peak]],(Tabla336106734813[[#This Row],[Equity Peak]]-Tabla336106734813[[#This Row],[Equity]])/Tabla336106734813[[#This Row],[Equity Peak]],"")</f>
        <v>2.5060413496822698E-3</v>
      </c>
      <c r="V37" s="209">
        <f t="shared" si="26"/>
        <v>-0.28000000000000003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2.2055555555562023</v>
      </c>
      <c r="AE37" s="210">
        <f t="shared" si="35"/>
        <v>0</v>
      </c>
      <c r="AF37" s="210">
        <f t="shared" si="36"/>
        <v>2.2055555555562023</v>
      </c>
      <c r="AG37" s="210">
        <f t="shared" si="37"/>
        <v>0</v>
      </c>
    </row>
    <row r="38" spans="2:33" ht="15" customHeight="1" x14ac:dyDescent="0.3">
      <c r="B38" s="196" t="s">
        <v>7</v>
      </c>
      <c r="C38" s="197" t="s">
        <v>15</v>
      </c>
      <c r="D38" s="198" t="str">
        <f t="shared" si="19"/>
        <v>C</v>
      </c>
      <c r="E38" s="199">
        <v>43928.333333333336</v>
      </c>
      <c r="F38" s="200" t="s">
        <v>122</v>
      </c>
      <c r="G38" s="201">
        <v>66.855000000000004</v>
      </c>
      <c r="H38" s="201">
        <v>66.213999999999999</v>
      </c>
      <c r="I38" s="202">
        <f t="shared" si="20"/>
        <v>0.64100000000000534</v>
      </c>
      <c r="J38" s="201">
        <v>77.960999999999999</v>
      </c>
      <c r="K38" s="199">
        <v>43936.384027777778</v>
      </c>
      <c r="L38" s="201">
        <v>68.44</v>
      </c>
      <c r="M38" s="203">
        <f t="shared" si="21"/>
        <v>1.585</v>
      </c>
      <c r="N38" s="204">
        <f t="shared" si="22"/>
        <v>2.4700000000000002</v>
      </c>
      <c r="O38" s="205">
        <f t="shared" si="23"/>
        <v>0</v>
      </c>
      <c r="P38" s="206">
        <f t="shared" si="24"/>
        <v>2.4700000000000002</v>
      </c>
      <c r="Q38" s="206">
        <f t="shared" si="25"/>
        <v>0</v>
      </c>
      <c r="R38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8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111730</v>
      </c>
      <c r="T38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111730</v>
      </c>
      <c r="U38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38" s="209">
        <f t="shared" si="26"/>
        <v>2.4700000000000002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0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8.0506944444423425</v>
      </c>
      <c r="AE38" s="210">
        <f t="shared" si="35"/>
        <v>8.0506944444423425</v>
      </c>
      <c r="AF38" s="210">
        <f t="shared" si="36"/>
        <v>0</v>
      </c>
      <c r="AG38" s="210">
        <f t="shared" si="37"/>
        <v>0</v>
      </c>
    </row>
    <row r="39" spans="2:33" ht="15" customHeight="1" x14ac:dyDescent="0.3">
      <c r="B39" s="196" t="s">
        <v>7</v>
      </c>
      <c r="C39" s="197" t="s">
        <v>13</v>
      </c>
      <c r="D39" s="198" t="str">
        <f t="shared" si="19"/>
        <v>C</v>
      </c>
      <c r="E39" s="199">
        <v>43885.333333333336</v>
      </c>
      <c r="F39" s="200" t="s">
        <v>122</v>
      </c>
      <c r="G39" s="201">
        <v>73.608000000000004</v>
      </c>
      <c r="H39" s="201">
        <v>74.164000000000001</v>
      </c>
      <c r="I39" s="202">
        <f t="shared" si="20"/>
        <v>0.55599999999999739</v>
      </c>
      <c r="J39" s="201">
        <v>63.970999999999997</v>
      </c>
      <c r="K39" s="199">
        <v>43893.773611111108</v>
      </c>
      <c r="L39" s="201">
        <v>71.426000000000002</v>
      </c>
      <c r="M39" s="203">
        <f t="shared" si="21"/>
        <v>2.1819999999999999</v>
      </c>
      <c r="N39" s="204">
        <f t="shared" si="22"/>
        <v>3.92</v>
      </c>
      <c r="O39" s="205">
        <f t="shared" si="23"/>
        <v>0</v>
      </c>
      <c r="P39" s="206">
        <f t="shared" si="24"/>
        <v>3.92</v>
      </c>
      <c r="Q39" s="206">
        <f t="shared" si="25"/>
        <v>0</v>
      </c>
      <c r="R39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9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109260</v>
      </c>
      <c r="T39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109260</v>
      </c>
      <c r="U39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39" s="209">
        <f t="shared" si="26"/>
        <v>3.92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0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8.4402777777722804</v>
      </c>
      <c r="AE39" s="210">
        <f t="shared" si="35"/>
        <v>8.4402777777722804</v>
      </c>
      <c r="AF39" s="210">
        <f t="shared" si="36"/>
        <v>0</v>
      </c>
      <c r="AG39" s="210">
        <f t="shared" si="37"/>
        <v>0</v>
      </c>
    </row>
    <row r="40" spans="2:33" ht="15" customHeight="1" x14ac:dyDescent="0.3">
      <c r="B40" s="196" t="s">
        <v>7</v>
      </c>
      <c r="C40" s="197" t="s">
        <v>13</v>
      </c>
      <c r="D40" s="198" t="str">
        <f t="shared" si="19"/>
        <v>C</v>
      </c>
      <c r="E40" s="199">
        <v>43851.833333333336</v>
      </c>
      <c r="F40" s="200" t="s">
        <v>122</v>
      </c>
      <c r="G40" s="201">
        <v>75.31</v>
      </c>
      <c r="H40" s="201">
        <v>75.649000000000001</v>
      </c>
      <c r="I40" s="202">
        <f t="shared" si="20"/>
        <v>0.33899999999999864</v>
      </c>
      <c r="J40" s="201">
        <v>69.433999999999997</v>
      </c>
      <c r="K40" s="199">
        <v>43865.406944444447</v>
      </c>
      <c r="L40" s="201">
        <v>73.236999999999995</v>
      </c>
      <c r="M40" s="203">
        <f t="shared" si="21"/>
        <v>2.073</v>
      </c>
      <c r="N40" s="204">
        <f t="shared" si="22"/>
        <v>6.12</v>
      </c>
      <c r="O40" s="205">
        <f t="shared" si="23"/>
        <v>0</v>
      </c>
      <c r="P40" s="206">
        <f t="shared" si="24"/>
        <v>6.12</v>
      </c>
      <c r="Q40" s="206">
        <f t="shared" si="25"/>
        <v>0</v>
      </c>
      <c r="R40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40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105340</v>
      </c>
      <c r="T40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105340</v>
      </c>
      <c r="U40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40" s="209">
        <f t="shared" si="26"/>
        <v>6.12</v>
      </c>
      <c r="W40" s="209">
        <f t="shared" si="27"/>
        <v>0</v>
      </c>
      <c r="X40" s="209">
        <f t="shared" si="28"/>
        <v>0</v>
      </c>
      <c r="Y40" s="209">
        <f t="shared" si="29"/>
        <v>0</v>
      </c>
      <c r="Z40" s="209">
        <f t="shared" si="30"/>
        <v>0</v>
      </c>
      <c r="AA40" s="205">
        <f t="shared" si="31"/>
        <v>0</v>
      </c>
      <c r="AB40" s="209">
        <f t="shared" si="32"/>
        <v>0</v>
      </c>
      <c r="AC40" s="205">
        <f t="shared" si="33"/>
        <v>0</v>
      </c>
      <c r="AD40" s="210">
        <f t="shared" si="34"/>
        <v>13.573611111110949</v>
      </c>
      <c r="AE40" s="210">
        <f t="shared" si="35"/>
        <v>13.573611111110949</v>
      </c>
      <c r="AF40" s="210">
        <f t="shared" si="36"/>
        <v>0</v>
      </c>
      <c r="AG40" s="210">
        <f t="shared" si="37"/>
        <v>0</v>
      </c>
    </row>
    <row r="41" spans="2:33" ht="15" customHeight="1" x14ac:dyDescent="0.3">
      <c r="B41" s="196" t="s">
        <v>7</v>
      </c>
      <c r="C41" s="197" t="s">
        <v>15</v>
      </c>
      <c r="D41" s="198" t="str">
        <f t="shared" si="19"/>
        <v>C</v>
      </c>
      <c r="E41" s="199">
        <v>43843.017361111109</v>
      </c>
      <c r="F41" s="200" t="s">
        <v>122</v>
      </c>
      <c r="G41" s="201">
        <v>75.542000000000002</v>
      </c>
      <c r="H41" s="201">
        <v>75.174999999999997</v>
      </c>
      <c r="I41" s="202">
        <f t="shared" si="20"/>
        <v>0.36700000000000443</v>
      </c>
      <c r="J41" s="201">
        <v>81.905000000000001</v>
      </c>
      <c r="K41" s="199">
        <v>43850.040972222225</v>
      </c>
      <c r="L41" s="201">
        <v>75.622</v>
      </c>
      <c r="M41" s="203">
        <f t="shared" si="21"/>
        <v>0.08</v>
      </c>
      <c r="N41" s="204">
        <f t="shared" si="22"/>
        <v>0.22</v>
      </c>
      <c r="O41" s="205">
        <f t="shared" si="23"/>
        <v>0</v>
      </c>
      <c r="P41" s="206">
        <f t="shared" si="24"/>
        <v>0.22</v>
      </c>
      <c r="Q41" s="206">
        <f t="shared" si="25"/>
        <v>0</v>
      </c>
      <c r="R41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41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99220</v>
      </c>
      <c r="T41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41" s="208">
        <f ca="1">IF(Tabla336106734813[[#This Row],[Equity]]&lt;Tabla336106734813[[#This Row],[Equity Peak]],(Tabla336106734813[[#This Row],[Equity Peak]]-Tabla336106734813[[#This Row],[Equity]])/Tabla336106734813[[#This Row],[Equity Peak]],"")</f>
        <v>7.7999999999999996E-3</v>
      </c>
      <c r="V41" s="209">
        <f t="shared" si="26"/>
        <v>0.22</v>
      </c>
      <c r="W41" s="209">
        <f t="shared" si="27"/>
        <v>0</v>
      </c>
      <c r="X41" s="209">
        <f t="shared" si="28"/>
        <v>0</v>
      </c>
      <c r="Y41" s="209">
        <f t="shared" si="29"/>
        <v>0</v>
      </c>
      <c r="Z41" s="209">
        <f t="shared" si="30"/>
        <v>0</v>
      </c>
      <c r="AA41" s="205">
        <f t="shared" si="31"/>
        <v>0</v>
      </c>
      <c r="AB41" s="209">
        <f t="shared" si="32"/>
        <v>0</v>
      </c>
      <c r="AC41" s="205">
        <f t="shared" si="33"/>
        <v>0</v>
      </c>
      <c r="AD41" s="210">
        <f t="shared" si="34"/>
        <v>7.023611111115315</v>
      </c>
      <c r="AE41" s="210">
        <f t="shared" si="35"/>
        <v>7.023611111115315</v>
      </c>
      <c r="AF41" s="210">
        <f t="shared" si="36"/>
        <v>0</v>
      </c>
      <c r="AG41" s="210">
        <f t="shared" si="37"/>
        <v>0</v>
      </c>
    </row>
    <row r="42" spans="2:33" ht="15" customHeight="1" x14ac:dyDescent="0.3">
      <c r="B42" s="196" t="s">
        <v>7</v>
      </c>
      <c r="C42" s="197" t="s">
        <v>13</v>
      </c>
      <c r="D42" s="198" t="str">
        <f t="shared" si="19"/>
        <v>C</v>
      </c>
      <c r="E42" s="199">
        <v>43836.017361111109</v>
      </c>
      <c r="F42" s="200" t="s">
        <v>122</v>
      </c>
      <c r="G42" s="201">
        <v>74.783000000000001</v>
      </c>
      <c r="H42" s="201">
        <v>75.167000000000002</v>
      </c>
      <c r="I42" s="202">
        <f t="shared" si="20"/>
        <v>0.38400000000000034</v>
      </c>
      <c r="J42" s="201">
        <v>68.125</v>
      </c>
      <c r="K42" s="199">
        <v>43836.107638888891</v>
      </c>
      <c r="L42" s="201">
        <v>75.167000000000002</v>
      </c>
      <c r="M42" s="203">
        <f t="shared" si="21"/>
        <v>-0.38400000000000001</v>
      </c>
      <c r="N42" s="204">
        <f t="shared" si="22"/>
        <v>-1</v>
      </c>
      <c r="O42" s="205">
        <f t="shared" si="23"/>
        <v>0</v>
      </c>
      <c r="P42" s="206">
        <f t="shared" si="24"/>
        <v>0</v>
      </c>
      <c r="Q42" s="206">
        <f t="shared" si="25"/>
        <v>-1</v>
      </c>
      <c r="R42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Yes</v>
      </c>
      <c r="S42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99000</v>
      </c>
      <c r="T42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42" s="208">
        <f ca="1">IF(Tabla336106734813[[#This Row],[Equity]]&lt;Tabla336106734813[[#This Row],[Equity Peak]],(Tabla336106734813[[#This Row],[Equity Peak]]-Tabla336106734813[[#This Row],[Equity]])/Tabla336106734813[[#This Row],[Equity Peak]],"")</f>
        <v>0.01</v>
      </c>
      <c r="V42" s="209">
        <f t="shared" si="26"/>
        <v>-1</v>
      </c>
      <c r="W42" s="209">
        <f t="shared" si="27"/>
        <v>0</v>
      </c>
      <c r="X42" s="209">
        <f t="shared" si="28"/>
        <v>0</v>
      </c>
      <c r="Y42" s="209">
        <f t="shared" si="29"/>
        <v>0</v>
      </c>
      <c r="Z42" s="209">
        <f t="shared" si="30"/>
        <v>0</v>
      </c>
      <c r="AA42" s="205">
        <f t="shared" si="31"/>
        <v>0</v>
      </c>
      <c r="AB42" s="209">
        <f t="shared" si="32"/>
        <v>0</v>
      </c>
      <c r="AC42" s="205">
        <f t="shared" si="33"/>
        <v>0</v>
      </c>
      <c r="AD42" s="210">
        <f t="shared" si="34"/>
        <v>9.0277777781011537E-2</v>
      </c>
      <c r="AE42" s="210">
        <f t="shared" si="35"/>
        <v>0</v>
      </c>
      <c r="AF42" s="210">
        <f t="shared" si="36"/>
        <v>9.0277777781011537E-2</v>
      </c>
      <c r="AG42" s="210">
        <f t="shared" si="37"/>
        <v>0</v>
      </c>
    </row>
  </sheetData>
  <sheetProtection algorithmName="SHA-512" hashValue="hVclQ1oP3/AFUTIobJ+rUOjGD4i/qKTjIH3HFsA5ngU7Fn/EIdPW5Mg45VmtIB3TEIyh07cFjMGj6EqPH2uFyg==" saltValue="VrDqbeSAAwd+e01fg7E0p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881" priority="3" operator="equal">
      <formula>"OK"</formula>
    </cfRule>
    <cfRule type="cellIs" dxfId="880" priority="4" operator="equal">
      <formula>"warning"</formula>
    </cfRule>
  </conditionalFormatting>
  <conditionalFormatting sqref="F13">
    <cfRule type="cellIs" dxfId="879" priority="1" operator="equal">
      <formula>"OK"</formula>
    </cfRule>
    <cfRule type="cellIs" dxfId="878" priority="2" operator="equal">
      <formula>"Error!!"</formula>
    </cfRule>
  </conditionalFormatting>
  <conditionalFormatting sqref="E15:H15 K15:L15">
    <cfRule type="expression" dxfId="877" priority="5">
      <formula>+$D15=#REF!</formula>
    </cfRule>
    <cfRule type="expression" dxfId="876" priority="6">
      <formula>+$D15=#REF!</formula>
    </cfRule>
  </conditionalFormatting>
  <conditionalFormatting sqref="D15 K16:L16 D16:H42 J17:L42">
    <cfRule type="expression" dxfId="875" priority="7">
      <formula>+$D15=$AG$8</formula>
    </cfRule>
    <cfRule type="expression" dxfId="87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7D89FDE9-D6F4-4FED-AA46-ED6BBE361F00}">
      <formula1>$AE$4:$AE$6</formula1>
    </dataValidation>
    <dataValidation type="list" allowBlank="1" showInputMessage="1" showErrorMessage="1" promptTitle="Trade Direction" prompt="Select from List" sqref="C15:C16" xr:uid="{871ECBE0-F8AD-4A79-A198-BC9249EE08B7}">
      <formula1>$AG$4:$AG$5</formula1>
    </dataValidation>
    <dataValidation type="list" allowBlank="1" showInputMessage="1" showErrorMessage="1" promptTitle="Instrument Type" prompt="Select Type from List_x000a_" sqref="B17:B42" xr:uid="{8E25A041-CA46-4B08-ACC3-25C93055E8C8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C866-66B2-4A9E-A865-F2B54EB4A014}">
  <sheetPr codeName="Hoja20">
    <pageSetUpPr fitToPage="1"/>
  </sheetPr>
  <dimension ref="A1:AX3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COUNTA(Tabla336106734814[Inst])</f>
        <v>21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19.169999999999998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19.169999999999998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COUNTIF(Tabla336106734814[No. of Rs],"&gt;0")</f>
        <v>6</v>
      </c>
      <c r="G7" s="24">
        <f>IFERROR((F7/$F$6),"")</f>
        <v>0.2857142857142857</v>
      </c>
      <c r="H7" s="78">
        <f>IFERROR((+P13/F7),"")</f>
        <v>5.336666666666666</v>
      </c>
      <c r="I7" s="227">
        <f>H7/H9</f>
        <v>5.398962386511025</v>
      </c>
      <c r="J7" s="227">
        <f>AVERAGE(Tabla336106734814[No. of Rs])</f>
        <v>0.91285714285714281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COUNTIF(Tabla336106734814[No. of Rs],"=0")</f>
        <v>2</v>
      </c>
      <c r="G8" s="24">
        <f>IFERROR((F8/$F$6),"")</f>
        <v>9.5238095238095233E-2</v>
      </c>
      <c r="H8" s="78"/>
      <c r="I8" s="228"/>
      <c r="J8" s="228"/>
      <c r="K8" s="163"/>
      <c r="L8" s="212" t="s">
        <v>112</v>
      </c>
      <c r="M8" s="213"/>
      <c r="N8" s="195">
        <f ca="1">OFFSET(Tabla336106734814[[#Headers],[Equity]],1,0)</f>
        <v>119170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COUNTIF(Tabla336106734814[No. of Rs],"&lt;0")</f>
        <v>13</v>
      </c>
      <c r="G9" s="32">
        <f>IFERROR((F9/$F$6),"")</f>
        <v>0.61904761904761907</v>
      </c>
      <c r="H9" s="79">
        <f>IFERROR((-Q13/F9),"")</f>
        <v>0.98846153846153828</v>
      </c>
      <c r="I9" s="229"/>
      <c r="J9" s="229"/>
      <c r="K9" s="149"/>
      <c r="L9" s="230" t="s">
        <v>106</v>
      </c>
      <c r="M9" s="231"/>
      <c r="N9" s="125">
        <f ca="1">MAX(Tabla336106734814[Drawdown])</f>
        <v>4.0623683101559206E-2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OFFSET(Tabla336106734814[[#Headers],[Drawdown]],1,0)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COUNTIF(Tabla336106734814[Heat],"&lt;0")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IF(COUNTIFS(Tabla336106734814[O/C],"O")&lt;1,"None",COUNTIFS(Tabla336106734814[O/C],"O"))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SUM(Tabla336106734814[No. of Rs])</f>
        <v>19.169999999999998</v>
      </c>
      <c r="O13" s="42">
        <f>SUM(Tabla336106734814[Heat])</f>
        <v>0</v>
      </c>
      <c r="P13" s="43">
        <f>SUM(Tabla336106734814[[ TR WIN]])</f>
        <v>32.019999999999996</v>
      </c>
      <c r="Q13" s="43">
        <f>SUM(Tabla336106734814[[ TR LOSS]])</f>
        <v>-12.849999999999998</v>
      </c>
      <c r="R13" s="114"/>
      <c r="S13" s="115"/>
      <c r="T13" s="115"/>
      <c r="U13" s="121"/>
      <c r="V13" s="44">
        <f>SUM(Tabla336106734814[Currency])</f>
        <v>19.169999999999998</v>
      </c>
      <c r="W13" s="44">
        <f>SUM(Tabla336106734814[Heat3])</f>
        <v>0</v>
      </c>
      <c r="X13" s="44">
        <f>SUM(Tabla336106734814[Commodities])</f>
        <v>0</v>
      </c>
      <c r="Y13" s="44">
        <f>SUM(Tabla336106734814[Heat4])</f>
        <v>0</v>
      </c>
      <c r="Z13" s="44">
        <f>SUM(Tabla336106734814[Index])</f>
        <v>0</v>
      </c>
      <c r="AA13" s="44">
        <f>SUM(Tabla336106734814[Heat5])</f>
        <v>0</v>
      </c>
      <c r="AB13" s="44">
        <f>SUM(Tabla336106734814[Cryptocurrency])</f>
        <v>0</v>
      </c>
      <c r="AC13" s="44">
        <f>SUM(Tabla336106734814[Heat6])</f>
        <v>0</v>
      </c>
      <c r="AD13" s="75">
        <f>AVERAGEIF(Tabla336106734814[Length of 
Trade],"&lt;&gt;0")</f>
        <v>6.2470568783073324</v>
      </c>
      <c r="AE13" s="75">
        <f>AVERAGEIF(Tabla336106734814[Win],"&lt;&gt;0")</f>
        <v>14.922685185186614</v>
      </c>
      <c r="AF13" s="75">
        <f>AVERAGEIF(Tabla336106734814[Loss],"&lt;&gt;0")</f>
        <v>2.5132478632485098</v>
      </c>
      <c r="AG13" s="76">
        <f>AVERAGEIF(Tabla336106734814[Breakeven],"&lt;&gt;0")</f>
        <v>4.4899305555518367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37" si="0">IF(E17&lt;&gt;"",IF(K17&lt;&gt;"","C","O"),"")</f>
        <v>C</v>
      </c>
      <c r="E17" s="199">
        <v>44139.5</v>
      </c>
      <c r="F17" s="200" t="s">
        <v>121</v>
      </c>
      <c r="G17" s="201">
        <v>0.70981000000000005</v>
      </c>
      <c r="H17" s="201">
        <v>0.70286000000000004</v>
      </c>
      <c r="I17" s="202">
        <f t="shared" ref="I17:I37" si="1">ABS(G17-H17)</f>
        <v>6.9500000000000117E-3</v>
      </c>
      <c r="J17" s="201">
        <v>0.74690000000000001</v>
      </c>
      <c r="K17" s="199">
        <v>44174.45416666667</v>
      </c>
      <c r="L17" s="201">
        <v>0.74690000000000001</v>
      </c>
      <c r="M17" s="203">
        <f t="shared" ref="M17:M37" si="2">ROUND(IF(C17="L",(L17-G17),(G17-L17)),4)</f>
        <v>3.7100000000000001E-2</v>
      </c>
      <c r="N17" s="204">
        <f t="shared" ref="N17:N37" si="3">IFERROR(ROUND((M17/I17),2),"")</f>
        <v>5.34</v>
      </c>
      <c r="O17" s="205">
        <f t="shared" ref="O17:O37" si="4">IF(D17="O",IF(N17&lt;0,N17,0),0)</f>
        <v>0</v>
      </c>
      <c r="P17" s="206">
        <f t="shared" ref="P17:P37" si="5">IF(N17&gt;= 0,N17,0)</f>
        <v>5.34</v>
      </c>
      <c r="Q17" s="206">
        <f t="shared" ref="Q17:Q37" si="6">IF(N17&lt;0,N17,0)</f>
        <v>0</v>
      </c>
      <c r="R17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17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119170</v>
      </c>
      <c r="T17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119170</v>
      </c>
      <c r="U17" s="208" t="str">
        <f ca="1">IF(Tabla336106734814[[#This Row],[Equity]]&lt;Tabla336106734814[[#This Row],[Equity Peak]],(Tabla336106734814[[#This Row],[Equity Peak]]-Tabla336106734814[[#This Row],[Equity]])/Tabla336106734814[[#This Row],[Equity Peak]],"")</f>
        <v/>
      </c>
      <c r="V17" s="209">
        <f t="shared" ref="V17:V37" si="7">IF(B17="FX",N17,0)</f>
        <v>5.34</v>
      </c>
      <c r="W17" s="209">
        <f t="shared" ref="W17:W37" si="8">IF(D17="O",IF(V17&lt;0,V17,0),0)</f>
        <v>0</v>
      </c>
      <c r="X17" s="209">
        <f t="shared" ref="X17:X37" si="9">IF(B17="COM",N17,0)</f>
        <v>0</v>
      </c>
      <c r="Y17" s="209">
        <f t="shared" ref="Y17:Y37" si="10">IF(D17="O",IF(X17&lt;0,X17,0),0)</f>
        <v>0</v>
      </c>
      <c r="Z17" s="209">
        <f t="shared" ref="Z17:Z37" si="11">IF(B17="IND",N17,0)</f>
        <v>0</v>
      </c>
      <c r="AA17" s="205">
        <f t="shared" ref="AA17:AA37" si="12">IF(D17="O",IF(Z17&lt;0,Z17,0),0)</f>
        <v>0</v>
      </c>
      <c r="AB17" s="209">
        <f t="shared" ref="AB17:AB37" si="13">IF(B17="CRYPTO",N17,0)</f>
        <v>0</v>
      </c>
      <c r="AC17" s="205">
        <f t="shared" ref="AC17:AC37" si="14">IF(D17="O",IF(AB17&lt;0,AB17,0),0)</f>
        <v>0</v>
      </c>
      <c r="AD17" s="210">
        <f t="shared" ref="AD17:AD37" si="15">IF(K17&lt;&gt;"",K17-E17,0)</f>
        <v>34.954166666670062</v>
      </c>
      <c r="AE17" s="210">
        <f t="shared" ref="AE17:AE37" si="16">IF(N17&gt;0,AD17,0)</f>
        <v>34.954166666670062</v>
      </c>
      <c r="AF17" s="210">
        <f t="shared" ref="AF17:AF37" si="17">IF(N17&lt;0,AD17,0)</f>
        <v>0</v>
      </c>
      <c r="AG17" s="210">
        <f t="shared" ref="AG17:AG37" si="18">IF(N17=0,AD17,0)</f>
        <v>0</v>
      </c>
    </row>
    <row r="18" spans="2:33" ht="15" customHeight="1" x14ac:dyDescent="0.3">
      <c r="B18" s="196" t="s">
        <v>7</v>
      </c>
      <c r="C18" s="197" t="s">
        <v>13</v>
      </c>
      <c r="D18" s="198" t="str">
        <f t="shared" si="0"/>
        <v>C</v>
      </c>
      <c r="E18" s="199">
        <v>44132.833333333336</v>
      </c>
      <c r="F18" s="200" t="s">
        <v>121</v>
      </c>
      <c r="G18" s="201">
        <v>0.70599000000000001</v>
      </c>
      <c r="H18" s="201">
        <v>0.71030000000000004</v>
      </c>
      <c r="I18" s="202">
        <f t="shared" si="1"/>
        <v>4.310000000000036E-3</v>
      </c>
      <c r="J18" s="201">
        <v>0.68300000000000005</v>
      </c>
      <c r="K18" s="199">
        <v>44138.452777777777</v>
      </c>
      <c r="L18" s="201">
        <v>0.71009999999999995</v>
      </c>
      <c r="M18" s="203">
        <f t="shared" si="2"/>
        <v>-4.1000000000000003E-3</v>
      </c>
      <c r="N18" s="204">
        <f t="shared" si="3"/>
        <v>-0.95</v>
      </c>
      <c r="O18" s="205">
        <f t="shared" si="4"/>
        <v>0</v>
      </c>
      <c r="P18" s="206">
        <f t="shared" si="5"/>
        <v>0</v>
      </c>
      <c r="Q18" s="206">
        <f t="shared" si="6"/>
        <v>-0.95</v>
      </c>
      <c r="R18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18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113830</v>
      </c>
      <c r="T18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118650</v>
      </c>
      <c r="U18" s="208">
        <f ca="1">IF(Tabla336106734814[[#This Row],[Equity]]&lt;Tabla336106734814[[#This Row],[Equity Peak]],(Tabla336106734814[[#This Row],[Equity Peak]]-Tabla336106734814[[#This Row],[Equity]])/Tabla336106734814[[#This Row],[Equity Peak]],"")</f>
        <v>4.0623683101559206E-2</v>
      </c>
      <c r="V18" s="209">
        <f t="shared" si="7"/>
        <v>-0.95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5.6194444444408873</v>
      </c>
      <c r="AE18" s="210">
        <f t="shared" si="16"/>
        <v>0</v>
      </c>
      <c r="AF18" s="210">
        <f t="shared" si="17"/>
        <v>5.6194444444408873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44131.333333333336</v>
      </c>
      <c r="F19" s="200" t="s">
        <v>121</v>
      </c>
      <c r="G19" s="201">
        <v>0.71335999999999999</v>
      </c>
      <c r="H19" s="201">
        <v>0.70926</v>
      </c>
      <c r="I19" s="202">
        <f t="shared" si="1"/>
        <v>4.0999999999999925E-3</v>
      </c>
      <c r="J19" s="201">
        <v>0.73521999999999998</v>
      </c>
      <c r="K19" s="199">
        <v>44132.558333333334</v>
      </c>
      <c r="L19" s="201">
        <v>0.70926</v>
      </c>
      <c r="M19" s="203">
        <f t="shared" si="2"/>
        <v>-4.1000000000000003E-3</v>
      </c>
      <c r="N19" s="204">
        <f t="shared" si="3"/>
        <v>-1</v>
      </c>
      <c r="O19" s="205">
        <f t="shared" si="4"/>
        <v>0</v>
      </c>
      <c r="P19" s="206">
        <f t="shared" si="5"/>
        <v>0</v>
      </c>
      <c r="Q19" s="206">
        <f t="shared" si="6"/>
        <v>-1</v>
      </c>
      <c r="R19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19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114780</v>
      </c>
      <c r="T19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118650</v>
      </c>
      <c r="U19" s="208">
        <f ca="1">IF(Tabla336106734814[[#This Row],[Equity]]&lt;Tabla336106734814[[#This Row],[Equity Peak]],(Tabla336106734814[[#This Row],[Equity Peak]]-Tabla336106734814[[#This Row],[Equity]])/Tabla336106734814[[#This Row],[Equity Peak]],"")</f>
        <v>3.2616940581542353E-2</v>
      </c>
      <c r="V19" s="209">
        <f t="shared" si="7"/>
        <v>-1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1.2249999999985448</v>
      </c>
      <c r="AE19" s="210">
        <f t="shared" si="16"/>
        <v>0</v>
      </c>
      <c r="AF19" s="210">
        <f t="shared" si="17"/>
        <v>1.2249999999985448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44119.5</v>
      </c>
      <c r="F20" s="200" t="s">
        <v>121</v>
      </c>
      <c r="G20" s="201">
        <v>0.70699999999999996</v>
      </c>
      <c r="H20" s="201">
        <v>0.71104999999999996</v>
      </c>
      <c r="I20" s="202">
        <f t="shared" si="1"/>
        <v>4.049999999999998E-3</v>
      </c>
      <c r="J20" s="201">
        <v>0.68542000000000003</v>
      </c>
      <c r="K20" s="199">
        <v>44123.525694444441</v>
      </c>
      <c r="L20" s="201">
        <v>0.71104999999999996</v>
      </c>
      <c r="M20" s="203">
        <f t="shared" si="2"/>
        <v>-4.1000000000000003E-3</v>
      </c>
      <c r="N20" s="204">
        <f t="shared" si="3"/>
        <v>-1.01</v>
      </c>
      <c r="O20" s="205">
        <f t="shared" si="4"/>
        <v>0</v>
      </c>
      <c r="P20" s="206">
        <f t="shared" si="5"/>
        <v>0</v>
      </c>
      <c r="Q20" s="206">
        <f t="shared" si="6"/>
        <v>-1.01</v>
      </c>
      <c r="R20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0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115780</v>
      </c>
      <c r="T20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118650</v>
      </c>
      <c r="U20" s="208">
        <f ca="1">IF(Tabla336106734814[[#This Row],[Equity]]&lt;Tabla336106734814[[#This Row],[Equity Peak]],(Tabla336106734814[[#This Row],[Equity Peak]]-Tabla336106734814[[#This Row],[Equity]])/Tabla336106734814[[#This Row],[Equity Peak]],"")</f>
        <v>2.4188790560471976E-2</v>
      </c>
      <c r="V20" s="209">
        <f t="shared" si="7"/>
        <v>-1.01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4.0256944444408873</v>
      </c>
      <c r="AE20" s="210">
        <f t="shared" si="16"/>
        <v>0</v>
      </c>
      <c r="AF20" s="210">
        <f t="shared" si="17"/>
        <v>4.0256944444408873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0"/>
        <v>C</v>
      </c>
      <c r="E21" s="199">
        <v>44113.333333333336</v>
      </c>
      <c r="F21" s="200" t="s">
        <v>121</v>
      </c>
      <c r="G21" s="201">
        <v>0.71782999999999997</v>
      </c>
      <c r="H21" s="201">
        <v>0.71487999999999996</v>
      </c>
      <c r="I21" s="202">
        <f t="shared" si="1"/>
        <v>2.9500000000000082E-3</v>
      </c>
      <c r="J21" s="201">
        <v>0.73357000000000006</v>
      </c>
      <c r="K21" s="199">
        <v>44117.144444444442</v>
      </c>
      <c r="L21" s="201">
        <v>0.71777999999999997</v>
      </c>
      <c r="M21" s="203">
        <f t="shared" si="2"/>
        <v>0</v>
      </c>
      <c r="N21" s="204">
        <f t="shared" si="3"/>
        <v>0</v>
      </c>
      <c r="O21" s="205">
        <f t="shared" si="4"/>
        <v>0</v>
      </c>
      <c r="P21" s="206">
        <f t="shared" si="5"/>
        <v>0</v>
      </c>
      <c r="Q21" s="206">
        <f t="shared" si="6"/>
        <v>0</v>
      </c>
      <c r="R21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1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116790</v>
      </c>
      <c r="T21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118650</v>
      </c>
      <c r="U21" s="208">
        <f ca="1">IF(Tabla336106734814[[#This Row],[Equity]]&lt;Tabla336106734814[[#This Row],[Equity Peak]],(Tabla336106734814[[#This Row],[Equity Peak]]-Tabla336106734814[[#This Row],[Equity]])/Tabla336106734814[[#This Row],[Equity Peak]],"")</f>
        <v>1.5676359039190898E-2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3.8111111111065838</v>
      </c>
      <c r="AE21" s="210">
        <f t="shared" si="16"/>
        <v>0</v>
      </c>
      <c r="AF21" s="210">
        <f t="shared" si="17"/>
        <v>0</v>
      </c>
      <c r="AG21" s="210">
        <f t="shared" si="18"/>
        <v>3.8111111111065838</v>
      </c>
    </row>
    <row r="22" spans="2:33" ht="15" customHeight="1" x14ac:dyDescent="0.3">
      <c r="B22" s="196" t="s">
        <v>7</v>
      </c>
      <c r="C22" s="197" t="s">
        <v>15</v>
      </c>
      <c r="D22" s="198" t="str">
        <f t="shared" si="0"/>
        <v>C</v>
      </c>
      <c r="E22" s="199">
        <v>44109.333333333336</v>
      </c>
      <c r="F22" s="200" t="s">
        <v>121</v>
      </c>
      <c r="G22" s="201">
        <v>0.71823000000000004</v>
      </c>
      <c r="H22" s="201">
        <v>0.71396999999999999</v>
      </c>
      <c r="I22" s="202">
        <f t="shared" si="1"/>
        <v>4.2600000000000415E-3</v>
      </c>
      <c r="J22" s="201">
        <v>0.74097000000000002</v>
      </c>
      <c r="K22" s="199">
        <v>44110.90902777778</v>
      </c>
      <c r="L22" s="201">
        <v>0.71396999999999999</v>
      </c>
      <c r="M22" s="203">
        <f t="shared" si="2"/>
        <v>-4.3E-3</v>
      </c>
      <c r="N22" s="204">
        <f t="shared" si="3"/>
        <v>-1.01</v>
      </c>
      <c r="O22" s="205">
        <f t="shared" si="4"/>
        <v>0</v>
      </c>
      <c r="P22" s="206">
        <f t="shared" si="5"/>
        <v>0</v>
      </c>
      <c r="Q22" s="206">
        <f t="shared" si="6"/>
        <v>-1.01</v>
      </c>
      <c r="R22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2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116790</v>
      </c>
      <c r="T22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118650</v>
      </c>
      <c r="U22" s="208">
        <f ca="1">IF(Tabla336106734814[[#This Row],[Equity]]&lt;Tabla336106734814[[#This Row],[Equity Peak]],(Tabla336106734814[[#This Row],[Equity Peak]]-Tabla336106734814[[#This Row],[Equity]])/Tabla336106734814[[#This Row],[Equity Peak]],"")</f>
        <v>1.5676359039190898E-2</v>
      </c>
      <c r="V22" s="209">
        <f t="shared" si="7"/>
        <v>-1.01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1.5756944444437977</v>
      </c>
      <c r="AE22" s="210">
        <f t="shared" si="16"/>
        <v>0</v>
      </c>
      <c r="AF22" s="210">
        <f t="shared" si="17"/>
        <v>1.5756944444437977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44088.833333333336</v>
      </c>
      <c r="F23" s="200" t="s">
        <v>121</v>
      </c>
      <c r="G23" s="201">
        <v>0.72935000000000005</v>
      </c>
      <c r="H23" s="201">
        <v>0.72545000000000004</v>
      </c>
      <c r="I23" s="202">
        <f t="shared" si="1"/>
        <v>3.9000000000000146E-3</v>
      </c>
      <c r="J23" s="201">
        <v>0.75016000000000005</v>
      </c>
      <c r="K23" s="199">
        <v>44091.29583333333</v>
      </c>
      <c r="L23" s="201">
        <v>0.72604000000000002</v>
      </c>
      <c r="M23" s="203">
        <f t="shared" si="2"/>
        <v>-3.3E-3</v>
      </c>
      <c r="N23" s="204">
        <f t="shared" si="3"/>
        <v>-0.85</v>
      </c>
      <c r="O23" s="205">
        <f t="shared" si="4"/>
        <v>0</v>
      </c>
      <c r="P23" s="206">
        <f t="shared" si="5"/>
        <v>0</v>
      </c>
      <c r="Q23" s="206">
        <f t="shared" si="6"/>
        <v>-0.85</v>
      </c>
      <c r="R23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3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117800</v>
      </c>
      <c r="T23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118650</v>
      </c>
      <c r="U23" s="208">
        <f ca="1">IF(Tabla336106734814[[#This Row],[Equity]]&lt;Tabla336106734814[[#This Row],[Equity Peak]],(Tabla336106734814[[#This Row],[Equity Peak]]-Tabla336106734814[[#This Row],[Equity]])/Tabla336106734814[[#This Row],[Equity Peak]],"")</f>
        <v>7.1639275179098188E-3</v>
      </c>
      <c r="V23" s="209">
        <f t="shared" si="7"/>
        <v>-0.85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2.4624999999941792</v>
      </c>
      <c r="AE23" s="210">
        <f t="shared" si="16"/>
        <v>0</v>
      </c>
      <c r="AF23" s="210">
        <f t="shared" si="17"/>
        <v>2.4624999999941792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44069.5</v>
      </c>
      <c r="F24" s="200" t="s">
        <v>121</v>
      </c>
      <c r="G24" s="201">
        <v>0.72067999999999999</v>
      </c>
      <c r="H24" s="201">
        <v>0.71716000000000002</v>
      </c>
      <c r="I24" s="202">
        <f t="shared" si="1"/>
        <v>3.5199999999999676E-3</v>
      </c>
      <c r="J24" s="201">
        <v>0.73946000000000001</v>
      </c>
      <c r="K24" s="199">
        <v>44074.744444444441</v>
      </c>
      <c r="L24" s="201">
        <v>0.73946000000000001</v>
      </c>
      <c r="M24" s="203">
        <f t="shared" si="2"/>
        <v>1.8800000000000001E-2</v>
      </c>
      <c r="N24" s="204">
        <f t="shared" si="3"/>
        <v>5.34</v>
      </c>
      <c r="O24" s="205">
        <f t="shared" si="4"/>
        <v>0</v>
      </c>
      <c r="P24" s="206">
        <f t="shared" si="5"/>
        <v>5.34</v>
      </c>
      <c r="Q24" s="206">
        <f t="shared" si="6"/>
        <v>0</v>
      </c>
      <c r="R24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4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118650</v>
      </c>
      <c r="T24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118650</v>
      </c>
      <c r="U24" s="208" t="str">
        <f ca="1">IF(Tabla336106734814[[#This Row],[Equity]]&lt;Tabla336106734814[[#This Row],[Equity Peak]],(Tabla336106734814[[#This Row],[Equity Peak]]-Tabla336106734814[[#This Row],[Equity]])/Tabla336106734814[[#This Row],[Equity Peak]],"")</f>
        <v/>
      </c>
      <c r="V24" s="209">
        <f t="shared" si="7"/>
        <v>5.34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5.2444444444408873</v>
      </c>
      <c r="AE24" s="210">
        <f t="shared" si="16"/>
        <v>5.2444444444408873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15</v>
      </c>
      <c r="D25" s="198" t="str">
        <f t="shared" si="0"/>
        <v>C</v>
      </c>
      <c r="E25" s="199">
        <v>44067.666666666664</v>
      </c>
      <c r="F25" s="200" t="s">
        <v>121</v>
      </c>
      <c r="G25" s="201">
        <v>0.71957000000000004</v>
      </c>
      <c r="H25" s="201">
        <v>0.71511999999999998</v>
      </c>
      <c r="I25" s="202">
        <f t="shared" si="1"/>
        <v>4.450000000000065E-3</v>
      </c>
      <c r="J25" s="201">
        <v>0.74331999999999998</v>
      </c>
      <c r="K25" s="199">
        <v>44068.489583333336</v>
      </c>
      <c r="L25" s="201">
        <v>0.71511999999999998</v>
      </c>
      <c r="M25" s="203">
        <f t="shared" si="2"/>
        <v>-4.4999999999999997E-3</v>
      </c>
      <c r="N25" s="204">
        <f t="shared" si="3"/>
        <v>-1.01</v>
      </c>
      <c r="O25" s="205">
        <f t="shared" si="4"/>
        <v>0</v>
      </c>
      <c r="P25" s="206">
        <f t="shared" si="5"/>
        <v>0</v>
      </c>
      <c r="Q25" s="206">
        <f t="shared" si="6"/>
        <v>-1.01</v>
      </c>
      <c r="R25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5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113310</v>
      </c>
      <c r="T25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115320</v>
      </c>
      <c r="U25" s="208">
        <f ca="1">IF(Tabla336106734814[[#This Row],[Equity]]&lt;Tabla336106734814[[#This Row],[Equity Peak]],(Tabla336106734814[[#This Row],[Equity Peak]]-Tabla336106734814[[#This Row],[Equity]])/Tabla336106734814[[#This Row],[Equity Peak]],"")</f>
        <v>1.7429760665972946E-2</v>
      </c>
      <c r="V25" s="209">
        <f t="shared" si="7"/>
        <v>-1.01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0.82291666667151731</v>
      </c>
      <c r="AE25" s="210">
        <f t="shared" si="16"/>
        <v>0</v>
      </c>
      <c r="AF25" s="210">
        <f t="shared" si="17"/>
        <v>0.82291666667151731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15</v>
      </c>
      <c r="D26" s="198" t="str">
        <f t="shared" si="0"/>
        <v>C</v>
      </c>
      <c r="E26" s="199">
        <v>44057.833333333336</v>
      </c>
      <c r="F26" s="200" t="s">
        <v>121</v>
      </c>
      <c r="G26" s="201">
        <v>0.71731999999999996</v>
      </c>
      <c r="H26" s="201">
        <v>0.71367999999999998</v>
      </c>
      <c r="I26" s="202">
        <f t="shared" si="1"/>
        <v>3.6399999999999766E-3</v>
      </c>
      <c r="J26" s="201">
        <v>0.73670999999999998</v>
      </c>
      <c r="K26" s="199">
        <v>44063.002083333333</v>
      </c>
      <c r="L26" s="201">
        <v>0.71726999999999996</v>
      </c>
      <c r="M26" s="203">
        <f t="shared" si="2"/>
        <v>0</v>
      </c>
      <c r="N26" s="204">
        <f t="shared" si="3"/>
        <v>0</v>
      </c>
      <c r="O26" s="205">
        <f t="shared" si="4"/>
        <v>0</v>
      </c>
      <c r="P26" s="206">
        <f t="shared" si="5"/>
        <v>0</v>
      </c>
      <c r="Q26" s="206">
        <f t="shared" si="6"/>
        <v>0</v>
      </c>
      <c r="R26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6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114320</v>
      </c>
      <c r="T26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115320</v>
      </c>
      <c r="U26" s="208">
        <f ca="1">IF(Tabla336106734814[[#This Row],[Equity]]&lt;Tabla336106734814[[#This Row],[Equity Peak]],(Tabla336106734814[[#This Row],[Equity Peak]]-Tabla336106734814[[#This Row],[Equity]])/Tabla336106734814[[#This Row],[Equity Peak]],"")</f>
        <v>8.6715227193895246E-3</v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5.1687499999970896</v>
      </c>
      <c r="AE26" s="210">
        <f t="shared" si="16"/>
        <v>0</v>
      </c>
      <c r="AF26" s="210">
        <f t="shared" si="17"/>
        <v>0</v>
      </c>
      <c r="AG26" s="210">
        <f t="shared" si="18"/>
        <v>5.1687499999970896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44048.666666666664</v>
      </c>
      <c r="F27" s="200" t="s">
        <v>121</v>
      </c>
      <c r="G27" s="201">
        <v>0.72282000000000002</v>
      </c>
      <c r="H27" s="201">
        <v>0.71809999999999996</v>
      </c>
      <c r="I27" s="202">
        <f t="shared" si="1"/>
        <v>4.7200000000000575E-3</v>
      </c>
      <c r="J27" s="201">
        <v>0.74797999999999998</v>
      </c>
      <c r="K27" s="199">
        <v>44049.469444444447</v>
      </c>
      <c r="L27" s="201">
        <v>0.71809999999999996</v>
      </c>
      <c r="M27" s="203">
        <f t="shared" si="2"/>
        <v>-4.7000000000000002E-3</v>
      </c>
      <c r="N27" s="204">
        <f t="shared" si="3"/>
        <v>-1</v>
      </c>
      <c r="O27" s="205">
        <f t="shared" si="4"/>
        <v>0</v>
      </c>
      <c r="P27" s="206">
        <f t="shared" si="5"/>
        <v>0</v>
      </c>
      <c r="Q27" s="206">
        <f t="shared" si="6"/>
        <v>-1</v>
      </c>
      <c r="R27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7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114320</v>
      </c>
      <c r="T27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115320</v>
      </c>
      <c r="U27" s="208">
        <f ca="1">IF(Tabla336106734814[[#This Row],[Equity]]&lt;Tabla336106734814[[#This Row],[Equity Peak]],(Tabla336106734814[[#This Row],[Equity Peak]]-Tabla336106734814[[#This Row],[Equity]])/Tabla336106734814[[#This Row],[Equity Peak]],"")</f>
        <v>8.6715227193895246E-3</v>
      </c>
      <c r="V27" s="209">
        <f t="shared" si="7"/>
        <v>-1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0.80277777778246673</v>
      </c>
      <c r="AE27" s="210">
        <f t="shared" si="16"/>
        <v>0</v>
      </c>
      <c r="AF27" s="210">
        <f t="shared" si="17"/>
        <v>0.80277777778246673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15</v>
      </c>
      <c r="D28" s="198" t="str">
        <f t="shared" si="0"/>
        <v>C</v>
      </c>
      <c r="E28" s="199">
        <v>44013.5</v>
      </c>
      <c r="F28" s="200" t="s">
        <v>121</v>
      </c>
      <c r="G28" s="201">
        <v>0.69133</v>
      </c>
      <c r="H28" s="201">
        <v>0.68723999999999996</v>
      </c>
      <c r="I28" s="202">
        <f t="shared" si="1"/>
        <v>4.090000000000038E-3</v>
      </c>
      <c r="J28" s="201">
        <v>0.71314</v>
      </c>
      <c r="K28" s="199">
        <v>44033.86041666667</v>
      </c>
      <c r="L28" s="201">
        <v>0.71314</v>
      </c>
      <c r="M28" s="203">
        <f t="shared" si="2"/>
        <v>2.18E-2</v>
      </c>
      <c r="N28" s="204">
        <f t="shared" si="3"/>
        <v>5.33</v>
      </c>
      <c r="O28" s="205">
        <f t="shared" si="4"/>
        <v>0</v>
      </c>
      <c r="P28" s="206">
        <f t="shared" si="5"/>
        <v>5.33</v>
      </c>
      <c r="Q28" s="206">
        <f t="shared" si="6"/>
        <v>0</v>
      </c>
      <c r="R28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8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115320</v>
      </c>
      <c r="T28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115320</v>
      </c>
      <c r="U28" s="208" t="str">
        <f ca="1">IF(Tabla336106734814[[#This Row],[Equity]]&lt;Tabla336106734814[[#This Row],[Equity Peak]],(Tabla336106734814[[#This Row],[Equity Peak]]-Tabla336106734814[[#This Row],[Equity]])/Tabla336106734814[[#This Row],[Equity Peak]],"")</f>
        <v/>
      </c>
      <c r="V28" s="209">
        <f t="shared" si="7"/>
        <v>5.33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20.360416666670062</v>
      </c>
      <c r="AE28" s="210">
        <f t="shared" si="16"/>
        <v>20.360416666670062</v>
      </c>
      <c r="AF28" s="210">
        <f t="shared" si="17"/>
        <v>0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0"/>
        <v>C</v>
      </c>
      <c r="E29" s="199">
        <v>44005.017361111109</v>
      </c>
      <c r="F29" s="200" t="s">
        <v>121</v>
      </c>
      <c r="G29" s="201">
        <v>0.69016</v>
      </c>
      <c r="H29" s="201">
        <v>0.68506999999999996</v>
      </c>
      <c r="I29" s="202">
        <f t="shared" si="1"/>
        <v>5.0900000000000389E-3</v>
      </c>
      <c r="J29" s="201">
        <v>0.71728999999999998</v>
      </c>
      <c r="K29" s="199">
        <v>44007.129861111112</v>
      </c>
      <c r="L29" s="201">
        <v>0.68506999999999996</v>
      </c>
      <c r="M29" s="203">
        <f t="shared" si="2"/>
        <v>-5.1000000000000004E-3</v>
      </c>
      <c r="N29" s="204">
        <f t="shared" si="3"/>
        <v>-1</v>
      </c>
      <c r="O29" s="205">
        <f t="shared" si="4"/>
        <v>0</v>
      </c>
      <c r="P29" s="206">
        <f t="shared" si="5"/>
        <v>0</v>
      </c>
      <c r="Q29" s="206">
        <f t="shared" si="6"/>
        <v>-1</v>
      </c>
      <c r="R29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9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109990</v>
      </c>
      <c r="T29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111990</v>
      </c>
      <c r="U29" s="208">
        <f ca="1">IF(Tabla336106734814[[#This Row],[Equity]]&lt;Tabla336106734814[[#This Row],[Equity Peak]],(Tabla336106734814[[#This Row],[Equity Peak]]-Tabla336106734814[[#This Row],[Equity]])/Tabla336106734814[[#This Row],[Equity Peak]],"")</f>
        <v>1.7858737387266722E-2</v>
      </c>
      <c r="V29" s="209">
        <f t="shared" si="7"/>
        <v>-1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2.1125000000029104</v>
      </c>
      <c r="AE29" s="210">
        <f t="shared" si="16"/>
        <v>0</v>
      </c>
      <c r="AF29" s="210">
        <f t="shared" si="17"/>
        <v>2.1125000000029104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44001.666666666664</v>
      </c>
      <c r="F30" s="200" t="s">
        <v>121</v>
      </c>
      <c r="G30" s="201">
        <v>0.69042999999999999</v>
      </c>
      <c r="H30" s="201">
        <v>0.68474999999999997</v>
      </c>
      <c r="I30" s="202">
        <f t="shared" si="1"/>
        <v>5.6800000000000184E-3</v>
      </c>
      <c r="J30" s="201">
        <v>0.72074000000000005</v>
      </c>
      <c r="K30" s="199">
        <v>44001.79791666667</v>
      </c>
      <c r="L30" s="201">
        <v>0.68474999999999997</v>
      </c>
      <c r="M30" s="203">
        <f t="shared" si="2"/>
        <v>-5.7000000000000002E-3</v>
      </c>
      <c r="N30" s="204">
        <f t="shared" si="3"/>
        <v>-1</v>
      </c>
      <c r="O30" s="205">
        <f t="shared" si="4"/>
        <v>0</v>
      </c>
      <c r="P30" s="206">
        <f t="shared" si="5"/>
        <v>0</v>
      </c>
      <c r="Q30" s="206">
        <f t="shared" si="6"/>
        <v>-1</v>
      </c>
      <c r="R30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0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110990</v>
      </c>
      <c r="T30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111990</v>
      </c>
      <c r="U30" s="208">
        <f ca="1">IF(Tabla336106734814[[#This Row],[Equity]]&lt;Tabla336106734814[[#This Row],[Equity Peak]],(Tabla336106734814[[#This Row],[Equity Peak]]-Tabla336106734814[[#This Row],[Equity]])/Tabla336106734814[[#This Row],[Equity Peak]],"")</f>
        <v>8.9293686936333608E-3</v>
      </c>
      <c r="V30" s="209">
        <f t="shared" si="7"/>
        <v>-1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0.13125000000582077</v>
      </c>
      <c r="AE30" s="210">
        <f t="shared" si="16"/>
        <v>0</v>
      </c>
      <c r="AF30" s="210">
        <f t="shared" si="17"/>
        <v>0.13125000000582077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15</v>
      </c>
      <c r="D31" s="198" t="str">
        <f t="shared" si="0"/>
        <v>C</v>
      </c>
      <c r="E31" s="199">
        <v>43970.017361111109</v>
      </c>
      <c r="F31" s="200" t="s">
        <v>121</v>
      </c>
      <c r="G31" s="201">
        <v>0.65183999999999997</v>
      </c>
      <c r="H31" s="201">
        <v>0.64712999999999998</v>
      </c>
      <c r="I31" s="202">
        <f t="shared" si="1"/>
        <v>4.709999999999992E-3</v>
      </c>
      <c r="J31" s="201">
        <v>0.67696000000000001</v>
      </c>
      <c r="K31" s="199">
        <v>43983.450694444444</v>
      </c>
      <c r="L31" s="201">
        <v>0.67696000000000001</v>
      </c>
      <c r="M31" s="203">
        <f t="shared" si="2"/>
        <v>2.5100000000000001E-2</v>
      </c>
      <c r="N31" s="204">
        <f t="shared" si="3"/>
        <v>5.33</v>
      </c>
      <c r="O31" s="205">
        <f t="shared" si="4"/>
        <v>0</v>
      </c>
      <c r="P31" s="206">
        <f t="shared" si="5"/>
        <v>5.33</v>
      </c>
      <c r="Q31" s="206">
        <f t="shared" si="6"/>
        <v>0</v>
      </c>
      <c r="R31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1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111990</v>
      </c>
      <c r="T31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111990</v>
      </c>
      <c r="U31" s="208" t="str">
        <f ca="1">IF(Tabla336106734814[[#This Row],[Equity]]&lt;Tabla336106734814[[#This Row],[Equity Peak]],(Tabla336106734814[[#This Row],[Equity Peak]]-Tabla336106734814[[#This Row],[Equity]])/Tabla336106734814[[#This Row],[Equity Peak]],"")</f>
        <v/>
      </c>
      <c r="V31" s="209">
        <f t="shared" si="7"/>
        <v>5.33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13.433333333334303</v>
      </c>
      <c r="AE31" s="210">
        <f t="shared" si="16"/>
        <v>13.433333333334303</v>
      </c>
      <c r="AF31" s="210">
        <f t="shared" si="17"/>
        <v>0</v>
      </c>
      <c r="AG31" s="210">
        <f t="shared" si="18"/>
        <v>0</v>
      </c>
    </row>
    <row r="32" spans="2:33" ht="15" customHeight="1" x14ac:dyDescent="0.3">
      <c r="B32" s="196" t="s">
        <v>7</v>
      </c>
      <c r="C32" s="197" t="s">
        <v>13</v>
      </c>
      <c r="D32" s="198" t="str">
        <f t="shared" si="0"/>
        <v>C</v>
      </c>
      <c r="E32" s="199">
        <v>43966.833333333336</v>
      </c>
      <c r="F32" s="200" t="s">
        <v>121</v>
      </c>
      <c r="G32" s="201">
        <v>0.64097000000000004</v>
      </c>
      <c r="H32" s="201">
        <v>0.64654</v>
      </c>
      <c r="I32" s="202">
        <f t="shared" si="1"/>
        <v>5.5699999999999639E-3</v>
      </c>
      <c r="J32" s="201">
        <v>0.61128000000000005</v>
      </c>
      <c r="K32" s="199">
        <v>43969.580555555556</v>
      </c>
      <c r="L32" s="201">
        <v>0.64654</v>
      </c>
      <c r="M32" s="203">
        <f t="shared" si="2"/>
        <v>-5.5999999999999999E-3</v>
      </c>
      <c r="N32" s="204">
        <f t="shared" si="3"/>
        <v>-1.01</v>
      </c>
      <c r="O32" s="205">
        <f t="shared" si="4"/>
        <v>0</v>
      </c>
      <c r="P32" s="206">
        <f t="shared" si="5"/>
        <v>0</v>
      </c>
      <c r="Q32" s="206">
        <f t="shared" si="6"/>
        <v>-1.01</v>
      </c>
      <c r="R32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2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106660</v>
      </c>
      <c r="T32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108670</v>
      </c>
      <c r="U32" s="208">
        <f ca="1">IF(Tabla336106734814[[#This Row],[Equity]]&lt;Tabla336106734814[[#This Row],[Equity Peak]],(Tabla336106734814[[#This Row],[Equity Peak]]-Tabla336106734814[[#This Row],[Equity]])/Tabla336106734814[[#This Row],[Equity Peak]],"")</f>
        <v>1.8496365142173551E-2</v>
      </c>
      <c r="V32" s="209">
        <f t="shared" si="7"/>
        <v>-1.01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2.7472222222204437</v>
      </c>
      <c r="AE32" s="210">
        <f t="shared" si="16"/>
        <v>0</v>
      </c>
      <c r="AF32" s="210">
        <f t="shared" si="17"/>
        <v>2.7472222222204437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0"/>
        <v>C</v>
      </c>
      <c r="E33" s="199">
        <v>43924.666666666664</v>
      </c>
      <c r="F33" s="200" t="s">
        <v>121</v>
      </c>
      <c r="G33" s="201">
        <v>0.59938999999999998</v>
      </c>
      <c r="H33" s="201">
        <v>0.60718000000000005</v>
      </c>
      <c r="I33" s="202">
        <f t="shared" si="1"/>
        <v>7.7900000000000746E-3</v>
      </c>
      <c r="J33" s="201">
        <v>0.55786999999999998</v>
      </c>
      <c r="K33" s="199">
        <v>43927.575694444444</v>
      </c>
      <c r="L33" s="201">
        <v>0.60718000000000005</v>
      </c>
      <c r="M33" s="203">
        <f t="shared" si="2"/>
        <v>-7.7999999999999996E-3</v>
      </c>
      <c r="N33" s="204">
        <f t="shared" si="3"/>
        <v>-1</v>
      </c>
      <c r="O33" s="205">
        <f t="shared" si="4"/>
        <v>0</v>
      </c>
      <c r="P33" s="206">
        <f t="shared" si="5"/>
        <v>0</v>
      </c>
      <c r="Q33" s="206">
        <f t="shared" si="6"/>
        <v>-1</v>
      </c>
      <c r="R33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3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107670</v>
      </c>
      <c r="T33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108670</v>
      </c>
      <c r="U33" s="208">
        <f ca="1">IF(Tabla336106734814[[#This Row],[Equity]]&lt;Tabla336106734814[[#This Row],[Equity Peak]],(Tabla336106734814[[#This Row],[Equity Peak]]-Tabla336106734814[[#This Row],[Equity]])/Tabla336106734814[[#This Row],[Equity Peak]],"")</f>
        <v>9.2021717125241563E-3</v>
      </c>
      <c r="V33" s="209">
        <f t="shared" si="7"/>
        <v>-1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2.9090277777795563</v>
      </c>
      <c r="AE33" s="210">
        <f t="shared" si="16"/>
        <v>0</v>
      </c>
      <c r="AF33" s="210">
        <f t="shared" si="17"/>
        <v>2.9090277777795563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13</v>
      </c>
      <c r="D34" s="198" t="str">
        <f t="shared" si="0"/>
        <v>C</v>
      </c>
      <c r="E34" s="199">
        <v>43900.333333333336</v>
      </c>
      <c r="F34" s="200" t="s">
        <v>121</v>
      </c>
      <c r="G34" s="201">
        <v>0.65659999999999996</v>
      </c>
      <c r="H34" s="201">
        <v>0.66588999999999998</v>
      </c>
      <c r="I34" s="202">
        <f t="shared" si="1"/>
        <v>9.2900000000000205E-3</v>
      </c>
      <c r="J34" s="201">
        <v>0.60707</v>
      </c>
      <c r="K34" s="199">
        <v>43907.44027777778</v>
      </c>
      <c r="L34" s="201">
        <v>0.60707</v>
      </c>
      <c r="M34" s="203">
        <f t="shared" si="2"/>
        <v>4.9500000000000002E-2</v>
      </c>
      <c r="N34" s="204">
        <f t="shared" si="3"/>
        <v>5.33</v>
      </c>
      <c r="O34" s="205">
        <f t="shared" si="4"/>
        <v>0</v>
      </c>
      <c r="P34" s="206">
        <f t="shared" si="5"/>
        <v>5.33</v>
      </c>
      <c r="Q34" s="206">
        <f t="shared" si="6"/>
        <v>0</v>
      </c>
      <c r="R34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4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108670</v>
      </c>
      <c r="T34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108670</v>
      </c>
      <c r="U34" s="208" t="str">
        <f ca="1">IF(Tabla336106734814[[#This Row],[Equity]]&lt;Tabla336106734814[[#This Row],[Equity Peak]],(Tabla336106734814[[#This Row],[Equity Peak]]-Tabla336106734814[[#This Row],[Equity]])/Tabla336106734814[[#This Row],[Equity Peak]],"")</f>
        <v/>
      </c>
      <c r="V34" s="209">
        <f t="shared" si="7"/>
        <v>5.33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7.1069444444437977</v>
      </c>
      <c r="AE34" s="210">
        <f t="shared" si="16"/>
        <v>7.1069444444437977</v>
      </c>
      <c r="AF34" s="210">
        <f t="shared" si="17"/>
        <v>0</v>
      </c>
      <c r="AG34" s="210">
        <f t="shared" si="18"/>
        <v>0</v>
      </c>
    </row>
    <row r="35" spans="2:33" ht="15" customHeight="1" x14ac:dyDescent="0.3">
      <c r="B35" s="196" t="s">
        <v>7</v>
      </c>
      <c r="C35" s="197" t="s">
        <v>13</v>
      </c>
      <c r="D35" s="198" t="str">
        <f t="shared" si="0"/>
        <v>C</v>
      </c>
      <c r="E35" s="199">
        <v>43881.166666666664</v>
      </c>
      <c r="F35" s="200" t="s">
        <v>121</v>
      </c>
      <c r="G35" s="201">
        <v>0.66471999999999998</v>
      </c>
      <c r="H35" s="201">
        <v>0.66742999999999997</v>
      </c>
      <c r="I35" s="202">
        <f t="shared" si="1"/>
        <v>2.7099999999999902E-3</v>
      </c>
      <c r="J35" s="201">
        <v>0.65027000000000001</v>
      </c>
      <c r="K35" s="199">
        <v>43889.603472222225</v>
      </c>
      <c r="L35" s="201">
        <v>0.65027000000000001</v>
      </c>
      <c r="M35" s="203">
        <f t="shared" si="2"/>
        <v>1.4500000000000001E-2</v>
      </c>
      <c r="N35" s="204">
        <f t="shared" si="3"/>
        <v>5.35</v>
      </c>
      <c r="O35" s="205">
        <f t="shared" si="4"/>
        <v>0</v>
      </c>
      <c r="P35" s="206">
        <f t="shared" si="5"/>
        <v>5.35</v>
      </c>
      <c r="Q35" s="206">
        <f t="shared" si="6"/>
        <v>0</v>
      </c>
      <c r="R35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5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103340</v>
      </c>
      <c r="T35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103340</v>
      </c>
      <c r="U35" s="208" t="str">
        <f ca="1">IF(Tabla336106734814[[#This Row],[Equity]]&lt;Tabla336106734814[[#This Row],[Equity Peak]],(Tabla336106734814[[#This Row],[Equity Peak]]-Tabla336106734814[[#This Row],[Equity]])/Tabla336106734814[[#This Row],[Equity Peak]],"")</f>
        <v/>
      </c>
      <c r="V35" s="209">
        <f t="shared" si="7"/>
        <v>5.35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8.4368055555605679</v>
      </c>
      <c r="AE35" s="210">
        <f t="shared" si="16"/>
        <v>8.4368055555605679</v>
      </c>
      <c r="AF35" s="210">
        <f t="shared" si="17"/>
        <v>0</v>
      </c>
      <c r="AG35" s="210">
        <f t="shared" si="18"/>
        <v>0</v>
      </c>
    </row>
    <row r="36" spans="2:33" ht="15" customHeight="1" x14ac:dyDescent="0.3">
      <c r="B36" s="196" t="s">
        <v>7</v>
      </c>
      <c r="C36" s="197" t="s">
        <v>13</v>
      </c>
      <c r="D36" s="198" t="str">
        <f t="shared" si="0"/>
        <v>C</v>
      </c>
      <c r="E36" s="199">
        <v>43868.666666666664</v>
      </c>
      <c r="F36" s="200" t="s">
        <v>121</v>
      </c>
      <c r="G36" s="201">
        <v>0.66747000000000001</v>
      </c>
      <c r="H36" s="201">
        <v>0.67064999999999997</v>
      </c>
      <c r="I36" s="202">
        <f t="shared" si="1"/>
        <v>3.1799999999999606E-3</v>
      </c>
      <c r="J36" s="201">
        <v>0.65051999999999999</v>
      </c>
      <c r="K36" s="199">
        <v>43871.370138888888</v>
      </c>
      <c r="L36" s="201">
        <v>0.67064999999999997</v>
      </c>
      <c r="M36" s="203">
        <f t="shared" si="2"/>
        <v>-3.2000000000000002E-3</v>
      </c>
      <c r="N36" s="204">
        <f t="shared" si="3"/>
        <v>-1.01</v>
      </c>
      <c r="O36" s="205">
        <f t="shared" si="4"/>
        <v>0</v>
      </c>
      <c r="P36" s="206">
        <f t="shared" si="5"/>
        <v>0</v>
      </c>
      <c r="Q36" s="206">
        <f t="shared" si="6"/>
        <v>-1.01</v>
      </c>
      <c r="R36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Yes</v>
      </c>
      <c r="S36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97990</v>
      </c>
      <c r="T36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100000</v>
      </c>
      <c r="U36" s="208">
        <f ca="1">IF(Tabla336106734814[[#This Row],[Equity]]&lt;Tabla336106734814[[#This Row],[Equity Peak]],(Tabla336106734814[[#This Row],[Equity Peak]]-Tabla336106734814[[#This Row],[Equity]])/Tabla336106734814[[#This Row],[Equity Peak]],"")</f>
        <v>2.01E-2</v>
      </c>
      <c r="V36" s="209">
        <f t="shared" si="7"/>
        <v>-1.01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2.703472222223354</v>
      </c>
      <c r="AE36" s="210">
        <f t="shared" si="16"/>
        <v>0</v>
      </c>
      <c r="AF36" s="210">
        <f t="shared" si="17"/>
        <v>2.703472222223354</v>
      </c>
      <c r="AG36" s="210">
        <f t="shared" si="18"/>
        <v>0</v>
      </c>
    </row>
    <row r="37" spans="2:33" ht="15" customHeight="1" x14ac:dyDescent="0.3">
      <c r="B37" s="196" t="s">
        <v>7</v>
      </c>
      <c r="C37" s="197" t="s">
        <v>13</v>
      </c>
      <c r="D37" s="198" t="str">
        <f t="shared" si="0"/>
        <v>C</v>
      </c>
      <c r="E37" s="199">
        <v>43860.666666666664</v>
      </c>
      <c r="F37" s="200" t="s">
        <v>121</v>
      </c>
      <c r="G37" s="201">
        <v>0.67183999999999999</v>
      </c>
      <c r="H37" s="201">
        <v>0.67444999999999999</v>
      </c>
      <c r="I37" s="202">
        <f t="shared" si="1"/>
        <v>2.6100000000000012E-3</v>
      </c>
      <c r="J37" s="201">
        <v>0.65791999999999995</v>
      </c>
      <c r="K37" s="199">
        <v>43866.201388888891</v>
      </c>
      <c r="L37" s="201">
        <v>0.67444999999999999</v>
      </c>
      <c r="M37" s="203">
        <f t="shared" si="2"/>
        <v>-2.5999999999999999E-3</v>
      </c>
      <c r="N37" s="204">
        <f t="shared" si="3"/>
        <v>-1</v>
      </c>
      <c r="O37" s="205">
        <f t="shared" si="4"/>
        <v>0</v>
      </c>
      <c r="P37" s="206">
        <f t="shared" si="5"/>
        <v>0</v>
      </c>
      <c r="Q37" s="206">
        <f t="shared" si="6"/>
        <v>-1</v>
      </c>
      <c r="R37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Yes</v>
      </c>
      <c r="S37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99000</v>
      </c>
      <c r="T37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100000</v>
      </c>
      <c r="U37" s="208">
        <f ca="1">IF(Tabla336106734814[[#This Row],[Equity]]&lt;Tabla336106734814[[#This Row],[Equity Peak]],(Tabla336106734814[[#This Row],[Equity Peak]]-Tabla336106734814[[#This Row],[Equity]])/Tabla336106734814[[#This Row],[Equity Peak]],"")</f>
        <v>0.01</v>
      </c>
      <c r="V37" s="209">
        <f t="shared" si="7"/>
        <v>-1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5.5347222222262644</v>
      </c>
      <c r="AE37" s="210">
        <f t="shared" si="16"/>
        <v>0</v>
      </c>
      <c r="AF37" s="210">
        <f t="shared" si="17"/>
        <v>5.5347222222262644</v>
      </c>
      <c r="AG37" s="210">
        <f t="shared" si="18"/>
        <v>0</v>
      </c>
    </row>
  </sheetData>
  <sheetProtection algorithmName="SHA-512" hashValue="at5TTyskvwvxzRYGqAO069iT0a8RW+gFVf8+St4+brngxGCInPglfsSHYvXuwpcJZMZeiBdBQfv+KDZa0plk7A==" saltValue="7DCGFLV6dFGFic0i2IqSQ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839" priority="3" operator="equal">
      <formula>"OK"</formula>
    </cfRule>
    <cfRule type="cellIs" dxfId="838" priority="4" operator="equal">
      <formula>"warning"</formula>
    </cfRule>
  </conditionalFormatting>
  <conditionalFormatting sqref="F13">
    <cfRule type="cellIs" dxfId="837" priority="1" operator="equal">
      <formula>"OK"</formula>
    </cfRule>
    <cfRule type="cellIs" dxfId="836" priority="2" operator="equal">
      <formula>"Error!!"</formula>
    </cfRule>
  </conditionalFormatting>
  <conditionalFormatting sqref="E15:H15 K15:L15">
    <cfRule type="expression" dxfId="835" priority="5">
      <formula>+$D15=#REF!</formula>
    </cfRule>
    <cfRule type="expression" dxfId="834" priority="6">
      <formula>+$D15=#REF!</formula>
    </cfRule>
  </conditionalFormatting>
  <conditionalFormatting sqref="D15 K16:L16 D16:H37 J17:L37">
    <cfRule type="expression" dxfId="833" priority="7">
      <formula>+$D15=$AG$8</formula>
    </cfRule>
    <cfRule type="expression" dxfId="83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1B0E86E7-AA74-4F77-8A53-CE4E8C11CDB7}">
      <formula1>$AE$4:$AE$6</formula1>
    </dataValidation>
    <dataValidation type="list" allowBlank="1" showInputMessage="1" showErrorMessage="1" promptTitle="Trade Direction" prompt="Select from List" sqref="C15:C16" xr:uid="{63A65E5F-B023-4B6E-928F-F2F594D9B5B2}">
      <formula1>$AG$4:$AG$5</formula1>
    </dataValidation>
    <dataValidation type="list" allowBlank="1" showInputMessage="1" showErrorMessage="1" promptTitle="Instrument Type" prompt="Select Type from List_x000a_" sqref="B17:B37" xr:uid="{3D23378C-5B30-48F2-96E1-64D7629B8A44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B706-A3BD-43E2-BE2F-6DCC54C96192}">
  <sheetPr codeName="Hoja25">
    <pageSetUpPr fitToPage="1"/>
  </sheetPr>
  <dimension ref="A1:AX63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COUNTA(Tabla336106734819[Inst])</f>
        <v>47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21.509999999999994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21.509999999999994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COUNTIF(Tabla336106734819[No. of Rs],"&gt;0")</f>
        <v>19</v>
      </c>
      <c r="G7" s="24">
        <f>IFERROR((F7/$F$6),"")</f>
        <v>0.40425531914893614</v>
      </c>
      <c r="H7" s="78">
        <f>IFERROR((+P13/F7),"")</f>
        <v>1.9526315789473685</v>
      </c>
      <c r="I7" s="227">
        <f>H7/H9</f>
        <v>3.5069714054218304</v>
      </c>
      <c r="J7" s="227">
        <f>AVERAGE(Tabla336106734819[No. of Rs])</f>
        <v>0.45765957446808497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COUNTIF(Tabla336106734819[No.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OFFSET(Tabla336106734819[[#Headers],[Equity]],1,0)</f>
        <v>121510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COUNTIF(Tabla336106734819[No. of Rs],"&lt;0")</f>
        <v>28</v>
      </c>
      <c r="G9" s="32">
        <f>IFERROR((F9/$F$6),"")</f>
        <v>0.5957446808510638</v>
      </c>
      <c r="H9" s="79">
        <f>IFERROR((-Q13/F9),"")</f>
        <v>0.55678571428571411</v>
      </c>
      <c r="I9" s="229"/>
      <c r="J9" s="229"/>
      <c r="K9" s="149"/>
      <c r="L9" s="230" t="s">
        <v>106</v>
      </c>
      <c r="M9" s="231"/>
      <c r="N9" s="125">
        <f ca="1">MAX(Tabla336106734819[Drawdown])</f>
        <v>3.61E-2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OFFSET(Tabla336106734819[[#Headers],[Drawdown]],1,0)</f>
        <v>1.0687273923051627E-3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COUNTIF(Tabla336106734819[Heat],"&lt;0")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IF(COUNTIFS(Tabla336106734819[O/C],"O")&lt;1,"None",COUNTIFS(Tabla336106734819[O/C],"O"))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SUM(Tabla336106734819[No. of Rs])</f>
        <v>21.509999999999994</v>
      </c>
      <c r="O13" s="42">
        <f>SUM(Tabla336106734819[Heat])</f>
        <v>0</v>
      </c>
      <c r="P13" s="43">
        <f>SUM(Tabla336106734819[[ TR WIN]])</f>
        <v>37.1</v>
      </c>
      <c r="Q13" s="43">
        <f>SUM(Tabla336106734819[[ TR LOSS]])</f>
        <v>-15.589999999999996</v>
      </c>
      <c r="R13" s="114"/>
      <c r="S13" s="115"/>
      <c r="T13" s="115"/>
      <c r="U13" s="121"/>
      <c r="V13" s="44">
        <f>SUM(Tabla336106734819[Currency])</f>
        <v>21.509999999999994</v>
      </c>
      <c r="W13" s="44">
        <f>SUM(Tabla336106734819[Heat3])</f>
        <v>0</v>
      </c>
      <c r="X13" s="44">
        <f>SUM(Tabla336106734819[Commodities])</f>
        <v>0</v>
      </c>
      <c r="Y13" s="44">
        <f>SUM(Tabla336106734819[Heat4])</f>
        <v>0</v>
      </c>
      <c r="Z13" s="44">
        <f>SUM(Tabla336106734819[Index])</f>
        <v>0</v>
      </c>
      <c r="AA13" s="44">
        <f>SUM(Tabla336106734819[Heat5])</f>
        <v>0</v>
      </c>
      <c r="AB13" s="44">
        <f>SUM(Tabla336106734819[Cryptocurrency])</f>
        <v>0</v>
      </c>
      <c r="AC13" s="44">
        <f>SUM(Tabla336106734819[Heat6])</f>
        <v>0</v>
      </c>
      <c r="AD13" s="75">
        <f>AVERAGEIF(Tabla336106734819[Length of 
Trade],"&lt;&gt;0")</f>
        <v>2.6051418439719201</v>
      </c>
      <c r="AE13" s="75">
        <f>AVERAGEIF(Tabla336106734819[Win],"&lt;&gt;0")</f>
        <v>5.094809941521242</v>
      </c>
      <c r="AF13" s="75">
        <f>AVERAGEIF(Tabla336106734819[Loss],"&lt;&gt;0")</f>
        <v>0.91572420634916596</v>
      </c>
      <c r="AG13" s="76" t="e">
        <f>AVERAGEIF(Tabla336106734819[Breakeven],"&lt;&gt;0")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13</v>
      </c>
      <c r="D17" s="198" t="str">
        <f t="shared" ref="D17:D20" si="0">IF(E17&lt;&gt;"",IF(K17&lt;&gt;"","C","O"),"")</f>
        <v>C</v>
      </c>
      <c r="E17" s="199">
        <v>44188.166666666664</v>
      </c>
      <c r="F17" s="200" t="s">
        <v>120</v>
      </c>
      <c r="G17" s="201">
        <v>1.61528</v>
      </c>
      <c r="H17" s="201">
        <v>1.62365</v>
      </c>
      <c r="I17" s="202">
        <f t="shared" ref="I17:I20" si="1">ABS(G17-H17)</f>
        <v>8.3699999999999886E-3</v>
      </c>
      <c r="J17" s="201">
        <v>1.5259799999999999</v>
      </c>
      <c r="K17" s="199">
        <v>44193.640972222223</v>
      </c>
      <c r="L17" s="201">
        <v>1.61049</v>
      </c>
      <c r="M17" s="203">
        <f t="shared" ref="M17:M20" si="2">ROUND(IF(C17="L",(L17-G17),(G17-L17)),4)</f>
        <v>4.7999999999999996E-3</v>
      </c>
      <c r="N17" s="204">
        <f t="shared" ref="N17:N20" si="3">IFERROR(ROUND((M17/I17),2),"")</f>
        <v>0.56999999999999995</v>
      </c>
      <c r="O17" s="205">
        <f t="shared" ref="O17:O20" si="4">IF(D17="O",IF(N17&lt;0,N17,0),0)</f>
        <v>0</v>
      </c>
      <c r="P17" s="206">
        <f t="shared" ref="P17:P20" si="5">IF(N17&gt;= 0,N17,0)</f>
        <v>0.56999999999999995</v>
      </c>
      <c r="Q17" s="206">
        <f t="shared" ref="Q17:Q20" si="6">IF(N17&lt;0,N17,0)</f>
        <v>0</v>
      </c>
      <c r="R17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17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121510</v>
      </c>
      <c r="T17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121640</v>
      </c>
      <c r="U17" s="208">
        <f ca="1">IF(Tabla336106734819[[#This Row],[Equity]]&lt;Tabla336106734819[[#This Row],[Equity Peak]],(Tabla336106734819[[#This Row],[Equity Peak]]-Tabla336106734819[[#This Row],[Equity]])/Tabla336106734819[[#This Row],[Equity Peak]],"")</f>
        <v>1.0687273923051627E-3</v>
      </c>
      <c r="V17" s="209">
        <f t="shared" ref="V17:V20" si="7">IF(B17="FX",N17,0)</f>
        <v>0.56999999999999995</v>
      </c>
      <c r="W17" s="209">
        <f t="shared" ref="W17:W20" si="8">IF(D17="O",IF(V17&lt;0,V17,0),0)</f>
        <v>0</v>
      </c>
      <c r="X17" s="209">
        <f t="shared" ref="X17:X20" si="9">IF(B17="COM",N17,0)</f>
        <v>0</v>
      </c>
      <c r="Y17" s="209">
        <f t="shared" ref="Y17:Y20" si="10">IF(D17="O",IF(X17&lt;0,X17,0),0)</f>
        <v>0</v>
      </c>
      <c r="Z17" s="209">
        <f t="shared" ref="Z17:Z20" si="11">IF(B17="IND",N17,0)</f>
        <v>0</v>
      </c>
      <c r="AA17" s="205">
        <f t="shared" ref="AA17:AA20" si="12">IF(D17="O",IF(Z17&lt;0,Z17,0),0)</f>
        <v>0</v>
      </c>
      <c r="AB17" s="209">
        <f t="shared" ref="AB17:AB20" si="13">IF(B17="CRYPTO",N17,0)</f>
        <v>0</v>
      </c>
      <c r="AC17" s="205">
        <f t="shared" ref="AC17:AC20" si="14">IF(D17="O",IF(AB17&lt;0,AB17,0),0)</f>
        <v>0</v>
      </c>
      <c r="AD17" s="210">
        <f t="shared" ref="AD17:AD20" si="15">IF(K17&lt;&gt;"",K17-E17,0)</f>
        <v>5.4743055555591127</v>
      </c>
      <c r="AE17" s="210">
        <f t="shared" ref="AE17:AE20" si="16">IF(N17&gt;0,AD17,0)</f>
        <v>5.4743055555591127</v>
      </c>
      <c r="AF17" s="210">
        <f t="shared" ref="AF17:AF20" si="17">IF(N17&lt;0,AD17,0)</f>
        <v>0</v>
      </c>
      <c r="AG17" s="210">
        <f t="shared" ref="AG17:AG20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44187.5</v>
      </c>
      <c r="F18" s="200" t="s">
        <v>120</v>
      </c>
      <c r="G18" s="201">
        <v>1.6211500000000001</v>
      </c>
      <c r="H18" s="201">
        <v>1.61277</v>
      </c>
      <c r="I18" s="202">
        <f t="shared" si="1"/>
        <v>8.3800000000000541E-3</v>
      </c>
      <c r="J18" s="201">
        <v>1.71058</v>
      </c>
      <c r="K18" s="199">
        <v>44188.166666666664</v>
      </c>
      <c r="L18" s="201">
        <v>1.61528</v>
      </c>
      <c r="M18" s="203">
        <f t="shared" si="2"/>
        <v>-5.8999999999999999E-3</v>
      </c>
      <c r="N18" s="204">
        <f t="shared" si="3"/>
        <v>-0.7</v>
      </c>
      <c r="O18" s="205">
        <f t="shared" si="4"/>
        <v>0</v>
      </c>
      <c r="P18" s="206">
        <f t="shared" si="5"/>
        <v>0</v>
      </c>
      <c r="Q18" s="206">
        <f t="shared" si="6"/>
        <v>-0.7</v>
      </c>
      <c r="R18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18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120940</v>
      </c>
      <c r="T18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121640</v>
      </c>
      <c r="U18" s="208">
        <f ca="1">IF(Tabla336106734819[[#This Row],[Equity]]&lt;Tabla336106734819[[#This Row],[Equity Peak]],(Tabla336106734819[[#This Row],[Equity Peak]]-Tabla336106734819[[#This Row],[Equity]])/Tabla336106734819[[#This Row],[Equity Peak]],"")</f>
        <v>5.7546859585662609E-3</v>
      </c>
      <c r="V18" s="209">
        <f t="shared" si="7"/>
        <v>-0.7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0.66666666666424135</v>
      </c>
      <c r="AE18" s="210">
        <f t="shared" si="16"/>
        <v>0</v>
      </c>
      <c r="AF18" s="210">
        <f t="shared" si="17"/>
        <v>0.66666666666424135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13</v>
      </c>
      <c r="D19" s="198" t="str">
        <f t="shared" si="0"/>
        <v>C</v>
      </c>
      <c r="E19" s="199">
        <v>44174.5</v>
      </c>
      <c r="F19" s="200" t="s">
        <v>120</v>
      </c>
      <c r="G19" s="201">
        <v>1.6221399999999999</v>
      </c>
      <c r="H19" s="201">
        <v>1.62893</v>
      </c>
      <c r="I19" s="202">
        <f t="shared" si="1"/>
        <v>6.7900000000000738E-3</v>
      </c>
      <c r="J19" s="201">
        <v>1.54975</v>
      </c>
      <c r="K19" s="199">
        <v>44180.224999999999</v>
      </c>
      <c r="L19" s="201">
        <v>1.6162099999999999</v>
      </c>
      <c r="M19" s="203">
        <f t="shared" si="2"/>
        <v>5.8999999999999999E-3</v>
      </c>
      <c r="N19" s="204">
        <f t="shared" si="3"/>
        <v>0.87</v>
      </c>
      <c r="O19" s="205">
        <f t="shared" si="4"/>
        <v>0</v>
      </c>
      <c r="P19" s="206">
        <f t="shared" si="5"/>
        <v>0.87</v>
      </c>
      <c r="Q19" s="206">
        <f t="shared" si="6"/>
        <v>0</v>
      </c>
      <c r="R19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19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121640</v>
      </c>
      <c r="T19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121640</v>
      </c>
      <c r="U19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19" s="209">
        <f t="shared" si="7"/>
        <v>0.87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5.7249999999985448</v>
      </c>
      <c r="AE19" s="210">
        <f t="shared" si="16"/>
        <v>5.7249999999985448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15</v>
      </c>
      <c r="D20" s="198" t="str">
        <f t="shared" si="0"/>
        <v>C</v>
      </c>
      <c r="E20" s="199">
        <v>44166.5</v>
      </c>
      <c r="F20" s="200" t="s">
        <v>120</v>
      </c>
      <c r="G20" s="201">
        <v>1.6293500000000001</v>
      </c>
      <c r="H20" s="201">
        <v>1.62355</v>
      </c>
      <c r="I20" s="202">
        <f t="shared" si="1"/>
        <v>5.8000000000000274E-3</v>
      </c>
      <c r="J20" s="201">
        <v>1.6912199999999999</v>
      </c>
      <c r="K20" s="199">
        <v>44168.470833333333</v>
      </c>
      <c r="L20" s="201">
        <v>1.63022</v>
      </c>
      <c r="M20" s="203">
        <f t="shared" si="2"/>
        <v>8.9999999999999998E-4</v>
      </c>
      <c r="N20" s="204">
        <f t="shared" si="3"/>
        <v>0.16</v>
      </c>
      <c r="O20" s="205">
        <f t="shared" si="4"/>
        <v>0</v>
      </c>
      <c r="P20" s="206">
        <f t="shared" si="5"/>
        <v>0.16</v>
      </c>
      <c r="Q20" s="206">
        <f t="shared" si="6"/>
        <v>0</v>
      </c>
      <c r="R20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0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120770</v>
      </c>
      <c r="T20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121050</v>
      </c>
      <c r="U20" s="208">
        <f ca="1">IF(Tabla336106734819[[#This Row],[Equity]]&lt;Tabla336106734819[[#This Row],[Equity Peak]],(Tabla336106734819[[#This Row],[Equity Peak]]-Tabla336106734819[[#This Row],[Equity]])/Tabla336106734819[[#This Row],[Equity Peak]],"")</f>
        <v>2.3130937629078892E-3</v>
      </c>
      <c r="V20" s="209">
        <f t="shared" si="7"/>
        <v>0.16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1.9708333333328483</v>
      </c>
      <c r="AE20" s="210">
        <f t="shared" si="16"/>
        <v>1.9708333333328483</v>
      </c>
      <c r="AF20" s="210">
        <f t="shared" si="17"/>
        <v>0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13</v>
      </c>
      <c r="D21" s="198" t="str">
        <f t="shared" ref="D21:D52" si="19">IF(E21&lt;&gt;"",IF(K21&lt;&gt;"","C","O"),"")</f>
        <v>C</v>
      </c>
      <c r="E21" s="199">
        <v>44137.666666666664</v>
      </c>
      <c r="F21" s="200" t="s">
        <v>120</v>
      </c>
      <c r="G21" s="201">
        <v>1.65082</v>
      </c>
      <c r="H21" s="201">
        <v>1.6599600000000001</v>
      </c>
      <c r="I21" s="202">
        <f t="shared" ref="I21:I52" si="20">ABS(G21-H21)</f>
        <v>9.140000000000148E-3</v>
      </c>
      <c r="J21" s="201">
        <v>1.5532999999999999</v>
      </c>
      <c r="K21" s="199">
        <v>44139.42291666667</v>
      </c>
      <c r="L21" s="201">
        <v>1.6482600000000001</v>
      </c>
      <c r="M21" s="203">
        <f t="shared" ref="M21:M52" si="21">ROUND(IF(C21="L",(L21-G21),(G21-L21)),4)</f>
        <v>2.5999999999999999E-3</v>
      </c>
      <c r="N21" s="204">
        <f t="shared" ref="N21:N52" si="22">IFERROR(ROUND((M21/I21),2),"")</f>
        <v>0.28000000000000003</v>
      </c>
      <c r="O21" s="205">
        <f t="shared" ref="O21:O52" si="23">IF(D21="O",IF(N21&lt;0,N21,0),0)</f>
        <v>0</v>
      </c>
      <c r="P21" s="206">
        <f t="shared" ref="P21:P52" si="24">IF(N21&gt;= 0,N21,0)</f>
        <v>0.28000000000000003</v>
      </c>
      <c r="Q21" s="206">
        <f t="shared" ref="Q21:Q52" si="25">IF(N21&lt;0,N21,0)</f>
        <v>0</v>
      </c>
      <c r="R21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1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120610</v>
      </c>
      <c r="T21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121050</v>
      </c>
      <c r="U21" s="208">
        <f ca="1">IF(Tabla336106734819[[#This Row],[Equity]]&lt;Tabla336106734819[[#This Row],[Equity Peak]],(Tabla336106734819[[#This Row],[Equity Peak]]-Tabla336106734819[[#This Row],[Equity]])/Tabla336106734819[[#This Row],[Equity Peak]],"")</f>
        <v>3.6348616274266832E-3</v>
      </c>
      <c r="V21" s="209">
        <f t="shared" ref="V21:V52" si="26">IF(B21="FX",N21,0)</f>
        <v>0.28000000000000003</v>
      </c>
      <c r="W21" s="209">
        <f t="shared" ref="W21:W52" si="27">IF(D21="O",IF(V21&lt;0,V21,0),0)</f>
        <v>0</v>
      </c>
      <c r="X21" s="209">
        <f t="shared" ref="X21:X52" si="28">IF(B21="COM",N21,0)</f>
        <v>0</v>
      </c>
      <c r="Y21" s="209">
        <f t="shared" ref="Y21:Y52" si="29">IF(D21="O",IF(X21&lt;0,X21,0),0)</f>
        <v>0</v>
      </c>
      <c r="Z21" s="209">
        <f t="shared" ref="Z21:Z52" si="30">IF(B21="IND",N21,0)</f>
        <v>0</v>
      </c>
      <c r="AA21" s="205">
        <f t="shared" ref="AA21:AA52" si="31">IF(D21="O",IF(Z21&lt;0,Z21,0),0)</f>
        <v>0</v>
      </c>
      <c r="AB21" s="209">
        <f t="shared" ref="AB21:AB52" si="32">IF(B21="CRYPTO",N21,0)</f>
        <v>0</v>
      </c>
      <c r="AC21" s="205">
        <f t="shared" ref="AC21:AC52" si="33">IF(D21="O",IF(AB21&lt;0,AB21,0),0)</f>
        <v>0</v>
      </c>
      <c r="AD21" s="210">
        <f t="shared" ref="AD21:AD52" si="34">IF(K21&lt;&gt;"",K21-E21,0)</f>
        <v>1.7562500000058208</v>
      </c>
      <c r="AE21" s="210">
        <f t="shared" ref="AE21:AE52" si="35">IF(N21&gt;0,AD21,0)</f>
        <v>1.7562500000058208</v>
      </c>
      <c r="AF21" s="210">
        <f t="shared" ref="AF21:AF52" si="36">IF(N21&lt;0,AD21,0)</f>
        <v>0</v>
      </c>
      <c r="AG21" s="210">
        <f t="shared" ref="AG21:AG52" si="37">IF(N21=0,AD21,0)</f>
        <v>0</v>
      </c>
    </row>
    <row r="22" spans="2:33" ht="15" customHeight="1" x14ac:dyDescent="0.3">
      <c r="B22" s="196" t="s">
        <v>7</v>
      </c>
      <c r="C22" s="197" t="s">
        <v>15</v>
      </c>
      <c r="D22" s="198" t="str">
        <f t="shared" si="19"/>
        <v>C</v>
      </c>
      <c r="E22" s="199">
        <v>44132.833333333336</v>
      </c>
      <c r="F22" s="200" t="s">
        <v>120</v>
      </c>
      <c r="G22" s="201">
        <v>1.6644600000000001</v>
      </c>
      <c r="H22" s="201">
        <v>1.6565799999999999</v>
      </c>
      <c r="I22" s="202">
        <f t="shared" si="20"/>
        <v>7.8800000000001091E-3</v>
      </c>
      <c r="J22" s="201">
        <v>1.7484900000000001</v>
      </c>
      <c r="K22" s="199">
        <v>44133.744444444441</v>
      </c>
      <c r="L22" s="201">
        <v>1.6588000000000001</v>
      </c>
      <c r="M22" s="203">
        <f t="shared" si="21"/>
        <v>-5.7000000000000002E-3</v>
      </c>
      <c r="N22" s="204">
        <f t="shared" si="22"/>
        <v>-0.72</v>
      </c>
      <c r="O22" s="205">
        <f t="shared" si="23"/>
        <v>0</v>
      </c>
      <c r="P22" s="206">
        <f t="shared" si="24"/>
        <v>0</v>
      </c>
      <c r="Q22" s="206">
        <f t="shared" si="25"/>
        <v>-0.72</v>
      </c>
      <c r="R22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2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120330</v>
      </c>
      <c r="T22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121050</v>
      </c>
      <c r="U22" s="208">
        <f ca="1">IF(Tabla336106734819[[#This Row],[Equity]]&lt;Tabla336106734819[[#This Row],[Equity Peak]],(Tabla336106734819[[#This Row],[Equity Peak]]-Tabla336106734819[[#This Row],[Equity]])/Tabla336106734819[[#This Row],[Equity Peak]],"")</f>
        <v>5.9479553903345724E-3</v>
      </c>
      <c r="V22" s="209">
        <f t="shared" si="26"/>
        <v>-0.72</v>
      </c>
      <c r="W22" s="209">
        <f t="shared" si="27"/>
        <v>0</v>
      </c>
      <c r="X22" s="209">
        <f t="shared" si="28"/>
        <v>0</v>
      </c>
      <c r="Y22" s="209">
        <f t="shared" si="29"/>
        <v>0</v>
      </c>
      <c r="Z22" s="209">
        <f t="shared" si="30"/>
        <v>0</v>
      </c>
      <c r="AA22" s="205">
        <f t="shared" si="31"/>
        <v>0</v>
      </c>
      <c r="AB22" s="209">
        <f t="shared" si="32"/>
        <v>0</v>
      </c>
      <c r="AC22" s="205">
        <f t="shared" si="33"/>
        <v>0</v>
      </c>
      <c r="AD22" s="210">
        <f t="shared" si="34"/>
        <v>0.91111111110512866</v>
      </c>
      <c r="AE22" s="210">
        <f t="shared" si="35"/>
        <v>0</v>
      </c>
      <c r="AF22" s="210">
        <f t="shared" si="36"/>
        <v>0.91111111110512866</v>
      </c>
      <c r="AG22" s="210">
        <f t="shared" si="37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19"/>
        <v>C</v>
      </c>
      <c r="E23" s="199">
        <v>44119.166666666664</v>
      </c>
      <c r="F23" s="200" t="s">
        <v>120</v>
      </c>
      <c r="G23" s="201">
        <v>1.64584</v>
      </c>
      <c r="H23" s="201">
        <v>1.63886</v>
      </c>
      <c r="I23" s="202">
        <f t="shared" si="20"/>
        <v>6.9799999999999862E-3</v>
      </c>
      <c r="J23" s="201">
        <v>1.7202500000000001</v>
      </c>
      <c r="K23" s="199">
        <v>44125.652083333334</v>
      </c>
      <c r="L23" s="201">
        <v>1.6694599999999999</v>
      </c>
      <c r="M23" s="203">
        <f t="shared" si="21"/>
        <v>2.3599999999999999E-2</v>
      </c>
      <c r="N23" s="204">
        <f t="shared" si="22"/>
        <v>3.38</v>
      </c>
      <c r="O23" s="205">
        <f t="shared" si="23"/>
        <v>0</v>
      </c>
      <c r="P23" s="206">
        <f t="shared" si="24"/>
        <v>3.38</v>
      </c>
      <c r="Q23" s="206">
        <f t="shared" si="25"/>
        <v>0</v>
      </c>
      <c r="R23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3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121050</v>
      </c>
      <c r="T23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121050</v>
      </c>
      <c r="U23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23" s="209">
        <f t="shared" si="26"/>
        <v>3.38</v>
      </c>
      <c r="W23" s="209">
        <f t="shared" si="27"/>
        <v>0</v>
      </c>
      <c r="X23" s="209">
        <f t="shared" si="28"/>
        <v>0</v>
      </c>
      <c r="Y23" s="209">
        <f t="shared" si="29"/>
        <v>0</v>
      </c>
      <c r="Z23" s="209">
        <f t="shared" si="30"/>
        <v>0</v>
      </c>
      <c r="AA23" s="205">
        <f t="shared" si="31"/>
        <v>0</v>
      </c>
      <c r="AB23" s="209">
        <f t="shared" si="32"/>
        <v>0</v>
      </c>
      <c r="AC23" s="205">
        <f t="shared" si="33"/>
        <v>0</v>
      </c>
      <c r="AD23" s="210">
        <f t="shared" si="34"/>
        <v>6.4854166666700621</v>
      </c>
      <c r="AE23" s="210">
        <f t="shared" si="35"/>
        <v>6.4854166666700621</v>
      </c>
      <c r="AF23" s="210">
        <f t="shared" si="36"/>
        <v>0</v>
      </c>
      <c r="AG23" s="210">
        <f t="shared" si="37"/>
        <v>0</v>
      </c>
    </row>
    <row r="24" spans="2:33" ht="15" customHeight="1" x14ac:dyDescent="0.3">
      <c r="B24" s="196" t="s">
        <v>7</v>
      </c>
      <c r="C24" s="197" t="s">
        <v>15</v>
      </c>
      <c r="D24" s="198" t="str">
        <f t="shared" si="19"/>
        <v>C</v>
      </c>
      <c r="E24" s="199">
        <v>44117.666666666664</v>
      </c>
      <c r="F24" s="200" t="s">
        <v>120</v>
      </c>
      <c r="G24" s="201">
        <v>1.64215</v>
      </c>
      <c r="H24" s="201">
        <v>1.6358200000000001</v>
      </c>
      <c r="I24" s="202">
        <f t="shared" si="20"/>
        <v>6.3299999999999468E-3</v>
      </c>
      <c r="J24" s="201">
        <v>1.7096899999999999</v>
      </c>
      <c r="K24" s="199">
        <v>44118.495833333334</v>
      </c>
      <c r="L24" s="201">
        <v>1.6358200000000001</v>
      </c>
      <c r="M24" s="203">
        <f t="shared" si="21"/>
        <v>-6.3E-3</v>
      </c>
      <c r="N24" s="204">
        <f t="shared" si="22"/>
        <v>-1</v>
      </c>
      <c r="O24" s="205">
        <f t="shared" si="23"/>
        <v>0</v>
      </c>
      <c r="P24" s="206">
        <f t="shared" si="24"/>
        <v>0</v>
      </c>
      <c r="Q24" s="206">
        <f t="shared" si="25"/>
        <v>-1</v>
      </c>
      <c r="R24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4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117670</v>
      </c>
      <c r="T24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120150</v>
      </c>
      <c r="U24" s="208">
        <f ca="1">IF(Tabla336106734819[[#This Row],[Equity]]&lt;Tabla336106734819[[#This Row],[Equity Peak]],(Tabla336106734819[[#This Row],[Equity Peak]]-Tabla336106734819[[#This Row],[Equity]])/Tabla336106734819[[#This Row],[Equity Peak]],"")</f>
        <v>2.0640865584685808E-2</v>
      </c>
      <c r="V24" s="209">
        <f t="shared" si="26"/>
        <v>-1</v>
      </c>
      <c r="W24" s="209">
        <f t="shared" si="27"/>
        <v>0</v>
      </c>
      <c r="X24" s="209">
        <f t="shared" si="28"/>
        <v>0</v>
      </c>
      <c r="Y24" s="209">
        <f t="shared" si="29"/>
        <v>0</v>
      </c>
      <c r="Z24" s="209">
        <f t="shared" si="30"/>
        <v>0</v>
      </c>
      <c r="AA24" s="205">
        <f t="shared" si="31"/>
        <v>0</v>
      </c>
      <c r="AB24" s="209">
        <f t="shared" si="32"/>
        <v>0</v>
      </c>
      <c r="AC24" s="205">
        <f t="shared" si="33"/>
        <v>0</v>
      </c>
      <c r="AD24" s="210">
        <f t="shared" si="34"/>
        <v>0.82916666667006211</v>
      </c>
      <c r="AE24" s="210">
        <f t="shared" si="35"/>
        <v>0</v>
      </c>
      <c r="AF24" s="210">
        <f t="shared" si="36"/>
        <v>0.82916666667006211</v>
      </c>
      <c r="AG24" s="210">
        <f t="shared" si="37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19"/>
        <v>C</v>
      </c>
      <c r="E25" s="199">
        <v>44117.5</v>
      </c>
      <c r="F25" s="200" t="s">
        <v>120</v>
      </c>
      <c r="G25" s="201">
        <v>1.63825</v>
      </c>
      <c r="H25" s="201">
        <v>1.6443399999999999</v>
      </c>
      <c r="I25" s="202">
        <f t="shared" si="20"/>
        <v>6.0899999999999288E-3</v>
      </c>
      <c r="J25" s="201">
        <v>1.57331</v>
      </c>
      <c r="K25" s="199">
        <v>44117.666666666664</v>
      </c>
      <c r="L25" s="201">
        <v>1.64215</v>
      </c>
      <c r="M25" s="203">
        <f t="shared" si="21"/>
        <v>-3.8999999999999998E-3</v>
      </c>
      <c r="N25" s="204">
        <f t="shared" si="22"/>
        <v>-0.64</v>
      </c>
      <c r="O25" s="205">
        <f t="shared" si="23"/>
        <v>0</v>
      </c>
      <c r="P25" s="206">
        <f t="shared" si="24"/>
        <v>0</v>
      </c>
      <c r="Q25" s="206">
        <f t="shared" si="25"/>
        <v>-0.64</v>
      </c>
      <c r="R25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5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118670</v>
      </c>
      <c r="T25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120150</v>
      </c>
      <c r="U25" s="208">
        <f ca="1">IF(Tabla336106734819[[#This Row],[Equity]]&lt;Tabla336106734819[[#This Row],[Equity Peak]],(Tabla336106734819[[#This Row],[Equity Peak]]-Tabla336106734819[[#This Row],[Equity]])/Tabla336106734819[[#This Row],[Equity Peak]],"")</f>
        <v>1.2317935913441531E-2</v>
      </c>
      <c r="V25" s="209">
        <f t="shared" si="26"/>
        <v>-0.64</v>
      </c>
      <c r="W25" s="209">
        <f t="shared" si="27"/>
        <v>0</v>
      </c>
      <c r="X25" s="209">
        <f t="shared" si="28"/>
        <v>0</v>
      </c>
      <c r="Y25" s="209">
        <f t="shared" si="29"/>
        <v>0</v>
      </c>
      <c r="Z25" s="209">
        <f t="shared" si="30"/>
        <v>0</v>
      </c>
      <c r="AA25" s="205">
        <f t="shared" si="31"/>
        <v>0</v>
      </c>
      <c r="AB25" s="209">
        <f t="shared" si="32"/>
        <v>0</v>
      </c>
      <c r="AC25" s="205">
        <f t="shared" si="33"/>
        <v>0</v>
      </c>
      <c r="AD25" s="210">
        <f t="shared" si="34"/>
        <v>0.16666666666424135</v>
      </c>
      <c r="AE25" s="210">
        <f t="shared" si="35"/>
        <v>0</v>
      </c>
      <c r="AF25" s="210">
        <f t="shared" si="36"/>
        <v>0.16666666666424135</v>
      </c>
      <c r="AG25" s="210">
        <f t="shared" si="37"/>
        <v>0</v>
      </c>
    </row>
    <row r="26" spans="2:33" ht="15" customHeight="1" x14ac:dyDescent="0.3">
      <c r="B26" s="196" t="s">
        <v>7</v>
      </c>
      <c r="C26" s="197" t="s">
        <v>15</v>
      </c>
      <c r="D26" s="198" t="str">
        <f t="shared" si="19"/>
        <v>C</v>
      </c>
      <c r="E26" s="199">
        <v>44117.333333333336</v>
      </c>
      <c r="F26" s="200" t="s">
        <v>120</v>
      </c>
      <c r="G26" s="201">
        <v>1.64242</v>
      </c>
      <c r="H26" s="201">
        <v>1.63662</v>
      </c>
      <c r="I26" s="202">
        <f t="shared" si="20"/>
        <v>5.8000000000000274E-3</v>
      </c>
      <c r="J26" s="201">
        <v>1.70431</v>
      </c>
      <c r="K26" s="199">
        <v>44117.5</v>
      </c>
      <c r="L26" s="201">
        <v>1.63825</v>
      </c>
      <c r="M26" s="203">
        <f t="shared" si="21"/>
        <v>-4.1999999999999997E-3</v>
      </c>
      <c r="N26" s="204">
        <f t="shared" si="22"/>
        <v>-0.72</v>
      </c>
      <c r="O26" s="205">
        <f t="shared" si="23"/>
        <v>0</v>
      </c>
      <c r="P26" s="206">
        <f t="shared" si="24"/>
        <v>0</v>
      </c>
      <c r="Q26" s="206">
        <f t="shared" si="25"/>
        <v>-0.72</v>
      </c>
      <c r="R26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6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119310</v>
      </c>
      <c r="T26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120150</v>
      </c>
      <c r="U26" s="208">
        <f ca="1">IF(Tabla336106734819[[#This Row],[Equity]]&lt;Tabla336106734819[[#This Row],[Equity Peak]],(Tabla336106734819[[#This Row],[Equity Peak]]-Tabla336106734819[[#This Row],[Equity]])/Tabla336106734819[[#This Row],[Equity Peak]],"")</f>
        <v>6.9912609238451939E-3</v>
      </c>
      <c r="V26" s="209">
        <f t="shared" si="26"/>
        <v>-0.72</v>
      </c>
      <c r="W26" s="209">
        <f t="shared" si="27"/>
        <v>0</v>
      </c>
      <c r="X26" s="209">
        <f t="shared" si="28"/>
        <v>0</v>
      </c>
      <c r="Y26" s="209">
        <f t="shared" si="29"/>
        <v>0</v>
      </c>
      <c r="Z26" s="209">
        <f t="shared" si="30"/>
        <v>0</v>
      </c>
      <c r="AA26" s="205">
        <f t="shared" si="31"/>
        <v>0</v>
      </c>
      <c r="AB26" s="209">
        <f t="shared" si="32"/>
        <v>0</v>
      </c>
      <c r="AC26" s="205">
        <f t="shared" si="33"/>
        <v>0</v>
      </c>
      <c r="AD26" s="210">
        <f t="shared" si="34"/>
        <v>0.16666666666424135</v>
      </c>
      <c r="AE26" s="210">
        <f t="shared" si="35"/>
        <v>0</v>
      </c>
      <c r="AF26" s="210">
        <f t="shared" si="36"/>
        <v>0.16666666666424135</v>
      </c>
      <c r="AG26" s="210">
        <f t="shared" si="37"/>
        <v>0</v>
      </c>
    </row>
    <row r="27" spans="2:33" ht="15" customHeight="1" x14ac:dyDescent="0.3">
      <c r="B27" s="196" t="s">
        <v>7</v>
      </c>
      <c r="C27" s="197" t="s">
        <v>13</v>
      </c>
      <c r="D27" s="198" t="str">
        <f t="shared" si="19"/>
        <v>C</v>
      </c>
      <c r="E27" s="199">
        <v>44113.666666666664</v>
      </c>
      <c r="F27" s="200" t="s">
        <v>120</v>
      </c>
      <c r="G27" s="201">
        <v>1.6375299999999999</v>
      </c>
      <c r="H27" s="201">
        <v>1.64316</v>
      </c>
      <c r="I27" s="202">
        <f t="shared" si="20"/>
        <v>5.6300000000000239E-3</v>
      </c>
      <c r="J27" s="201">
        <v>1.57751</v>
      </c>
      <c r="K27" s="199">
        <v>44116.692361111112</v>
      </c>
      <c r="L27" s="201">
        <v>1.6382300000000001</v>
      </c>
      <c r="M27" s="203">
        <f t="shared" si="21"/>
        <v>-6.9999999999999999E-4</v>
      </c>
      <c r="N27" s="204">
        <f t="shared" si="22"/>
        <v>-0.12</v>
      </c>
      <c r="O27" s="205">
        <f t="shared" si="23"/>
        <v>0</v>
      </c>
      <c r="P27" s="206">
        <f t="shared" si="24"/>
        <v>0</v>
      </c>
      <c r="Q27" s="206">
        <f t="shared" si="25"/>
        <v>-0.12</v>
      </c>
      <c r="R27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7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120030</v>
      </c>
      <c r="T27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120150</v>
      </c>
      <c r="U27" s="208">
        <f ca="1">IF(Tabla336106734819[[#This Row],[Equity]]&lt;Tabla336106734819[[#This Row],[Equity Peak]],(Tabla336106734819[[#This Row],[Equity Peak]]-Tabla336106734819[[#This Row],[Equity]])/Tabla336106734819[[#This Row],[Equity Peak]],"")</f>
        <v>9.9875156054931333E-4</v>
      </c>
      <c r="V27" s="209">
        <f t="shared" si="26"/>
        <v>-0.12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0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3.0256944444481633</v>
      </c>
      <c r="AE27" s="210">
        <f t="shared" si="35"/>
        <v>0</v>
      </c>
      <c r="AF27" s="210">
        <f t="shared" si="36"/>
        <v>3.0256944444481633</v>
      </c>
      <c r="AG27" s="210">
        <f t="shared" si="37"/>
        <v>0</v>
      </c>
    </row>
    <row r="28" spans="2:33" ht="15" customHeight="1" x14ac:dyDescent="0.3">
      <c r="B28" s="196" t="s">
        <v>7</v>
      </c>
      <c r="C28" s="197" t="s">
        <v>15</v>
      </c>
      <c r="D28" s="198" t="str">
        <f t="shared" si="19"/>
        <v>C</v>
      </c>
      <c r="E28" s="199">
        <v>44110.017361111109</v>
      </c>
      <c r="F28" s="200" t="s">
        <v>120</v>
      </c>
      <c r="G28" s="201">
        <v>1.6406400000000001</v>
      </c>
      <c r="H28" s="201">
        <v>1.6338299999999999</v>
      </c>
      <c r="I28" s="202">
        <f t="shared" si="20"/>
        <v>6.8100000000002048E-3</v>
      </c>
      <c r="J28" s="201">
        <v>1.7133</v>
      </c>
      <c r="K28" s="199">
        <v>44112.42291666667</v>
      </c>
      <c r="L28" s="201">
        <v>1.64307</v>
      </c>
      <c r="M28" s="203">
        <f t="shared" si="21"/>
        <v>2.3999999999999998E-3</v>
      </c>
      <c r="N28" s="204">
        <f t="shared" si="22"/>
        <v>0.35</v>
      </c>
      <c r="O28" s="205">
        <f t="shared" si="23"/>
        <v>0</v>
      </c>
      <c r="P28" s="206">
        <f t="shared" si="24"/>
        <v>0.35</v>
      </c>
      <c r="Q28" s="206">
        <f t="shared" si="25"/>
        <v>0</v>
      </c>
      <c r="R28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8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120150</v>
      </c>
      <c r="T28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120150</v>
      </c>
      <c r="U28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28" s="209">
        <f t="shared" si="26"/>
        <v>0.35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0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2.4055555555605679</v>
      </c>
      <c r="AE28" s="210">
        <f t="shared" si="35"/>
        <v>2.4055555555605679</v>
      </c>
      <c r="AF28" s="210">
        <f t="shared" si="36"/>
        <v>0</v>
      </c>
      <c r="AG28" s="210">
        <f t="shared" si="37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19"/>
        <v>C</v>
      </c>
      <c r="E29" s="199">
        <v>44096.017361111109</v>
      </c>
      <c r="F29" s="200" t="s">
        <v>120</v>
      </c>
      <c r="G29" s="201">
        <v>1.6280699999999999</v>
      </c>
      <c r="H29" s="201">
        <v>1.6211800000000001</v>
      </c>
      <c r="I29" s="202">
        <f t="shared" si="20"/>
        <v>6.8899999999998407E-3</v>
      </c>
      <c r="J29" s="201">
        <v>1.70156</v>
      </c>
      <c r="K29" s="199">
        <v>44103.118750000001</v>
      </c>
      <c r="L29" s="201">
        <v>1.6462699999999999</v>
      </c>
      <c r="M29" s="203">
        <f t="shared" si="21"/>
        <v>1.8200000000000001E-2</v>
      </c>
      <c r="N29" s="204">
        <f t="shared" si="22"/>
        <v>2.64</v>
      </c>
      <c r="O29" s="205">
        <f t="shared" si="23"/>
        <v>0</v>
      </c>
      <c r="P29" s="206">
        <f t="shared" si="24"/>
        <v>2.64</v>
      </c>
      <c r="Q29" s="206">
        <f t="shared" si="25"/>
        <v>0</v>
      </c>
      <c r="R29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9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119800</v>
      </c>
      <c r="T29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29" s="208">
        <f ca="1">IF(Tabla336106734819[[#This Row],[Equity]]&lt;Tabla336106734819[[#This Row],[Equity Peak]],(Tabla336106734819[[#This Row],[Equity Peak]]-Tabla336106734819[[#This Row],[Equity]])/Tabla336106734819[[#This Row],[Equity Peak]],"")</f>
        <v>2.4979184013322231E-3</v>
      </c>
      <c r="V29" s="209">
        <f t="shared" si="26"/>
        <v>2.64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0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7.101388888891961</v>
      </c>
      <c r="AE29" s="210">
        <f t="shared" si="35"/>
        <v>7.101388888891961</v>
      </c>
      <c r="AF29" s="210">
        <f t="shared" si="36"/>
        <v>0</v>
      </c>
      <c r="AG29" s="210">
        <f t="shared" si="37"/>
        <v>0</v>
      </c>
    </row>
    <row r="30" spans="2:33" ht="15" customHeight="1" x14ac:dyDescent="0.3">
      <c r="B30" s="196" t="s">
        <v>7</v>
      </c>
      <c r="C30" s="197" t="s">
        <v>13</v>
      </c>
      <c r="D30" s="198" t="str">
        <f t="shared" si="19"/>
        <v>C</v>
      </c>
      <c r="E30" s="199">
        <v>44089.333333333336</v>
      </c>
      <c r="F30" s="200" t="s">
        <v>120</v>
      </c>
      <c r="G30" s="201">
        <v>1.6242799999999999</v>
      </c>
      <c r="H30" s="201">
        <v>1.6310899999999999</v>
      </c>
      <c r="I30" s="202">
        <f t="shared" si="20"/>
        <v>6.8099999999999827E-3</v>
      </c>
      <c r="J30" s="201">
        <v>1.55162</v>
      </c>
      <c r="K30" s="199">
        <v>44092.640277777777</v>
      </c>
      <c r="L30" s="201">
        <v>1.62479</v>
      </c>
      <c r="M30" s="203">
        <f t="shared" si="21"/>
        <v>-5.0000000000000001E-4</v>
      </c>
      <c r="N30" s="204">
        <f t="shared" si="22"/>
        <v>-7.0000000000000007E-2</v>
      </c>
      <c r="O30" s="205">
        <f t="shared" si="23"/>
        <v>0</v>
      </c>
      <c r="P30" s="206">
        <f t="shared" si="24"/>
        <v>0</v>
      </c>
      <c r="Q30" s="206">
        <f t="shared" si="25"/>
        <v>-7.0000000000000007E-2</v>
      </c>
      <c r="R30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0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117160</v>
      </c>
      <c r="T30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30" s="208">
        <f ca="1">IF(Tabla336106734819[[#This Row],[Equity]]&lt;Tabla336106734819[[#This Row],[Equity Peak]],(Tabla336106734819[[#This Row],[Equity Peak]]-Tabla336106734819[[#This Row],[Equity]])/Tabla336106734819[[#This Row],[Equity Peak]],"")</f>
        <v>2.4479600333055788E-2</v>
      </c>
      <c r="V30" s="209">
        <f t="shared" si="26"/>
        <v>-7.0000000000000007E-2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0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3.3069444444408873</v>
      </c>
      <c r="AE30" s="210">
        <f t="shared" si="35"/>
        <v>0</v>
      </c>
      <c r="AF30" s="210">
        <f t="shared" si="36"/>
        <v>3.3069444444408873</v>
      </c>
      <c r="AG30" s="210">
        <f t="shared" si="37"/>
        <v>0</v>
      </c>
    </row>
    <row r="31" spans="2:33" ht="15" customHeight="1" x14ac:dyDescent="0.3">
      <c r="B31" s="196" t="s">
        <v>7</v>
      </c>
      <c r="C31" s="197" t="s">
        <v>15</v>
      </c>
      <c r="D31" s="198" t="str">
        <f t="shared" si="19"/>
        <v>C</v>
      </c>
      <c r="E31" s="199">
        <v>44088.666666666664</v>
      </c>
      <c r="F31" s="200" t="s">
        <v>120</v>
      </c>
      <c r="G31" s="201">
        <v>1.63253</v>
      </c>
      <c r="H31" s="201">
        <v>1.62639</v>
      </c>
      <c r="I31" s="202">
        <f t="shared" si="20"/>
        <v>6.1400000000000343E-3</v>
      </c>
      <c r="J31" s="201">
        <v>1.69804</v>
      </c>
      <c r="K31" s="199">
        <v>44088.79791666667</v>
      </c>
      <c r="L31" s="201">
        <v>1.62639</v>
      </c>
      <c r="M31" s="203">
        <f t="shared" si="21"/>
        <v>-6.1000000000000004E-3</v>
      </c>
      <c r="N31" s="204">
        <f t="shared" si="22"/>
        <v>-0.99</v>
      </c>
      <c r="O31" s="205">
        <f t="shared" si="23"/>
        <v>0</v>
      </c>
      <c r="P31" s="206">
        <f t="shared" si="24"/>
        <v>0</v>
      </c>
      <c r="Q31" s="206">
        <f t="shared" si="25"/>
        <v>-0.99</v>
      </c>
      <c r="R31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1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117230</v>
      </c>
      <c r="T31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31" s="208">
        <f ca="1">IF(Tabla336106734819[[#This Row],[Equity]]&lt;Tabla336106734819[[#This Row],[Equity Peak]],(Tabla336106734819[[#This Row],[Equity Peak]]-Tabla336106734819[[#This Row],[Equity]])/Tabla336106734819[[#This Row],[Equity Peak]],"")</f>
        <v>2.3896752706078269E-2</v>
      </c>
      <c r="V31" s="209">
        <f t="shared" si="26"/>
        <v>-0.99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0.13125000000582077</v>
      </c>
      <c r="AE31" s="210">
        <f t="shared" si="35"/>
        <v>0</v>
      </c>
      <c r="AF31" s="210">
        <f t="shared" si="36"/>
        <v>0.13125000000582077</v>
      </c>
      <c r="AG31" s="210">
        <f t="shared" si="37"/>
        <v>0</v>
      </c>
    </row>
    <row r="32" spans="2:33" ht="15" customHeight="1" x14ac:dyDescent="0.3">
      <c r="B32" s="196" t="s">
        <v>7</v>
      </c>
      <c r="C32" s="197" t="s">
        <v>13</v>
      </c>
      <c r="D32" s="198" t="str">
        <f t="shared" si="19"/>
        <v>C</v>
      </c>
      <c r="E32" s="199">
        <v>44083.5</v>
      </c>
      <c r="F32" s="200" t="s">
        <v>120</v>
      </c>
      <c r="G32" s="201">
        <v>1.62724</v>
      </c>
      <c r="H32" s="201">
        <v>1.63297</v>
      </c>
      <c r="I32" s="202">
        <f t="shared" si="20"/>
        <v>5.7300000000000129E-3</v>
      </c>
      <c r="J32" s="201">
        <v>1.5661499999999999</v>
      </c>
      <c r="K32" s="199">
        <v>44084.537499999999</v>
      </c>
      <c r="L32" s="201">
        <v>1.6280699999999999</v>
      </c>
      <c r="M32" s="203">
        <f t="shared" si="21"/>
        <v>-8.0000000000000004E-4</v>
      </c>
      <c r="N32" s="204">
        <f t="shared" si="22"/>
        <v>-0.14000000000000001</v>
      </c>
      <c r="O32" s="205">
        <f t="shared" si="23"/>
        <v>0</v>
      </c>
      <c r="P32" s="206">
        <f t="shared" si="24"/>
        <v>0</v>
      </c>
      <c r="Q32" s="206">
        <f t="shared" si="25"/>
        <v>-0.14000000000000001</v>
      </c>
      <c r="R32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2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118220</v>
      </c>
      <c r="T32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32" s="208">
        <f ca="1">IF(Tabla336106734819[[#This Row],[Equity]]&lt;Tabla336106734819[[#This Row],[Equity Peak]],(Tabla336106734819[[#This Row],[Equity Peak]]-Tabla336106734819[[#This Row],[Equity]])/Tabla336106734819[[#This Row],[Equity Peak]],"")</f>
        <v>1.5653621981681933E-2</v>
      </c>
      <c r="V32" s="209">
        <f t="shared" si="26"/>
        <v>-0.14000000000000001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1.0374999999985448</v>
      </c>
      <c r="AE32" s="210">
        <f t="shared" si="35"/>
        <v>0</v>
      </c>
      <c r="AF32" s="210">
        <f t="shared" si="36"/>
        <v>1.0374999999985448</v>
      </c>
      <c r="AG32" s="210">
        <f t="shared" si="37"/>
        <v>0</v>
      </c>
    </row>
    <row r="33" spans="2:33" ht="15" customHeight="1" x14ac:dyDescent="0.3">
      <c r="B33" s="196" t="s">
        <v>7</v>
      </c>
      <c r="C33" s="197" t="s">
        <v>15</v>
      </c>
      <c r="D33" s="198" t="str">
        <f t="shared" si="19"/>
        <v>C</v>
      </c>
      <c r="E33" s="199">
        <v>44083.166666666664</v>
      </c>
      <c r="F33" s="200" t="s">
        <v>120</v>
      </c>
      <c r="G33" s="201">
        <v>1.6319699999999999</v>
      </c>
      <c r="H33" s="201">
        <v>1.6262000000000001</v>
      </c>
      <c r="I33" s="202">
        <f t="shared" si="20"/>
        <v>5.7699999999998308E-3</v>
      </c>
      <c r="J33" s="201">
        <v>1.6934899999999999</v>
      </c>
      <c r="K33" s="199">
        <v>44083.5</v>
      </c>
      <c r="L33" s="201">
        <v>1.62724</v>
      </c>
      <c r="M33" s="203">
        <f t="shared" si="21"/>
        <v>-4.7000000000000002E-3</v>
      </c>
      <c r="N33" s="204">
        <f t="shared" si="22"/>
        <v>-0.81</v>
      </c>
      <c r="O33" s="205">
        <f t="shared" si="23"/>
        <v>0</v>
      </c>
      <c r="P33" s="206">
        <f t="shared" si="24"/>
        <v>0</v>
      </c>
      <c r="Q33" s="206">
        <f t="shared" si="25"/>
        <v>-0.81</v>
      </c>
      <c r="R33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3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118360</v>
      </c>
      <c r="T33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33" s="208">
        <f ca="1">IF(Tabla336106734819[[#This Row],[Equity]]&lt;Tabla336106734819[[#This Row],[Equity Peak]],(Tabla336106734819[[#This Row],[Equity Peak]]-Tabla336106734819[[#This Row],[Equity]])/Tabla336106734819[[#This Row],[Equity Peak]],"")</f>
        <v>1.4487926727726894E-2</v>
      </c>
      <c r="V33" s="209">
        <f t="shared" si="26"/>
        <v>-0.81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0.33333333333575865</v>
      </c>
      <c r="AE33" s="210">
        <f t="shared" si="35"/>
        <v>0</v>
      </c>
      <c r="AF33" s="210">
        <f t="shared" si="36"/>
        <v>0.33333333333575865</v>
      </c>
      <c r="AG33" s="210">
        <f t="shared" si="37"/>
        <v>0</v>
      </c>
    </row>
    <row r="34" spans="2:33" ht="15" customHeight="1" x14ac:dyDescent="0.3">
      <c r="B34" s="196" t="s">
        <v>7</v>
      </c>
      <c r="C34" s="197" t="s">
        <v>13</v>
      </c>
      <c r="D34" s="198" t="str">
        <f t="shared" si="19"/>
        <v>C</v>
      </c>
      <c r="E34" s="199">
        <v>44069.017361111109</v>
      </c>
      <c r="F34" s="200" t="s">
        <v>120</v>
      </c>
      <c r="G34" s="201">
        <v>1.6440900000000001</v>
      </c>
      <c r="H34" s="201">
        <v>1.6503399999999999</v>
      </c>
      <c r="I34" s="202">
        <f t="shared" si="20"/>
        <v>6.2499999999998668E-3</v>
      </c>
      <c r="J34" s="201">
        <v>1.57738</v>
      </c>
      <c r="K34" s="199">
        <v>44075.541666666664</v>
      </c>
      <c r="L34" s="201">
        <v>1.6231800000000001</v>
      </c>
      <c r="M34" s="203">
        <f t="shared" si="21"/>
        <v>2.0899999999999998E-2</v>
      </c>
      <c r="N34" s="204">
        <f t="shared" si="22"/>
        <v>3.34</v>
      </c>
      <c r="O34" s="205">
        <f t="shared" si="23"/>
        <v>0</v>
      </c>
      <c r="P34" s="206">
        <f t="shared" si="24"/>
        <v>3.34</v>
      </c>
      <c r="Q34" s="206">
        <f t="shared" si="25"/>
        <v>0</v>
      </c>
      <c r="R34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4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119170</v>
      </c>
      <c r="T34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34" s="208">
        <f ca="1">IF(Tabla336106734819[[#This Row],[Equity]]&lt;Tabla336106734819[[#This Row],[Equity Peak]],(Tabla336106734819[[#This Row],[Equity Peak]]-Tabla336106734819[[#This Row],[Equity]])/Tabla336106734819[[#This Row],[Equity Peak]],"")</f>
        <v>7.7435470441298915E-3</v>
      </c>
      <c r="V34" s="209">
        <f t="shared" si="26"/>
        <v>3.34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6.5243055555547471</v>
      </c>
      <c r="AE34" s="210">
        <f t="shared" si="35"/>
        <v>6.5243055555547471</v>
      </c>
      <c r="AF34" s="210">
        <f t="shared" si="36"/>
        <v>0</v>
      </c>
      <c r="AG34" s="210">
        <f t="shared" si="37"/>
        <v>0</v>
      </c>
    </row>
    <row r="35" spans="2:33" ht="15" customHeight="1" x14ac:dyDescent="0.3">
      <c r="B35" s="196" t="s">
        <v>7</v>
      </c>
      <c r="C35" s="197" t="s">
        <v>15</v>
      </c>
      <c r="D35" s="198" t="str">
        <f t="shared" si="19"/>
        <v>C</v>
      </c>
      <c r="E35" s="199">
        <v>44068.5</v>
      </c>
      <c r="F35" s="200" t="s">
        <v>120</v>
      </c>
      <c r="G35" s="201">
        <v>1.6510400000000001</v>
      </c>
      <c r="H35" s="201">
        <v>1.6448400000000001</v>
      </c>
      <c r="I35" s="202">
        <f t="shared" si="20"/>
        <v>6.1999999999999833E-3</v>
      </c>
      <c r="J35" s="201">
        <v>1.7171700000000001</v>
      </c>
      <c r="K35" s="199">
        <v>44068.89166666667</v>
      </c>
      <c r="L35" s="201">
        <v>1.6448400000000001</v>
      </c>
      <c r="M35" s="203">
        <f t="shared" si="21"/>
        <v>-6.1999999999999998E-3</v>
      </c>
      <c r="N35" s="204">
        <f t="shared" si="22"/>
        <v>-1</v>
      </c>
      <c r="O35" s="205">
        <f t="shared" si="23"/>
        <v>0</v>
      </c>
      <c r="P35" s="206">
        <f t="shared" si="24"/>
        <v>0</v>
      </c>
      <c r="Q35" s="206">
        <f t="shared" si="25"/>
        <v>-1</v>
      </c>
      <c r="R35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5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115830</v>
      </c>
      <c r="T35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35" s="208">
        <f ca="1">IF(Tabla336106734819[[#This Row],[Equity]]&lt;Tabla336106734819[[#This Row],[Equity Peak]],(Tabla336106734819[[#This Row],[Equity Peak]]-Tabla336106734819[[#This Row],[Equity]])/Tabla336106734819[[#This Row],[Equity Peak]],"")</f>
        <v>3.555370524562864E-2</v>
      </c>
      <c r="V35" s="209">
        <f t="shared" si="26"/>
        <v>-1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0.39166666667006211</v>
      </c>
      <c r="AE35" s="210">
        <f t="shared" si="35"/>
        <v>0</v>
      </c>
      <c r="AF35" s="210">
        <f t="shared" si="36"/>
        <v>0.39166666667006211</v>
      </c>
      <c r="AG35" s="210">
        <f t="shared" si="37"/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19"/>
        <v>C</v>
      </c>
      <c r="E36" s="199">
        <v>44063.017361111109</v>
      </c>
      <c r="F36" s="200" t="s">
        <v>120</v>
      </c>
      <c r="G36" s="201">
        <v>1.64876</v>
      </c>
      <c r="H36" s="201">
        <v>1.6427400000000001</v>
      </c>
      <c r="I36" s="202">
        <f t="shared" si="20"/>
        <v>6.0199999999999143E-3</v>
      </c>
      <c r="J36" s="201">
        <v>1.7129700000000001</v>
      </c>
      <c r="K36" s="199">
        <v>44063.911111111112</v>
      </c>
      <c r="L36" s="201">
        <v>1.6484799999999999</v>
      </c>
      <c r="M36" s="203">
        <f t="shared" si="21"/>
        <v>-2.9999999999999997E-4</v>
      </c>
      <c r="N36" s="204">
        <f t="shared" si="22"/>
        <v>-0.05</v>
      </c>
      <c r="O36" s="205">
        <f t="shared" si="23"/>
        <v>0</v>
      </c>
      <c r="P36" s="206">
        <f t="shared" si="24"/>
        <v>0</v>
      </c>
      <c r="Q36" s="206">
        <f t="shared" si="25"/>
        <v>-0.05</v>
      </c>
      <c r="R36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6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116830</v>
      </c>
      <c r="T36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36" s="208">
        <f ca="1">IF(Tabla336106734819[[#This Row],[Equity]]&lt;Tabla336106734819[[#This Row],[Equity Peak]],(Tabla336106734819[[#This Row],[Equity Peak]]-Tabla336106734819[[#This Row],[Equity]])/Tabla336106734819[[#This Row],[Equity Peak]],"")</f>
        <v>2.7227310574521234E-2</v>
      </c>
      <c r="V36" s="209">
        <f t="shared" si="26"/>
        <v>-0.05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0.89375000000291038</v>
      </c>
      <c r="AE36" s="210">
        <f t="shared" si="35"/>
        <v>0</v>
      </c>
      <c r="AF36" s="210">
        <f t="shared" si="36"/>
        <v>0.89375000000291038</v>
      </c>
      <c r="AG36" s="210">
        <f t="shared" si="37"/>
        <v>0</v>
      </c>
    </row>
    <row r="37" spans="2:33" ht="15" customHeight="1" x14ac:dyDescent="0.3">
      <c r="B37" s="196" t="s">
        <v>7</v>
      </c>
      <c r="C37" s="197" t="s">
        <v>13</v>
      </c>
      <c r="D37" s="198" t="str">
        <f t="shared" si="19"/>
        <v>C</v>
      </c>
      <c r="E37" s="199">
        <v>44062.833333333336</v>
      </c>
      <c r="F37" s="200" t="s">
        <v>120</v>
      </c>
      <c r="G37" s="201">
        <v>1.6429800000000001</v>
      </c>
      <c r="H37" s="201">
        <v>1.6485300000000001</v>
      </c>
      <c r="I37" s="202">
        <f t="shared" si="20"/>
        <v>5.5499999999999439E-3</v>
      </c>
      <c r="J37" s="201">
        <v>1.58379</v>
      </c>
      <c r="K37" s="199">
        <v>44062.902083333334</v>
      </c>
      <c r="L37" s="201">
        <v>1.6485300000000001</v>
      </c>
      <c r="M37" s="203">
        <f t="shared" si="21"/>
        <v>-5.4999999999999997E-3</v>
      </c>
      <c r="N37" s="204">
        <f t="shared" si="22"/>
        <v>-0.99</v>
      </c>
      <c r="O37" s="205">
        <f t="shared" si="23"/>
        <v>0</v>
      </c>
      <c r="P37" s="206">
        <f t="shared" si="24"/>
        <v>0</v>
      </c>
      <c r="Q37" s="206">
        <f t="shared" si="25"/>
        <v>-0.99</v>
      </c>
      <c r="R37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7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116880</v>
      </c>
      <c r="T37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37" s="208">
        <f ca="1">IF(Tabla336106734819[[#This Row],[Equity]]&lt;Tabla336106734819[[#This Row],[Equity Peak]],(Tabla336106734819[[#This Row],[Equity Peak]]-Tabla336106734819[[#This Row],[Equity]])/Tabla336106734819[[#This Row],[Equity Peak]],"")</f>
        <v>2.6810990840965863E-2</v>
      </c>
      <c r="V37" s="209">
        <f t="shared" si="26"/>
        <v>-0.99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6.8749999998544808E-2</v>
      </c>
      <c r="AE37" s="210">
        <f t="shared" si="35"/>
        <v>0</v>
      </c>
      <c r="AF37" s="210">
        <f t="shared" si="36"/>
        <v>6.8749999998544808E-2</v>
      </c>
      <c r="AG37" s="210">
        <f t="shared" si="37"/>
        <v>0</v>
      </c>
    </row>
    <row r="38" spans="2:33" ht="15" customHeight="1" x14ac:dyDescent="0.3">
      <c r="B38" s="196" t="s">
        <v>7</v>
      </c>
      <c r="C38" s="197" t="s">
        <v>15</v>
      </c>
      <c r="D38" s="198" t="str">
        <f t="shared" si="19"/>
        <v>C</v>
      </c>
      <c r="E38" s="199">
        <v>44055.017361111109</v>
      </c>
      <c r="F38" s="200" t="s">
        <v>120</v>
      </c>
      <c r="G38" s="201">
        <v>1.6438699999999999</v>
      </c>
      <c r="H38" s="201">
        <v>1.6380300000000001</v>
      </c>
      <c r="I38" s="202">
        <f t="shared" si="20"/>
        <v>5.8399999999998453E-3</v>
      </c>
      <c r="J38" s="201">
        <v>1.7061299999999999</v>
      </c>
      <c r="K38" s="199">
        <v>44060.162499999999</v>
      </c>
      <c r="L38" s="201">
        <v>1.6462300000000001</v>
      </c>
      <c r="M38" s="203">
        <f t="shared" si="21"/>
        <v>2.3999999999999998E-3</v>
      </c>
      <c r="N38" s="204">
        <f t="shared" si="22"/>
        <v>0.41</v>
      </c>
      <c r="O38" s="205">
        <f t="shared" si="23"/>
        <v>0</v>
      </c>
      <c r="P38" s="206">
        <f t="shared" si="24"/>
        <v>0.41</v>
      </c>
      <c r="Q38" s="206">
        <f t="shared" si="25"/>
        <v>0</v>
      </c>
      <c r="R38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8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117870</v>
      </c>
      <c r="T38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38" s="208">
        <f ca="1">IF(Tabla336106734819[[#This Row],[Equity]]&lt;Tabla336106734819[[#This Row],[Equity Peak]],(Tabla336106734819[[#This Row],[Equity Peak]]-Tabla336106734819[[#This Row],[Equity]])/Tabla336106734819[[#This Row],[Equity Peak]],"")</f>
        <v>1.8567860116569527E-2</v>
      </c>
      <c r="V38" s="209">
        <f t="shared" si="26"/>
        <v>0.41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0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5.1451388888890506</v>
      </c>
      <c r="AE38" s="210">
        <f t="shared" si="35"/>
        <v>5.1451388888890506</v>
      </c>
      <c r="AF38" s="210">
        <f t="shared" si="36"/>
        <v>0</v>
      </c>
      <c r="AG38" s="210">
        <f t="shared" si="37"/>
        <v>0</v>
      </c>
    </row>
    <row r="39" spans="2:33" ht="15" customHeight="1" x14ac:dyDescent="0.3">
      <c r="B39" s="196" t="s">
        <v>7</v>
      </c>
      <c r="C39" s="197" t="s">
        <v>13</v>
      </c>
      <c r="D39" s="198" t="str">
        <f t="shared" si="19"/>
        <v>C</v>
      </c>
      <c r="E39" s="199">
        <v>44054.333333333336</v>
      </c>
      <c r="F39" s="200" t="s">
        <v>120</v>
      </c>
      <c r="G39" s="201">
        <v>1.63653</v>
      </c>
      <c r="H39" s="201">
        <v>1.64235</v>
      </c>
      <c r="I39" s="202">
        <f t="shared" si="20"/>
        <v>5.8199999999999363E-3</v>
      </c>
      <c r="J39" s="201">
        <v>1.57447</v>
      </c>
      <c r="K39" s="199">
        <v>44054.537499999999</v>
      </c>
      <c r="L39" s="201">
        <v>1.64235</v>
      </c>
      <c r="M39" s="203">
        <f t="shared" si="21"/>
        <v>-5.7999999999999996E-3</v>
      </c>
      <c r="N39" s="204">
        <f t="shared" si="22"/>
        <v>-1</v>
      </c>
      <c r="O39" s="205">
        <f t="shared" si="23"/>
        <v>0</v>
      </c>
      <c r="P39" s="206">
        <f t="shared" si="24"/>
        <v>0</v>
      </c>
      <c r="Q39" s="206">
        <f t="shared" si="25"/>
        <v>-1</v>
      </c>
      <c r="R39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9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117460</v>
      </c>
      <c r="T39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39" s="208">
        <f ca="1">IF(Tabla336106734819[[#This Row],[Equity]]&lt;Tabla336106734819[[#This Row],[Equity Peak]],(Tabla336106734819[[#This Row],[Equity Peak]]-Tabla336106734819[[#This Row],[Equity]])/Tabla336106734819[[#This Row],[Equity Peak]],"")</f>
        <v>2.1981681931723562E-2</v>
      </c>
      <c r="V39" s="209">
        <f t="shared" si="26"/>
        <v>-1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0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0.20416666666278616</v>
      </c>
      <c r="AE39" s="210">
        <f t="shared" si="35"/>
        <v>0</v>
      </c>
      <c r="AF39" s="210">
        <f t="shared" si="36"/>
        <v>0.20416666666278616</v>
      </c>
      <c r="AG39" s="210">
        <f t="shared" si="37"/>
        <v>0</v>
      </c>
    </row>
    <row r="40" spans="2:33" ht="15" customHeight="1" x14ac:dyDescent="0.3">
      <c r="B40" s="196" t="s">
        <v>7</v>
      </c>
      <c r="C40" s="197" t="s">
        <v>15</v>
      </c>
      <c r="D40" s="198" t="str">
        <f t="shared" si="19"/>
        <v>C</v>
      </c>
      <c r="E40" s="199">
        <v>44036.017361111109</v>
      </c>
      <c r="F40" s="200" t="s">
        <v>120</v>
      </c>
      <c r="G40" s="201">
        <v>1.6335</v>
      </c>
      <c r="H40" s="201">
        <v>1.62608</v>
      </c>
      <c r="I40" s="202">
        <f t="shared" si="20"/>
        <v>7.4199999999999822E-3</v>
      </c>
      <c r="J40" s="201">
        <v>1.71269</v>
      </c>
      <c r="K40" s="199">
        <v>44040.756249999999</v>
      </c>
      <c r="L40" s="201">
        <v>1.63584</v>
      </c>
      <c r="M40" s="203">
        <f t="shared" si="21"/>
        <v>2.3E-3</v>
      </c>
      <c r="N40" s="204">
        <f t="shared" si="22"/>
        <v>0.31</v>
      </c>
      <c r="O40" s="205">
        <f t="shared" si="23"/>
        <v>0</v>
      </c>
      <c r="P40" s="206">
        <f t="shared" si="24"/>
        <v>0.31</v>
      </c>
      <c r="Q40" s="206">
        <f t="shared" si="25"/>
        <v>0</v>
      </c>
      <c r="R40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0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118460</v>
      </c>
      <c r="T40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40" s="208">
        <f ca="1">IF(Tabla336106734819[[#This Row],[Equity]]&lt;Tabla336106734819[[#This Row],[Equity Peak]],(Tabla336106734819[[#This Row],[Equity Peak]]-Tabla336106734819[[#This Row],[Equity]])/Tabla336106734819[[#This Row],[Equity Peak]],"")</f>
        <v>1.3655287260616154E-2</v>
      </c>
      <c r="V40" s="209">
        <f t="shared" si="26"/>
        <v>0.31</v>
      </c>
      <c r="W40" s="209">
        <f t="shared" si="27"/>
        <v>0</v>
      </c>
      <c r="X40" s="209">
        <f t="shared" si="28"/>
        <v>0</v>
      </c>
      <c r="Y40" s="209">
        <f t="shared" si="29"/>
        <v>0</v>
      </c>
      <c r="Z40" s="209">
        <f t="shared" si="30"/>
        <v>0</v>
      </c>
      <c r="AA40" s="205">
        <f t="shared" si="31"/>
        <v>0</v>
      </c>
      <c r="AB40" s="209">
        <f t="shared" si="32"/>
        <v>0</v>
      </c>
      <c r="AC40" s="205">
        <f t="shared" si="33"/>
        <v>0</v>
      </c>
      <c r="AD40" s="210">
        <f t="shared" si="34"/>
        <v>4.7388888888890506</v>
      </c>
      <c r="AE40" s="210">
        <f t="shared" si="35"/>
        <v>4.7388888888890506</v>
      </c>
      <c r="AF40" s="210">
        <f t="shared" si="36"/>
        <v>0</v>
      </c>
      <c r="AG40" s="210">
        <f t="shared" si="37"/>
        <v>0</v>
      </c>
    </row>
    <row r="41" spans="2:33" ht="15" customHeight="1" x14ac:dyDescent="0.3">
      <c r="B41" s="196" t="s">
        <v>7</v>
      </c>
      <c r="C41" s="197" t="s">
        <v>13</v>
      </c>
      <c r="D41" s="198" t="str">
        <f t="shared" si="19"/>
        <v>C</v>
      </c>
      <c r="E41" s="199">
        <v>44033.5</v>
      </c>
      <c r="F41" s="200" t="s">
        <v>120</v>
      </c>
      <c r="G41" s="201">
        <v>1.62201</v>
      </c>
      <c r="H41" s="201">
        <v>1.62836</v>
      </c>
      <c r="I41" s="202">
        <f t="shared" si="20"/>
        <v>6.3500000000000778E-3</v>
      </c>
      <c r="J41" s="201">
        <v>1.5542499999999999</v>
      </c>
      <c r="K41" s="199">
        <v>44034.712500000001</v>
      </c>
      <c r="L41" s="201">
        <v>1.62209</v>
      </c>
      <c r="M41" s="203">
        <f t="shared" si="21"/>
        <v>-1E-4</v>
      </c>
      <c r="N41" s="204">
        <f t="shared" si="22"/>
        <v>-0.02</v>
      </c>
      <c r="O41" s="205">
        <f t="shared" si="23"/>
        <v>0</v>
      </c>
      <c r="P41" s="206">
        <f t="shared" si="24"/>
        <v>0</v>
      </c>
      <c r="Q41" s="206">
        <f t="shared" si="25"/>
        <v>-0.02</v>
      </c>
      <c r="R41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1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118150</v>
      </c>
      <c r="T41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41" s="208">
        <f ca="1">IF(Tabla336106734819[[#This Row],[Equity]]&lt;Tabla336106734819[[#This Row],[Equity Peak]],(Tabla336106734819[[#This Row],[Equity Peak]]-Tabla336106734819[[#This Row],[Equity]])/Tabla336106734819[[#This Row],[Equity Peak]],"")</f>
        <v>1.6236469608659449E-2</v>
      </c>
      <c r="V41" s="209">
        <f t="shared" si="26"/>
        <v>-0.02</v>
      </c>
      <c r="W41" s="209">
        <f t="shared" si="27"/>
        <v>0</v>
      </c>
      <c r="X41" s="209">
        <f t="shared" si="28"/>
        <v>0</v>
      </c>
      <c r="Y41" s="209">
        <f t="shared" si="29"/>
        <v>0</v>
      </c>
      <c r="Z41" s="209">
        <f t="shared" si="30"/>
        <v>0</v>
      </c>
      <c r="AA41" s="205">
        <f t="shared" si="31"/>
        <v>0</v>
      </c>
      <c r="AB41" s="209">
        <f t="shared" si="32"/>
        <v>0</v>
      </c>
      <c r="AC41" s="205">
        <f t="shared" si="33"/>
        <v>0</v>
      </c>
      <c r="AD41" s="210">
        <f t="shared" si="34"/>
        <v>1.2125000000014552</v>
      </c>
      <c r="AE41" s="210">
        <f t="shared" si="35"/>
        <v>0</v>
      </c>
      <c r="AF41" s="210">
        <f t="shared" si="36"/>
        <v>1.2125000000014552</v>
      </c>
      <c r="AG41" s="210">
        <f t="shared" si="37"/>
        <v>0</v>
      </c>
    </row>
    <row r="42" spans="2:33" ht="15" customHeight="1" x14ac:dyDescent="0.3">
      <c r="B42" s="196" t="s">
        <v>7</v>
      </c>
      <c r="C42" s="197" t="s">
        <v>15</v>
      </c>
      <c r="D42" s="198" t="str">
        <f t="shared" si="19"/>
        <v>C</v>
      </c>
      <c r="E42" s="199">
        <v>44026.017361111109</v>
      </c>
      <c r="F42" s="200" t="s">
        <v>120</v>
      </c>
      <c r="G42" s="201">
        <v>1.63385</v>
      </c>
      <c r="H42" s="201">
        <v>1.62748</v>
      </c>
      <c r="I42" s="202">
        <f t="shared" si="20"/>
        <v>6.3699999999999868E-3</v>
      </c>
      <c r="J42" s="201">
        <v>1.7017899999999999</v>
      </c>
      <c r="K42" s="199">
        <v>44027.177777777775</v>
      </c>
      <c r="L42" s="201">
        <v>1.63005</v>
      </c>
      <c r="M42" s="203">
        <f t="shared" si="21"/>
        <v>-3.8E-3</v>
      </c>
      <c r="N42" s="204">
        <f t="shared" si="22"/>
        <v>-0.6</v>
      </c>
      <c r="O42" s="205">
        <f t="shared" si="23"/>
        <v>0</v>
      </c>
      <c r="P42" s="206">
        <f t="shared" si="24"/>
        <v>0</v>
      </c>
      <c r="Q42" s="206">
        <f t="shared" si="25"/>
        <v>-0.6</v>
      </c>
      <c r="R42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2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118170</v>
      </c>
      <c r="T42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42" s="208">
        <f ca="1">IF(Tabla336106734819[[#This Row],[Equity]]&lt;Tabla336106734819[[#This Row],[Equity Peak]],(Tabla336106734819[[#This Row],[Equity Peak]]-Tabla336106734819[[#This Row],[Equity]])/Tabla336106734819[[#This Row],[Equity Peak]],"")</f>
        <v>1.6069941715237301E-2</v>
      </c>
      <c r="V42" s="209">
        <f t="shared" si="26"/>
        <v>-0.6</v>
      </c>
      <c r="W42" s="209">
        <f t="shared" si="27"/>
        <v>0</v>
      </c>
      <c r="X42" s="209">
        <f t="shared" si="28"/>
        <v>0</v>
      </c>
      <c r="Y42" s="209">
        <f t="shared" si="29"/>
        <v>0</v>
      </c>
      <c r="Z42" s="209">
        <f t="shared" si="30"/>
        <v>0</v>
      </c>
      <c r="AA42" s="205">
        <f t="shared" si="31"/>
        <v>0</v>
      </c>
      <c r="AB42" s="209">
        <f t="shared" si="32"/>
        <v>0</v>
      </c>
      <c r="AC42" s="205">
        <f t="shared" si="33"/>
        <v>0</v>
      </c>
      <c r="AD42" s="210">
        <f t="shared" si="34"/>
        <v>1.1604166666656965</v>
      </c>
      <c r="AE42" s="210">
        <f t="shared" si="35"/>
        <v>0</v>
      </c>
      <c r="AF42" s="210">
        <f t="shared" si="36"/>
        <v>1.1604166666656965</v>
      </c>
      <c r="AG42" s="210">
        <f t="shared" si="37"/>
        <v>0</v>
      </c>
    </row>
    <row r="43" spans="2:33" ht="15" customHeight="1" x14ac:dyDescent="0.3">
      <c r="B43" s="196" t="s">
        <v>7</v>
      </c>
      <c r="C43" s="197" t="s">
        <v>13</v>
      </c>
      <c r="D43" s="198" t="str">
        <f t="shared" si="19"/>
        <v>C</v>
      </c>
      <c r="E43" s="199">
        <v>44012.833333333336</v>
      </c>
      <c r="F43" s="200" t="s">
        <v>120</v>
      </c>
      <c r="G43" s="201">
        <v>1.6317900000000001</v>
      </c>
      <c r="H43" s="201">
        <v>1.6394299999999999</v>
      </c>
      <c r="I43" s="202">
        <f t="shared" si="20"/>
        <v>7.6399999999998691E-3</v>
      </c>
      <c r="J43" s="201">
        <v>1.5502499999999999</v>
      </c>
      <c r="K43" s="199">
        <v>44019.443749999999</v>
      </c>
      <c r="L43" s="201">
        <v>1.6270100000000001</v>
      </c>
      <c r="M43" s="203">
        <f t="shared" si="21"/>
        <v>4.7999999999999996E-3</v>
      </c>
      <c r="N43" s="204">
        <f t="shared" si="22"/>
        <v>0.63</v>
      </c>
      <c r="O43" s="205">
        <f t="shared" si="23"/>
        <v>0</v>
      </c>
      <c r="P43" s="206">
        <f t="shared" si="24"/>
        <v>0.63</v>
      </c>
      <c r="Q43" s="206">
        <f t="shared" si="25"/>
        <v>0</v>
      </c>
      <c r="R43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3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118770</v>
      </c>
      <c r="T43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43" s="208">
        <f ca="1">IF(Tabla336106734819[[#This Row],[Equity]]&lt;Tabla336106734819[[#This Row],[Equity Peak]],(Tabla336106734819[[#This Row],[Equity Peak]]-Tabla336106734819[[#This Row],[Equity]])/Tabla336106734819[[#This Row],[Equity Peak]],"")</f>
        <v>1.1074104912572855E-2</v>
      </c>
      <c r="V43" s="209">
        <f t="shared" si="26"/>
        <v>0.63</v>
      </c>
      <c r="W43" s="209">
        <f t="shared" si="27"/>
        <v>0</v>
      </c>
      <c r="X43" s="209">
        <f t="shared" si="28"/>
        <v>0</v>
      </c>
      <c r="Y43" s="209">
        <f t="shared" si="29"/>
        <v>0</v>
      </c>
      <c r="Z43" s="209">
        <f t="shared" si="30"/>
        <v>0</v>
      </c>
      <c r="AA43" s="205">
        <f t="shared" si="31"/>
        <v>0</v>
      </c>
      <c r="AB43" s="209">
        <f t="shared" si="32"/>
        <v>0</v>
      </c>
      <c r="AC43" s="205">
        <f t="shared" si="33"/>
        <v>0</v>
      </c>
      <c r="AD43" s="210">
        <f t="shared" si="34"/>
        <v>6.6104166666627862</v>
      </c>
      <c r="AE43" s="210">
        <f t="shared" si="35"/>
        <v>6.6104166666627862</v>
      </c>
      <c r="AF43" s="210">
        <f t="shared" si="36"/>
        <v>0</v>
      </c>
      <c r="AG43" s="210">
        <f t="shared" si="37"/>
        <v>0</v>
      </c>
    </row>
    <row r="44" spans="2:33" ht="15" customHeight="1" x14ac:dyDescent="0.3">
      <c r="B44" s="196" t="s">
        <v>7</v>
      </c>
      <c r="C44" s="197" t="s">
        <v>13</v>
      </c>
      <c r="D44" s="198" t="str">
        <f t="shared" si="19"/>
        <v>C</v>
      </c>
      <c r="E44" s="199">
        <v>44007.5</v>
      </c>
      <c r="F44" s="200" t="s">
        <v>120</v>
      </c>
      <c r="G44" s="201">
        <v>1.6316999999999999</v>
      </c>
      <c r="H44" s="201">
        <v>1.6409800000000001</v>
      </c>
      <c r="I44" s="202">
        <f t="shared" si="20"/>
        <v>9.280000000000177E-3</v>
      </c>
      <c r="J44" s="201">
        <v>1.53271</v>
      </c>
      <c r="K44" s="199">
        <v>44008.804861111108</v>
      </c>
      <c r="L44" s="201">
        <v>1.6369800000000001</v>
      </c>
      <c r="M44" s="203">
        <f t="shared" si="21"/>
        <v>-5.3E-3</v>
      </c>
      <c r="N44" s="204">
        <f t="shared" si="22"/>
        <v>-0.56999999999999995</v>
      </c>
      <c r="O44" s="205">
        <f t="shared" si="23"/>
        <v>0</v>
      </c>
      <c r="P44" s="206">
        <f t="shared" si="24"/>
        <v>0</v>
      </c>
      <c r="Q44" s="206">
        <f t="shared" si="25"/>
        <v>-0.56999999999999995</v>
      </c>
      <c r="R44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4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118140</v>
      </c>
      <c r="T44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44" s="208">
        <f ca="1">IF(Tabla336106734819[[#This Row],[Equity]]&lt;Tabla336106734819[[#This Row],[Equity Peak]],(Tabla336106734819[[#This Row],[Equity Peak]]-Tabla336106734819[[#This Row],[Equity]])/Tabla336106734819[[#This Row],[Equity Peak]],"")</f>
        <v>1.6319733555370523E-2</v>
      </c>
      <c r="V44" s="209">
        <f t="shared" si="26"/>
        <v>-0.56999999999999995</v>
      </c>
      <c r="W44" s="209">
        <f t="shared" si="27"/>
        <v>0</v>
      </c>
      <c r="X44" s="209">
        <f t="shared" si="28"/>
        <v>0</v>
      </c>
      <c r="Y44" s="209">
        <f t="shared" si="29"/>
        <v>0</v>
      </c>
      <c r="Z44" s="209">
        <f t="shared" si="30"/>
        <v>0</v>
      </c>
      <c r="AA44" s="205">
        <f t="shared" si="31"/>
        <v>0</v>
      </c>
      <c r="AB44" s="209">
        <f t="shared" si="32"/>
        <v>0</v>
      </c>
      <c r="AC44" s="205">
        <f t="shared" si="33"/>
        <v>0</v>
      </c>
      <c r="AD44" s="210">
        <f t="shared" si="34"/>
        <v>1.304861111108039</v>
      </c>
      <c r="AE44" s="210">
        <f t="shared" si="35"/>
        <v>0</v>
      </c>
      <c r="AF44" s="210">
        <f t="shared" si="36"/>
        <v>1.304861111108039</v>
      </c>
      <c r="AG44" s="210">
        <f t="shared" si="37"/>
        <v>0</v>
      </c>
    </row>
    <row r="45" spans="2:33" ht="15" customHeight="1" x14ac:dyDescent="0.3">
      <c r="B45" s="196" t="s">
        <v>7</v>
      </c>
      <c r="C45" s="197" t="s">
        <v>13</v>
      </c>
      <c r="D45" s="198" t="str">
        <f t="shared" si="19"/>
        <v>C</v>
      </c>
      <c r="E45" s="199">
        <v>43998.166666666664</v>
      </c>
      <c r="F45" s="200" t="s">
        <v>120</v>
      </c>
      <c r="G45" s="201">
        <v>1.6307199999999999</v>
      </c>
      <c r="H45" s="201">
        <v>1.64439</v>
      </c>
      <c r="I45" s="202">
        <f t="shared" si="20"/>
        <v>1.3670000000000071E-2</v>
      </c>
      <c r="J45" s="201">
        <v>1.48489</v>
      </c>
      <c r="K45" s="199">
        <v>43998.742361111108</v>
      </c>
      <c r="L45" s="201">
        <v>1.6413</v>
      </c>
      <c r="M45" s="203">
        <f t="shared" si="21"/>
        <v>-1.06E-2</v>
      </c>
      <c r="N45" s="204">
        <f t="shared" si="22"/>
        <v>-0.78</v>
      </c>
      <c r="O45" s="205">
        <f t="shared" si="23"/>
        <v>0</v>
      </c>
      <c r="P45" s="206">
        <f t="shared" si="24"/>
        <v>0</v>
      </c>
      <c r="Q45" s="206">
        <f t="shared" si="25"/>
        <v>-0.78</v>
      </c>
      <c r="R45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5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118710</v>
      </c>
      <c r="T45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45" s="208">
        <f ca="1">IF(Tabla336106734819[[#This Row],[Equity]]&lt;Tabla336106734819[[#This Row],[Equity Peak]],(Tabla336106734819[[#This Row],[Equity Peak]]-Tabla336106734819[[#This Row],[Equity]])/Tabla336106734819[[#This Row],[Equity Peak]],"")</f>
        <v>1.1573688592839301E-2</v>
      </c>
      <c r="V45" s="209">
        <f t="shared" si="26"/>
        <v>-0.78</v>
      </c>
      <c r="W45" s="209">
        <f t="shared" si="27"/>
        <v>0</v>
      </c>
      <c r="X45" s="209">
        <f t="shared" si="28"/>
        <v>0</v>
      </c>
      <c r="Y45" s="209">
        <f t="shared" si="29"/>
        <v>0</v>
      </c>
      <c r="Z45" s="209">
        <f t="shared" si="30"/>
        <v>0</v>
      </c>
      <c r="AA45" s="205">
        <f t="shared" si="31"/>
        <v>0</v>
      </c>
      <c r="AB45" s="209">
        <f t="shared" si="32"/>
        <v>0</v>
      </c>
      <c r="AC45" s="205">
        <f t="shared" si="33"/>
        <v>0</v>
      </c>
      <c r="AD45" s="210">
        <f t="shared" si="34"/>
        <v>0.57569444444379769</v>
      </c>
      <c r="AE45" s="210">
        <f t="shared" si="35"/>
        <v>0</v>
      </c>
      <c r="AF45" s="210">
        <f t="shared" si="36"/>
        <v>0.57569444444379769</v>
      </c>
      <c r="AG45" s="210">
        <f t="shared" si="37"/>
        <v>0</v>
      </c>
    </row>
    <row r="46" spans="2:33" ht="15" customHeight="1" x14ac:dyDescent="0.3">
      <c r="B46" s="196" t="s">
        <v>7</v>
      </c>
      <c r="C46" s="197" t="s">
        <v>15</v>
      </c>
      <c r="D46" s="198" t="str">
        <f t="shared" si="19"/>
        <v>C</v>
      </c>
      <c r="E46" s="199">
        <v>43993.833333333336</v>
      </c>
      <c r="F46" s="200" t="s">
        <v>120</v>
      </c>
      <c r="G46" s="201">
        <v>1.6527700000000001</v>
      </c>
      <c r="H46" s="201">
        <v>1.6414</v>
      </c>
      <c r="I46" s="202">
        <f t="shared" si="20"/>
        <v>1.1370000000000102E-2</v>
      </c>
      <c r="J46" s="201">
        <v>1.774</v>
      </c>
      <c r="K46" s="199">
        <v>43994.426388888889</v>
      </c>
      <c r="L46" s="201">
        <v>1.64584</v>
      </c>
      <c r="M46" s="203">
        <f t="shared" si="21"/>
        <v>-6.8999999999999999E-3</v>
      </c>
      <c r="N46" s="204">
        <f t="shared" si="22"/>
        <v>-0.61</v>
      </c>
      <c r="O46" s="205">
        <f t="shared" si="23"/>
        <v>0</v>
      </c>
      <c r="P46" s="206">
        <f t="shared" si="24"/>
        <v>0</v>
      </c>
      <c r="Q46" s="206">
        <f t="shared" si="25"/>
        <v>-0.61</v>
      </c>
      <c r="R46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6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119490</v>
      </c>
      <c r="T46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46" s="208">
        <f ca="1">IF(Tabla336106734819[[#This Row],[Equity]]&lt;Tabla336106734819[[#This Row],[Equity Peak]],(Tabla336106734819[[#This Row],[Equity Peak]]-Tabla336106734819[[#This Row],[Equity]])/Tabla336106734819[[#This Row],[Equity Peak]],"")</f>
        <v>5.0791007493755204E-3</v>
      </c>
      <c r="V46" s="209">
        <f t="shared" si="26"/>
        <v>-0.61</v>
      </c>
      <c r="W46" s="209">
        <f t="shared" si="27"/>
        <v>0</v>
      </c>
      <c r="X46" s="209">
        <f t="shared" si="28"/>
        <v>0</v>
      </c>
      <c r="Y46" s="209">
        <f t="shared" si="29"/>
        <v>0</v>
      </c>
      <c r="Z46" s="209">
        <f t="shared" si="30"/>
        <v>0</v>
      </c>
      <c r="AA46" s="205">
        <f t="shared" si="31"/>
        <v>0</v>
      </c>
      <c r="AB46" s="209">
        <f t="shared" si="32"/>
        <v>0</v>
      </c>
      <c r="AC46" s="205">
        <f t="shared" si="33"/>
        <v>0</v>
      </c>
      <c r="AD46" s="210">
        <f t="shared" si="34"/>
        <v>0.59305555555329192</v>
      </c>
      <c r="AE46" s="210">
        <f t="shared" si="35"/>
        <v>0</v>
      </c>
      <c r="AF46" s="210">
        <f t="shared" si="36"/>
        <v>0.59305555555329192</v>
      </c>
      <c r="AG46" s="210">
        <f t="shared" si="37"/>
        <v>0</v>
      </c>
    </row>
    <row r="47" spans="2:33" ht="15" customHeight="1" x14ac:dyDescent="0.3">
      <c r="B47" s="196" t="s">
        <v>7</v>
      </c>
      <c r="C47" s="197" t="s">
        <v>13</v>
      </c>
      <c r="D47" s="198" t="str">
        <f t="shared" si="19"/>
        <v>C</v>
      </c>
      <c r="E47" s="199">
        <v>43983.017361111109</v>
      </c>
      <c r="F47" s="200" t="s">
        <v>120</v>
      </c>
      <c r="G47" s="201">
        <v>1.6659299999999999</v>
      </c>
      <c r="H47" s="201">
        <v>1.67567</v>
      </c>
      <c r="I47" s="202">
        <f t="shared" si="20"/>
        <v>9.7400000000000819E-3</v>
      </c>
      <c r="J47" s="201">
        <v>1.56206</v>
      </c>
      <c r="K47" s="199">
        <v>43985.47152777778</v>
      </c>
      <c r="L47" s="201">
        <v>1.6268800000000001</v>
      </c>
      <c r="M47" s="203">
        <f t="shared" si="21"/>
        <v>3.9E-2</v>
      </c>
      <c r="N47" s="204">
        <f t="shared" si="22"/>
        <v>4</v>
      </c>
      <c r="O47" s="205">
        <f t="shared" si="23"/>
        <v>0</v>
      </c>
      <c r="P47" s="206">
        <f t="shared" si="24"/>
        <v>4</v>
      </c>
      <c r="Q47" s="206">
        <f t="shared" si="25"/>
        <v>0</v>
      </c>
      <c r="R47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7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120100</v>
      </c>
      <c r="T47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120100</v>
      </c>
      <c r="U47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47" s="209">
        <f t="shared" si="26"/>
        <v>4</v>
      </c>
      <c r="W47" s="209">
        <f t="shared" si="27"/>
        <v>0</v>
      </c>
      <c r="X47" s="209">
        <f t="shared" si="28"/>
        <v>0</v>
      </c>
      <c r="Y47" s="209">
        <f t="shared" si="29"/>
        <v>0</v>
      </c>
      <c r="Z47" s="209">
        <f t="shared" si="30"/>
        <v>0</v>
      </c>
      <c r="AA47" s="205">
        <f t="shared" si="31"/>
        <v>0</v>
      </c>
      <c r="AB47" s="209">
        <f t="shared" si="32"/>
        <v>0</v>
      </c>
      <c r="AC47" s="205">
        <f t="shared" si="33"/>
        <v>0</v>
      </c>
      <c r="AD47" s="210">
        <f t="shared" si="34"/>
        <v>2.4541666666700621</v>
      </c>
      <c r="AE47" s="210">
        <f t="shared" si="35"/>
        <v>2.4541666666700621</v>
      </c>
      <c r="AF47" s="210">
        <f t="shared" si="36"/>
        <v>0</v>
      </c>
      <c r="AG47" s="210">
        <f t="shared" si="37"/>
        <v>0</v>
      </c>
    </row>
    <row r="48" spans="2:33" ht="15" customHeight="1" x14ac:dyDescent="0.3">
      <c r="B48" s="196" t="s">
        <v>7</v>
      </c>
      <c r="C48" s="197" t="s">
        <v>13</v>
      </c>
      <c r="D48" s="198" t="str">
        <f t="shared" si="19"/>
        <v>C</v>
      </c>
      <c r="E48" s="199">
        <v>43969.5</v>
      </c>
      <c r="F48" s="200" t="s">
        <v>120</v>
      </c>
      <c r="G48" s="201">
        <v>1.6769799999999999</v>
      </c>
      <c r="H48" s="201">
        <v>1.68729</v>
      </c>
      <c r="I48" s="202">
        <f t="shared" si="20"/>
        <v>1.0310000000000041E-2</v>
      </c>
      <c r="J48" s="201">
        <v>1.56701</v>
      </c>
      <c r="K48" s="199">
        <v>43978.634027777778</v>
      </c>
      <c r="L48" s="201">
        <v>1.6569799999999999</v>
      </c>
      <c r="M48" s="203">
        <f t="shared" si="21"/>
        <v>0.02</v>
      </c>
      <c r="N48" s="204">
        <f t="shared" si="22"/>
        <v>1.94</v>
      </c>
      <c r="O48" s="205">
        <f t="shared" si="23"/>
        <v>0</v>
      </c>
      <c r="P48" s="206">
        <f t="shared" si="24"/>
        <v>1.94</v>
      </c>
      <c r="Q48" s="206">
        <f t="shared" si="25"/>
        <v>0</v>
      </c>
      <c r="R48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8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116100</v>
      </c>
      <c r="T48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116100</v>
      </c>
      <c r="U48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48" s="209">
        <f t="shared" si="26"/>
        <v>1.94</v>
      </c>
      <c r="W48" s="209">
        <f t="shared" si="27"/>
        <v>0</v>
      </c>
      <c r="X48" s="209">
        <f t="shared" si="28"/>
        <v>0</v>
      </c>
      <c r="Y48" s="209">
        <f t="shared" si="29"/>
        <v>0</v>
      </c>
      <c r="Z48" s="209">
        <f t="shared" si="30"/>
        <v>0</v>
      </c>
      <c r="AA48" s="205">
        <f t="shared" si="31"/>
        <v>0</v>
      </c>
      <c r="AB48" s="209">
        <f t="shared" si="32"/>
        <v>0</v>
      </c>
      <c r="AC48" s="205">
        <f t="shared" si="33"/>
        <v>0</v>
      </c>
      <c r="AD48" s="210">
        <f t="shared" si="34"/>
        <v>9.1340277777781012</v>
      </c>
      <c r="AE48" s="210">
        <f t="shared" si="35"/>
        <v>9.1340277777781012</v>
      </c>
      <c r="AF48" s="210">
        <f t="shared" si="36"/>
        <v>0</v>
      </c>
      <c r="AG48" s="210">
        <f t="shared" si="37"/>
        <v>0</v>
      </c>
    </row>
    <row r="49" spans="2:33" ht="15" customHeight="1" x14ac:dyDescent="0.3">
      <c r="B49" s="196" t="s">
        <v>7</v>
      </c>
      <c r="C49" s="197" t="s">
        <v>13</v>
      </c>
      <c r="D49" s="198" t="str">
        <f t="shared" si="19"/>
        <v>C</v>
      </c>
      <c r="E49" s="199">
        <v>43956.166666666664</v>
      </c>
      <c r="F49" s="200" t="s">
        <v>120</v>
      </c>
      <c r="G49" s="201">
        <v>1.69282</v>
      </c>
      <c r="H49" s="201">
        <v>1.7055199999999999</v>
      </c>
      <c r="I49" s="202">
        <f t="shared" si="20"/>
        <v>1.2699999999999934E-2</v>
      </c>
      <c r="J49" s="201">
        <v>1.55738</v>
      </c>
      <c r="K49" s="199">
        <v>43958.067361111112</v>
      </c>
      <c r="L49" s="201">
        <v>1.6914</v>
      </c>
      <c r="M49" s="203">
        <f t="shared" si="21"/>
        <v>1.4E-3</v>
      </c>
      <c r="N49" s="204">
        <f t="shared" si="22"/>
        <v>0.11</v>
      </c>
      <c r="O49" s="205">
        <f t="shared" si="23"/>
        <v>0</v>
      </c>
      <c r="P49" s="206">
        <f t="shared" si="24"/>
        <v>0.11</v>
      </c>
      <c r="Q49" s="206">
        <f t="shared" si="25"/>
        <v>0</v>
      </c>
      <c r="R49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9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114160</v>
      </c>
      <c r="T49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114160</v>
      </c>
      <c r="U49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49" s="209">
        <f t="shared" si="26"/>
        <v>0.11</v>
      </c>
      <c r="W49" s="209">
        <f t="shared" si="27"/>
        <v>0</v>
      </c>
      <c r="X49" s="209">
        <f t="shared" si="28"/>
        <v>0</v>
      </c>
      <c r="Y49" s="209">
        <f t="shared" si="29"/>
        <v>0</v>
      </c>
      <c r="Z49" s="209">
        <f t="shared" si="30"/>
        <v>0</v>
      </c>
      <c r="AA49" s="205">
        <f t="shared" si="31"/>
        <v>0</v>
      </c>
      <c r="AB49" s="209">
        <f t="shared" si="32"/>
        <v>0</v>
      </c>
      <c r="AC49" s="205">
        <f t="shared" si="33"/>
        <v>0</v>
      </c>
      <c r="AD49" s="210">
        <f t="shared" si="34"/>
        <v>1.9006944444481633</v>
      </c>
      <c r="AE49" s="210">
        <f t="shared" si="35"/>
        <v>1.9006944444481633</v>
      </c>
      <c r="AF49" s="210">
        <f t="shared" si="36"/>
        <v>0</v>
      </c>
      <c r="AG49" s="210">
        <f t="shared" si="37"/>
        <v>0</v>
      </c>
    </row>
    <row r="50" spans="2:33" ht="15" customHeight="1" x14ac:dyDescent="0.3">
      <c r="B50" s="196" t="s">
        <v>7</v>
      </c>
      <c r="C50" s="197" t="s">
        <v>13</v>
      </c>
      <c r="D50" s="198" t="str">
        <f t="shared" si="19"/>
        <v>C</v>
      </c>
      <c r="E50" s="199">
        <v>43949.833333333336</v>
      </c>
      <c r="F50" s="200" t="s">
        <v>120</v>
      </c>
      <c r="G50" s="201">
        <v>1.6673199999999999</v>
      </c>
      <c r="H50" s="201">
        <v>1.6762600000000001</v>
      </c>
      <c r="I50" s="202">
        <f t="shared" si="20"/>
        <v>8.94000000000017E-3</v>
      </c>
      <c r="J50" s="201">
        <v>1.57196</v>
      </c>
      <c r="K50" s="199">
        <v>43951.650694444441</v>
      </c>
      <c r="L50" s="201">
        <v>1.6669400000000001</v>
      </c>
      <c r="M50" s="203">
        <f t="shared" si="21"/>
        <v>4.0000000000000002E-4</v>
      </c>
      <c r="N50" s="204">
        <f t="shared" si="22"/>
        <v>0.04</v>
      </c>
      <c r="O50" s="205">
        <f t="shared" si="23"/>
        <v>0</v>
      </c>
      <c r="P50" s="206">
        <f t="shared" si="24"/>
        <v>0.04</v>
      </c>
      <c r="Q50" s="206">
        <f t="shared" si="25"/>
        <v>0</v>
      </c>
      <c r="R50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0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114050</v>
      </c>
      <c r="T50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114050</v>
      </c>
      <c r="U50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50" s="209">
        <f t="shared" si="26"/>
        <v>0.04</v>
      </c>
      <c r="W50" s="209">
        <f t="shared" si="27"/>
        <v>0</v>
      </c>
      <c r="X50" s="209">
        <f t="shared" si="28"/>
        <v>0</v>
      </c>
      <c r="Y50" s="209">
        <f t="shared" si="29"/>
        <v>0</v>
      </c>
      <c r="Z50" s="209">
        <f t="shared" si="30"/>
        <v>0</v>
      </c>
      <c r="AA50" s="205">
        <f t="shared" si="31"/>
        <v>0</v>
      </c>
      <c r="AB50" s="209">
        <f t="shared" si="32"/>
        <v>0</v>
      </c>
      <c r="AC50" s="205">
        <f t="shared" si="33"/>
        <v>0</v>
      </c>
      <c r="AD50" s="210">
        <f t="shared" si="34"/>
        <v>1.8173611111051287</v>
      </c>
      <c r="AE50" s="210">
        <f t="shared" si="35"/>
        <v>1.8173611111051287</v>
      </c>
      <c r="AF50" s="210">
        <f t="shared" si="36"/>
        <v>0</v>
      </c>
      <c r="AG50" s="210">
        <f t="shared" si="37"/>
        <v>0</v>
      </c>
    </row>
    <row r="51" spans="2:33" ht="15" customHeight="1" x14ac:dyDescent="0.3">
      <c r="B51" s="196" t="s">
        <v>7</v>
      </c>
      <c r="C51" s="197" t="s">
        <v>15</v>
      </c>
      <c r="D51" s="198" t="str">
        <f t="shared" si="19"/>
        <v>C</v>
      </c>
      <c r="E51" s="199">
        <v>43881.541666666664</v>
      </c>
      <c r="F51" s="200" t="s">
        <v>120</v>
      </c>
      <c r="G51" s="201">
        <v>1.6275599999999999</v>
      </c>
      <c r="H51" s="201">
        <v>1.6206100000000001</v>
      </c>
      <c r="I51" s="202">
        <f t="shared" si="20"/>
        <v>6.9499999999997897E-3</v>
      </c>
      <c r="J51" s="201">
        <v>1.70173</v>
      </c>
      <c r="K51" s="199">
        <v>43889.73333333333</v>
      </c>
      <c r="L51" s="201">
        <v>1.70173</v>
      </c>
      <c r="M51" s="203">
        <f t="shared" si="21"/>
        <v>7.4200000000000002E-2</v>
      </c>
      <c r="N51" s="204">
        <f t="shared" si="22"/>
        <v>10.68</v>
      </c>
      <c r="O51" s="205">
        <f t="shared" si="23"/>
        <v>0</v>
      </c>
      <c r="P51" s="206">
        <f t="shared" si="24"/>
        <v>10.68</v>
      </c>
      <c r="Q51" s="206">
        <f t="shared" si="25"/>
        <v>0</v>
      </c>
      <c r="R51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1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114010</v>
      </c>
      <c r="T51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114010</v>
      </c>
      <c r="U51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51" s="209">
        <f t="shared" si="26"/>
        <v>10.68</v>
      </c>
      <c r="W51" s="209">
        <f t="shared" si="27"/>
        <v>0</v>
      </c>
      <c r="X51" s="209">
        <f t="shared" si="28"/>
        <v>0</v>
      </c>
      <c r="Y51" s="209">
        <f t="shared" si="29"/>
        <v>0</v>
      </c>
      <c r="Z51" s="209">
        <f t="shared" si="30"/>
        <v>0</v>
      </c>
      <c r="AA51" s="205">
        <f t="shared" si="31"/>
        <v>0</v>
      </c>
      <c r="AB51" s="209">
        <f t="shared" si="32"/>
        <v>0</v>
      </c>
      <c r="AC51" s="205">
        <f t="shared" si="33"/>
        <v>0</v>
      </c>
      <c r="AD51" s="210">
        <f t="shared" si="34"/>
        <v>8.1916666666656965</v>
      </c>
      <c r="AE51" s="210">
        <f t="shared" si="35"/>
        <v>8.1916666666656965</v>
      </c>
      <c r="AF51" s="210">
        <f t="shared" si="36"/>
        <v>0</v>
      </c>
      <c r="AG51" s="210">
        <f t="shared" si="37"/>
        <v>0</v>
      </c>
    </row>
    <row r="52" spans="2:33" ht="15" customHeight="1" x14ac:dyDescent="0.3">
      <c r="B52" s="196" t="s">
        <v>7</v>
      </c>
      <c r="C52" s="197" t="s">
        <v>13</v>
      </c>
      <c r="D52" s="198" t="str">
        <f t="shared" si="19"/>
        <v>C</v>
      </c>
      <c r="E52" s="199">
        <v>43872.166666666664</v>
      </c>
      <c r="F52" s="200" t="s">
        <v>120</v>
      </c>
      <c r="G52" s="201">
        <v>1.62879</v>
      </c>
      <c r="H52" s="201">
        <v>1.6355200000000001</v>
      </c>
      <c r="I52" s="202">
        <f t="shared" si="20"/>
        <v>6.7300000000001248E-3</v>
      </c>
      <c r="J52" s="201">
        <v>1.55705</v>
      </c>
      <c r="K52" s="199">
        <v>43879.106944444444</v>
      </c>
      <c r="L52" s="201">
        <v>1.6182700000000001</v>
      </c>
      <c r="M52" s="203">
        <f t="shared" si="21"/>
        <v>1.0500000000000001E-2</v>
      </c>
      <c r="N52" s="204">
        <f t="shared" si="22"/>
        <v>1.56</v>
      </c>
      <c r="O52" s="205">
        <f t="shared" si="23"/>
        <v>0</v>
      </c>
      <c r="P52" s="206">
        <f t="shared" si="24"/>
        <v>1.56</v>
      </c>
      <c r="Q52" s="206">
        <f t="shared" si="25"/>
        <v>0</v>
      </c>
      <c r="R52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2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103330</v>
      </c>
      <c r="T52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103330</v>
      </c>
      <c r="U52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52" s="209">
        <f t="shared" si="26"/>
        <v>1.56</v>
      </c>
      <c r="W52" s="209">
        <f t="shared" si="27"/>
        <v>0</v>
      </c>
      <c r="X52" s="209">
        <f t="shared" si="28"/>
        <v>0</v>
      </c>
      <c r="Y52" s="209">
        <f t="shared" si="29"/>
        <v>0</v>
      </c>
      <c r="Z52" s="209">
        <f t="shared" si="30"/>
        <v>0</v>
      </c>
      <c r="AA52" s="205">
        <f t="shared" si="31"/>
        <v>0</v>
      </c>
      <c r="AB52" s="209">
        <f t="shared" si="32"/>
        <v>0</v>
      </c>
      <c r="AC52" s="205">
        <f t="shared" si="33"/>
        <v>0</v>
      </c>
      <c r="AD52" s="210">
        <f t="shared" si="34"/>
        <v>6.9402777777795563</v>
      </c>
      <c r="AE52" s="210">
        <f t="shared" si="35"/>
        <v>6.9402777777795563</v>
      </c>
      <c r="AF52" s="210">
        <f t="shared" si="36"/>
        <v>0</v>
      </c>
      <c r="AG52" s="210">
        <f t="shared" si="37"/>
        <v>0</v>
      </c>
    </row>
    <row r="53" spans="2:33" ht="15" customHeight="1" x14ac:dyDescent="0.3">
      <c r="B53" s="196" t="s">
        <v>7</v>
      </c>
      <c r="C53" s="197" t="s">
        <v>15</v>
      </c>
      <c r="D53" s="198" t="str">
        <f t="shared" ref="D53:D63" si="38">IF(E53&lt;&gt;"",IF(K53&lt;&gt;"","C","O"),"")</f>
        <v>C</v>
      </c>
      <c r="E53" s="199">
        <v>43868.333333333336</v>
      </c>
      <c r="F53" s="200" t="s">
        <v>120</v>
      </c>
      <c r="G53" s="201">
        <v>1.63462</v>
      </c>
      <c r="H53" s="201">
        <v>1.6273200000000001</v>
      </c>
      <c r="I53" s="202">
        <f t="shared" ref="I53:I63" si="39">ABS(G53-H53)</f>
        <v>7.2999999999998622E-3</v>
      </c>
      <c r="J53" s="201">
        <v>1.71252</v>
      </c>
      <c r="K53" s="199">
        <v>43871.270833333336</v>
      </c>
      <c r="L53" s="201">
        <v>1.63402</v>
      </c>
      <c r="M53" s="203">
        <f t="shared" ref="M53:M63" si="40">ROUND(IF(C53="L",(L53-G53),(G53-L53)),4)</f>
        <v>-5.9999999999999995E-4</v>
      </c>
      <c r="N53" s="204">
        <f t="shared" ref="N53:N63" si="41">IFERROR(ROUND((M53/I53),2),"")</f>
        <v>-0.08</v>
      </c>
      <c r="O53" s="205">
        <f t="shared" ref="O53:O63" si="42">IF(D53="O",IF(N53&lt;0,N53,0),0)</f>
        <v>0</v>
      </c>
      <c r="P53" s="206">
        <f t="shared" ref="P53:P63" si="43">IF(N53&gt;= 0,N53,0)</f>
        <v>0</v>
      </c>
      <c r="Q53" s="206">
        <f t="shared" ref="Q53:Q63" si="44">IF(N53&lt;0,N53,0)</f>
        <v>-0.08</v>
      </c>
      <c r="R53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3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101770</v>
      </c>
      <c r="T53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101850</v>
      </c>
      <c r="U53" s="208">
        <f ca="1">IF(Tabla336106734819[[#This Row],[Equity]]&lt;Tabla336106734819[[#This Row],[Equity Peak]],(Tabla336106734819[[#This Row],[Equity Peak]]-Tabla336106734819[[#This Row],[Equity]])/Tabla336106734819[[#This Row],[Equity Peak]],"")</f>
        <v>7.8546882670594014E-4</v>
      </c>
      <c r="V53" s="209">
        <f t="shared" ref="V53:V63" si="45">IF(B53="FX",N53,0)</f>
        <v>-0.08</v>
      </c>
      <c r="W53" s="209">
        <f t="shared" ref="W53:W63" si="46">IF(D53="O",IF(V53&lt;0,V53,0),0)</f>
        <v>0</v>
      </c>
      <c r="X53" s="209">
        <f t="shared" ref="X53:X63" si="47">IF(B53="COM",N53,0)</f>
        <v>0</v>
      </c>
      <c r="Y53" s="209">
        <f t="shared" ref="Y53:Y63" si="48">IF(D53="O",IF(X53&lt;0,X53,0),0)</f>
        <v>0</v>
      </c>
      <c r="Z53" s="209">
        <f t="shared" ref="Z53:Z63" si="49">IF(B53="IND",N53,0)</f>
        <v>0</v>
      </c>
      <c r="AA53" s="205">
        <f t="shared" ref="AA53:AA63" si="50">IF(D53="O",IF(Z53&lt;0,Z53,0),0)</f>
        <v>0</v>
      </c>
      <c r="AB53" s="209">
        <f t="shared" ref="AB53:AB63" si="51">IF(B53="CRYPTO",N53,0)</f>
        <v>0</v>
      </c>
      <c r="AC53" s="205">
        <f t="shared" ref="AC53:AC63" si="52">IF(D53="O",IF(AB53&lt;0,AB53,0),0)</f>
        <v>0</v>
      </c>
      <c r="AD53" s="210">
        <f t="shared" ref="AD53:AD63" si="53">IF(K53&lt;&gt;"",K53-E53,0)</f>
        <v>2.9375</v>
      </c>
      <c r="AE53" s="210">
        <f t="shared" ref="AE53:AE63" si="54">IF(N53&gt;0,AD53,0)</f>
        <v>0</v>
      </c>
      <c r="AF53" s="210">
        <f t="shared" ref="AF53:AF63" si="55">IF(N53&lt;0,AD53,0)</f>
        <v>2.9375</v>
      </c>
      <c r="AG53" s="210">
        <f t="shared" ref="AG53:AG63" si="56">IF(N53=0,AD53,0)</f>
        <v>0</v>
      </c>
    </row>
    <row r="54" spans="2:33" ht="15" customHeight="1" x14ac:dyDescent="0.3">
      <c r="B54" s="196" t="s">
        <v>7</v>
      </c>
      <c r="C54" s="197" t="s">
        <v>15</v>
      </c>
      <c r="D54" s="198" t="str">
        <f t="shared" si="38"/>
        <v>C</v>
      </c>
      <c r="E54" s="199">
        <v>43854.833333333336</v>
      </c>
      <c r="F54" s="200" t="s">
        <v>120</v>
      </c>
      <c r="G54" s="201">
        <v>1.6160699999999999</v>
      </c>
      <c r="H54" s="201">
        <v>1.6099300000000001</v>
      </c>
      <c r="I54" s="202">
        <f t="shared" si="39"/>
        <v>6.1399999999998123E-3</v>
      </c>
      <c r="J54" s="201">
        <v>1.6815800000000001</v>
      </c>
      <c r="K54" s="199">
        <v>43864.677083333336</v>
      </c>
      <c r="L54" s="201">
        <v>1.6485300000000001</v>
      </c>
      <c r="M54" s="203">
        <f t="shared" si="40"/>
        <v>3.2500000000000001E-2</v>
      </c>
      <c r="N54" s="204">
        <f t="shared" si="41"/>
        <v>5.29</v>
      </c>
      <c r="O54" s="205">
        <f t="shared" si="42"/>
        <v>0</v>
      </c>
      <c r="P54" s="206">
        <f t="shared" si="43"/>
        <v>5.29</v>
      </c>
      <c r="Q54" s="206">
        <f t="shared" si="44"/>
        <v>0</v>
      </c>
      <c r="R54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4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101850</v>
      </c>
      <c r="T54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101850</v>
      </c>
      <c r="U54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54" s="209">
        <f t="shared" si="45"/>
        <v>5.29</v>
      </c>
      <c r="W54" s="209">
        <f t="shared" si="46"/>
        <v>0</v>
      </c>
      <c r="X54" s="209">
        <f t="shared" si="47"/>
        <v>0</v>
      </c>
      <c r="Y54" s="209">
        <f t="shared" si="48"/>
        <v>0</v>
      </c>
      <c r="Z54" s="209">
        <f t="shared" si="49"/>
        <v>0</v>
      </c>
      <c r="AA54" s="205">
        <f t="shared" si="50"/>
        <v>0</v>
      </c>
      <c r="AB54" s="209">
        <f t="shared" si="51"/>
        <v>0</v>
      </c>
      <c r="AC54" s="205">
        <f t="shared" si="52"/>
        <v>0</v>
      </c>
      <c r="AD54" s="210">
        <f t="shared" si="53"/>
        <v>9.84375</v>
      </c>
      <c r="AE54" s="210">
        <f t="shared" si="54"/>
        <v>9.84375</v>
      </c>
      <c r="AF54" s="210">
        <f t="shared" si="55"/>
        <v>0</v>
      </c>
      <c r="AG54" s="210">
        <f t="shared" si="56"/>
        <v>0</v>
      </c>
    </row>
    <row r="55" spans="2:33" ht="15" customHeight="1" x14ac:dyDescent="0.3">
      <c r="B55" s="196" t="s">
        <v>7</v>
      </c>
      <c r="C55" s="197" t="s">
        <v>13</v>
      </c>
      <c r="D55" s="198" t="str">
        <f t="shared" si="38"/>
        <v>C</v>
      </c>
      <c r="E55" s="199">
        <v>43854.5</v>
      </c>
      <c r="F55" s="200" t="s">
        <v>120</v>
      </c>
      <c r="G55" s="201">
        <v>1.6138300000000001</v>
      </c>
      <c r="H55" s="201">
        <v>1.6196999999999999</v>
      </c>
      <c r="I55" s="202">
        <f t="shared" si="39"/>
        <v>5.8699999999998198E-3</v>
      </c>
      <c r="J55" s="201">
        <v>1.55122</v>
      </c>
      <c r="K55" s="199">
        <v>43854.833333333336</v>
      </c>
      <c r="L55" s="201">
        <v>1.6160699999999999</v>
      </c>
      <c r="M55" s="203">
        <f t="shared" si="40"/>
        <v>-2.2000000000000001E-3</v>
      </c>
      <c r="N55" s="204">
        <f t="shared" si="41"/>
        <v>-0.37</v>
      </c>
      <c r="O55" s="205">
        <f t="shared" si="42"/>
        <v>0</v>
      </c>
      <c r="P55" s="206">
        <f t="shared" si="43"/>
        <v>0</v>
      </c>
      <c r="Q55" s="206">
        <f t="shared" si="44"/>
        <v>-0.37</v>
      </c>
      <c r="R55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5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96560</v>
      </c>
      <c r="T55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55" s="208">
        <f ca="1">IF(Tabla336106734819[[#This Row],[Equity]]&lt;Tabla336106734819[[#This Row],[Equity Peak]],(Tabla336106734819[[#This Row],[Equity Peak]]-Tabla336106734819[[#This Row],[Equity]])/Tabla336106734819[[#This Row],[Equity Peak]],"")</f>
        <v>3.44E-2</v>
      </c>
      <c r="V55" s="209">
        <f t="shared" si="45"/>
        <v>-0.37</v>
      </c>
      <c r="W55" s="209">
        <f t="shared" si="46"/>
        <v>0</v>
      </c>
      <c r="X55" s="209">
        <f t="shared" si="47"/>
        <v>0</v>
      </c>
      <c r="Y55" s="209">
        <f t="shared" si="48"/>
        <v>0</v>
      </c>
      <c r="Z55" s="209">
        <f t="shared" si="49"/>
        <v>0</v>
      </c>
      <c r="AA55" s="205">
        <f t="shared" si="50"/>
        <v>0</v>
      </c>
      <c r="AB55" s="209">
        <f t="shared" si="51"/>
        <v>0</v>
      </c>
      <c r="AC55" s="205">
        <f t="shared" si="52"/>
        <v>0</v>
      </c>
      <c r="AD55" s="210">
        <f t="shared" si="53"/>
        <v>0.33333333333575865</v>
      </c>
      <c r="AE55" s="210">
        <f t="shared" si="54"/>
        <v>0</v>
      </c>
      <c r="AF55" s="210">
        <f t="shared" si="55"/>
        <v>0.33333333333575865</v>
      </c>
      <c r="AG55" s="210">
        <f t="shared" si="56"/>
        <v>0</v>
      </c>
    </row>
    <row r="56" spans="2:33" ht="15" customHeight="1" x14ac:dyDescent="0.3">
      <c r="B56" s="196" t="s">
        <v>7</v>
      </c>
      <c r="C56" s="197" t="s">
        <v>15</v>
      </c>
      <c r="D56" s="198" t="str">
        <f t="shared" si="38"/>
        <v>C</v>
      </c>
      <c r="E56" s="199">
        <v>43850.5</v>
      </c>
      <c r="F56" s="200" t="s">
        <v>120</v>
      </c>
      <c r="G56" s="201">
        <v>1.6139699999999999</v>
      </c>
      <c r="H56" s="201">
        <v>1.6095200000000001</v>
      </c>
      <c r="I56" s="202">
        <f t="shared" si="39"/>
        <v>4.449999999999843E-3</v>
      </c>
      <c r="J56" s="201">
        <v>1.66147</v>
      </c>
      <c r="K56" s="199">
        <v>43853.081944444442</v>
      </c>
      <c r="L56" s="201">
        <v>1.61636</v>
      </c>
      <c r="M56" s="203">
        <f t="shared" si="40"/>
        <v>2.3999999999999998E-3</v>
      </c>
      <c r="N56" s="204">
        <f t="shared" si="41"/>
        <v>0.54</v>
      </c>
      <c r="O56" s="205">
        <f t="shared" si="42"/>
        <v>0</v>
      </c>
      <c r="P56" s="206">
        <f t="shared" si="43"/>
        <v>0.54</v>
      </c>
      <c r="Q56" s="206">
        <f t="shared" si="44"/>
        <v>0</v>
      </c>
      <c r="R56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6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96930</v>
      </c>
      <c r="T56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56" s="208">
        <f ca="1">IF(Tabla336106734819[[#This Row],[Equity]]&lt;Tabla336106734819[[#This Row],[Equity Peak]],(Tabla336106734819[[#This Row],[Equity Peak]]-Tabla336106734819[[#This Row],[Equity]])/Tabla336106734819[[#This Row],[Equity Peak]],"")</f>
        <v>3.0700000000000002E-2</v>
      </c>
      <c r="V56" s="209">
        <f t="shared" si="45"/>
        <v>0.54</v>
      </c>
      <c r="W56" s="209">
        <f t="shared" si="46"/>
        <v>0</v>
      </c>
      <c r="X56" s="209">
        <f t="shared" si="47"/>
        <v>0</v>
      </c>
      <c r="Y56" s="209">
        <f t="shared" si="48"/>
        <v>0</v>
      </c>
      <c r="Z56" s="209">
        <f t="shared" si="49"/>
        <v>0</v>
      </c>
      <c r="AA56" s="205">
        <f t="shared" si="50"/>
        <v>0</v>
      </c>
      <c r="AB56" s="209">
        <f t="shared" si="51"/>
        <v>0</v>
      </c>
      <c r="AC56" s="205">
        <f t="shared" si="52"/>
        <v>0</v>
      </c>
      <c r="AD56" s="210">
        <f t="shared" si="53"/>
        <v>2.5819444444423425</v>
      </c>
      <c r="AE56" s="210">
        <f t="shared" si="54"/>
        <v>2.5819444444423425</v>
      </c>
      <c r="AF56" s="210">
        <f t="shared" si="55"/>
        <v>0</v>
      </c>
      <c r="AG56" s="210">
        <f t="shared" si="56"/>
        <v>0</v>
      </c>
    </row>
    <row r="57" spans="2:33" ht="15" customHeight="1" x14ac:dyDescent="0.3">
      <c r="B57" s="196" t="s">
        <v>7</v>
      </c>
      <c r="C57" s="197" t="s">
        <v>13</v>
      </c>
      <c r="D57" s="198" t="str">
        <f t="shared" si="38"/>
        <v>C</v>
      </c>
      <c r="E57" s="199">
        <v>43850.333333333336</v>
      </c>
      <c r="F57" s="200" t="s">
        <v>120</v>
      </c>
      <c r="G57" s="201">
        <v>1.6116900000000001</v>
      </c>
      <c r="H57" s="201">
        <v>1.61616</v>
      </c>
      <c r="I57" s="202">
        <f t="shared" si="39"/>
        <v>4.469999999999974E-3</v>
      </c>
      <c r="J57" s="201">
        <v>1.5640400000000001</v>
      </c>
      <c r="K57" s="199">
        <v>43850.5</v>
      </c>
      <c r="L57" s="201">
        <v>1.6139699999999999</v>
      </c>
      <c r="M57" s="203">
        <f t="shared" si="40"/>
        <v>-2.3E-3</v>
      </c>
      <c r="N57" s="204">
        <f t="shared" si="41"/>
        <v>-0.51</v>
      </c>
      <c r="O57" s="205">
        <f t="shared" si="42"/>
        <v>0</v>
      </c>
      <c r="P57" s="206">
        <f t="shared" si="43"/>
        <v>0</v>
      </c>
      <c r="Q57" s="206">
        <f t="shared" si="44"/>
        <v>-0.51</v>
      </c>
      <c r="R57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Yes</v>
      </c>
      <c r="S57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96390</v>
      </c>
      <c r="T57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57" s="208">
        <f ca="1">IF(Tabla336106734819[[#This Row],[Equity]]&lt;Tabla336106734819[[#This Row],[Equity Peak]],(Tabla336106734819[[#This Row],[Equity Peak]]-Tabla336106734819[[#This Row],[Equity]])/Tabla336106734819[[#This Row],[Equity Peak]],"")</f>
        <v>3.61E-2</v>
      </c>
      <c r="V57" s="209">
        <f t="shared" si="45"/>
        <v>-0.51</v>
      </c>
      <c r="W57" s="209">
        <f t="shared" si="46"/>
        <v>0</v>
      </c>
      <c r="X57" s="209">
        <f t="shared" si="47"/>
        <v>0</v>
      </c>
      <c r="Y57" s="209">
        <f t="shared" si="48"/>
        <v>0</v>
      </c>
      <c r="Z57" s="209">
        <f t="shared" si="49"/>
        <v>0</v>
      </c>
      <c r="AA57" s="205">
        <f t="shared" si="50"/>
        <v>0</v>
      </c>
      <c r="AB57" s="209">
        <f t="shared" si="51"/>
        <v>0</v>
      </c>
      <c r="AC57" s="205">
        <f t="shared" si="52"/>
        <v>0</v>
      </c>
      <c r="AD57" s="210">
        <f t="shared" si="53"/>
        <v>0.16666666666424135</v>
      </c>
      <c r="AE57" s="210">
        <f t="shared" si="54"/>
        <v>0</v>
      </c>
      <c r="AF57" s="210">
        <f t="shared" si="55"/>
        <v>0.16666666666424135</v>
      </c>
      <c r="AG57" s="210">
        <f t="shared" si="56"/>
        <v>0</v>
      </c>
    </row>
    <row r="58" spans="2:33" ht="15" customHeight="1" x14ac:dyDescent="0.3">
      <c r="B58" s="196" t="s">
        <v>7</v>
      </c>
      <c r="C58" s="197" t="s">
        <v>15</v>
      </c>
      <c r="D58" s="198" t="str">
        <f t="shared" si="38"/>
        <v>C</v>
      </c>
      <c r="E58" s="199">
        <v>43850.017361111109</v>
      </c>
      <c r="F58" s="200" t="s">
        <v>120</v>
      </c>
      <c r="G58" s="201">
        <v>1.6134200000000001</v>
      </c>
      <c r="H58" s="201">
        <v>1.6084700000000001</v>
      </c>
      <c r="I58" s="202">
        <f t="shared" si="39"/>
        <v>4.9500000000000099E-3</v>
      </c>
      <c r="J58" s="201">
        <v>1.66621</v>
      </c>
      <c r="K58" s="199">
        <v>43850.333333333336</v>
      </c>
      <c r="L58" s="201">
        <v>1.6116900000000001</v>
      </c>
      <c r="M58" s="203">
        <f t="shared" si="40"/>
        <v>-1.6999999999999999E-3</v>
      </c>
      <c r="N58" s="204">
        <f t="shared" si="41"/>
        <v>-0.34</v>
      </c>
      <c r="O58" s="205">
        <f t="shared" si="42"/>
        <v>0</v>
      </c>
      <c r="P58" s="206">
        <f t="shared" si="43"/>
        <v>0</v>
      </c>
      <c r="Q58" s="206">
        <f t="shared" si="44"/>
        <v>-0.34</v>
      </c>
      <c r="R58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Yes</v>
      </c>
      <c r="S58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96900</v>
      </c>
      <c r="T58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58" s="208">
        <f ca="1">IF(Tabla336106734819[[#This Row],[Equity]]&lt;Tabla336106734819[[#This Row],[Equity Peak]],(Tabla336106734819[[#This Row],[Equity Peak]]-Tabla336106734819[[#This Row],[Equity]])/Tabla336106734819[[#This Row],[Equity Peak]],"")</f>
        <v>3.1E-2</v>
      </c>
      <c r="V58" s="209">
        <f t="shared" si="45"/>
        <v>-0.34</v>
      </c>
      <c r="W58" s="209">
        <f t="shared" si="46"/>
        <v>0</v>
      </c>
      <c r="X58" s="209">
        <f t="shared" si="47"/>
        <v>0</v>
      </c>
      <c r="Y58" s="209">
        <f t="shared" si="48"/>
        <v>0</v>
      </c>
      <c r="Z58" s="209">
        <f t="shared" si="49"/>
        <v>0</v>
      </c>
      <c r="AA58" s="205">
        <f t="shared" si="50"/>
        <v>0</v>
      </c>
      <c r="AB58" s="209">
        <f t="shared" si="51"/>
        <v>0</v>
      </c>
      <c r="AC58" s="205">
        <f t="shared" si="52"/>
        <v>0</v>
      </c>
      <c r="AD58" s="210">
        <f t="shared" si="53"/>
        <v>0.31597222222626442</v>
      </c>
      <c r="AE58" s="210">
        <f t="shared" si="54"/>
        <v>0</v>
      </c>
      <c r="AF58" s="210">
        <f t="shared" si="55"/>
        <v>0.31597222222626442</v>
      </c>
      <c r="AG58" s="210">
        <f t="shared" si="56"/>
        <v>0</v>
      </c>
    </row>
    <row r="59" spans="2:33" ht="15" customHeight="1" x14ac:dyDescent="0.3">
      <c r="B59" s="196" t="s">
        <v>7</v>
      </c>
      <c r="C59" s="197" t="s">
        <v>13</v>
      </c>
      <c r="D59" s="198" t="str">
        <f t="shared" si="38"/>
        <v>C</v>
      </c>
      <c r="E59" s="199">
        <v>43847.833333333336</v>
      </c>
      <c r="F59" s="200" t="s">
        <v>120</v>
      </c>
      <c r="G59" s="201">
        <v>1.61239</v>
      </c>
      <c r="H59" s="201">
        <v>1.6176999999999999</v>
      </c>
      <c r="I59" s="202">
        <f t="shared" si="39"/>
        <v>5.3099999999999259E-3</v>
      </c>
      <c r="J59" s="201">
        <v>1.5557799999999999</v>
      </c>
      <c r="K59" s="199">
        <v>43850.017361111109</v>
      </c>
      <c r="L59" s="201">
        <v>1.6134200000000001</v>
      </c>
      <c r="M59" s="203">
        <f t="shared" si="40"/>
        <v>-1E-3</v>
      </c>
      <c r="N59" s="204">
        <f t="shared" si="41"/>
        <v>-0.19</v>
      </c>
      <c r="O59" s="205">
        <f t="shared" si="42"/>
        <v>0</v>
      </c>
      <c r="P59" s="206">
        <f t="shared" si="43"/>
        <v>0</v>
      </c>
      <c r="Q59" s="206">
        <f t="shared" si="44"/>
        <v>-0.19</v>
      </c>
      <c r="R59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Yes</v>
      </c>
      <c r="S59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97240</v>
      </c>
      <c r="T59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59" s="208">
        <f ca="1">IF(Tabla336106734819[[#This Row],[Equity]]&lt;Tabla336106734819[[#This Row],[Equity Peak]],(Tabla336106734819[[#This Row],[Equity Peak]]-Tabla336106734819[[#This Row],[Equity]])/Tabla336106734819[[#This Row],[Equity Peak]],"")</f>
        <v>2.76E-2</v>
      </c>
      <c r="V59" s="209">
        <f t="shared" si="45"/>
        <v>-0.19</v>
      </c>
      <c r="W59" s="209">
        <f t="shared" si="46"/>
        <v>0</v>
      </c>
      <c r="X59" s="209">
        <f t="shared" si="47"/>
        <v>0</v>
      </c>
      <c r="Y59" s="209">
        <f t="shared" si="48"/>
        <v>0</v>
      </c>
      <c r="Z59" s="209">
        <f t="shared" si="49"/>
        <v>0</v>
      </c>
      <c r="AA59" s="205">
        <f t="shared" si="50"/>
        <v>0</v>
      </c>
      <c r="AB59" s="209">
        <f t="shared" si="51"/>
        <v>0</v>
      </c>
      <c r="AC59" s="205">
        <f t="shared" si="52"/>
        <v>0</v>
      </c>
      <c r="AD59" s="210">
        <f t="shared" si="53"/>
        <v>2.1840277777737356</v>
      </c>
      <c r="AE59" s="210">
        <f t="shared" si="54"/>
        <v>0</v>
      </c>
      <c r="AF59" s="210">
        <f t="shared" si="55"/>
        <v>2.1840277777737356</v>
      </c>
      <c r="AG59" s="210">
        <f t="shared" si="56"/>
        <v>0</v>
      </c>
    </row>
    <row r="60" spans="2:33" ht="15" customHeight="1" x14ac:dyDescent="0.3">
      <c r="B60" s="196" t="s">
        <v>7</v>
      </c>
      <c r="C60" s="197" t="s">
        <v>15</v>
      </c>
      <c r="D60" s="198" t="str">
        <f t="shared" si="38"/>
        <v>C</v>
      </c>
      <c r="E60" s="199">
        <v>43845.166666666664</v>
      </c>
      <c r="F60" s="200" t="s">
        <v>120</v>
      </c>
      <c r="G60" s="201">
        <v>1.61338</v>
      </c>
      <c r="H60" s="201">
        <v>1.60843</v>
      </c>
      <c r="I60" s="202">
        <f t="shared" si="39"/>
        <v>4.9500000000000099E-3</v>
      </c>
      <c r="J60" s="201">
        <v>1.6661999999999999</v>
      </c>
      <c r="K60" s="199">
        <v>43846.438194444447</v>
      </c>
      <c r="L60" s="201">
        <v>1.6123000000000001</v>
      </c>
      <c r="M60" s="203">
        <f t="shared" si="40"/>
        <v>-1.1000000000000001E-3</v>
      </c>
      <c r="N60" s="204">
        <f t="shared" si="41"/>
        <v>-0.22</v>
      </c>
      <c r="O60" s="205">
        <f t="shared" si="42"/>
        <v>0</v>
      </c>
      <c r="P60" s="206">
        <f t="shared" si="43"/>
        <v>0</v>
      </c>
      <c r="Q60" s="206">
        <f t="shared" si="44"/>
        <v>-0.22</v>
      </c>
      <c r="R60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Yes</v>
      </c>
      <c r="S60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97430</v>
      </c>
      <c r="T60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60" s="208">
        <f ca="1">IF(Tabla336106734819[[#This Row],[Equity]]&lt;Tabla336106734819[[#This Row],[Equity Peak]],(Tabla336106734819[[#This Row],[Equity Peak]]-Tabla336106734819[[#This Row],[Equity]])/Tabla336106734819[[#This Row],[Equity Peak]],"")</f>
        <v>2.5700000000000001E-2</v>
      </c>
      <c r="V60" s="209">
        <f t="shared" si="45"/>
        <v>-0.22</v>
      </c>
      <c r="W60" s="209">
        <f t="shared" si="46"/>
        <v>0</v>
      </c>
      <c r="X60" s="209">
        <f t="shared" si="47"/>
        <v>0</v>
      </c>
      <c r="Y60" s="209">
        <f t="shared" si="48"/>
        <v>0</v>
      </c>
      <c r="Z60" s="209">
        <f t="shared" si="49"/>
        <v>0</v>
      </c>
      <c r="AA60" s="205">
        <f t="shared" si="50"/>
        <v>0</v>
      </c>
      <c r="AB60" s="209">
        <f t="shared" si="51"/>
        <v>0</v>
      </c>
      <c r="AC60" s="205">
        <f t="shared" si="52"/>
        <v>0</v>
      </c>
      <c r="AD60" s="210">
        <f t="shared" si="53"/>
        <v>1.2715277777824667</v>
      </c>
      <c r="AE60" s="210">
        <f t="shared" si="54"/>
        <v>0</v>
      </c>
      <c r="AF60" s="210">
        <f t="shared" si="55"/>
        <v>1.2715277777824667</v>
      </c>
      <c r="AG60" s="210">
        <f t="shared" si="56"/>
        <v>0</v>
      </c>
    </row>
    <row r="61" spans="2:33" ht="15" customHeight="1" x14ac:dyDescent="0.3">
      <c r="B61" s="196" t="s">
        <v>7</v>
      </c>
      <c r="C61" s="197" t="s">
        <v>13</v>
      </c>
      <c r="D61" s="198" t="str">
        <f t="shared" si="38"/>
        <v>C</v>
      </c>
      <c r="E61" s="199">
        <v>43845.017361111109</v>
      </c>
      <c r="F61" s="200" t="s">
        <v>120</v>
      </c>
      <c r="G61" s="201">
        <v>1.6116900000000001</v>
      </c>
      <c r="H61" s="201">
        <v>1.6167499999999999</v>
      </c>
      <c r="I61" s="202">
        <f t="shared" si="39"/>
        <v>5.0599999999998424E-3</v>
      </c>
      <c r="J61" s="201">
        <v>1.5577399999999999</v>
      </c>
      <c r="K61" s="199">
        <v>43845.166666666664</v>
      </c>
      <c r="L61" s="201">
        <v>1.61338</v>
      </c>
      <c r="M61" s="203">
        <f t="shared" si="40"/>
        <v>-1.6999999999999999E-3</v>
      </c>
      <c r="N61" s="204">
        <f t="shared" si="41"/>
        <v>-0.34</v>
      </c>
      <c r="O61" s="205">
        <f t="shared" si="42"/>
        <v>0</v>
      </c>
      <c r="P61" s="206">
        <f t="shared" si="43"/>
        <v>0</v>
      </c>
      <c r="Q61" s="206">
        <f t="shared" si="44"/>
        <v>-0.34</v>
      </c>
      <c r="R61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Yes</v>
      </c>
      <c r="S61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97650</v>
      </c>
      <c r="T61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61" s="208">
        <f ca="1">IF(Tabla336106734819[[#This Row],[Equity]]&lt;Tabla336106734819[[#This Row],[Equity Peak]],(Tabla336106734819[[#This Row],[Equity Peak]]-Tabla336106734819[[#This Row],[Equity]])/Tabla336106734819[[#This Row],[Equity Peak]],"")</f>
        <v>2.35E-2</v>
      </c>
      <c r="V61" s="209">
        <f t="shared" si="45"/>
        <v>-0.34</v>
      </c>
      <c r="W61" s="209">
        <f t="shared" si="46"/>
        <v>0</v>
      </c>
      <c r="X61" s="209">
        <f t="shared" si="47"/>
        <v>0</v>
      </c>
      <c r="Y61" s="209">
        <f t="shared" si="48"/>
        <v>0</v>
      </c>
      <c r="Z61" s="209">
        <f t="shared" si="49"/>
        <v>0</v>
      </c>
      <c r="AA61" s="205">
        <f t="shared" si="50"/>
        <v>0</v>
      </c>
      <c r="AB61" s="209">
        <f t="shared" si="51"/>
        <v>0</v>
      </c>
      <c r="AC61" s="205">
        <f t="shared" si="52"/>
        <v>0</v>
      </c>
      <c r="AD61" s="210">
        <f t="shared" si="53"/>
        <v>0.14930555555474712</v>
      </c>
      <c r="AE61" s="210">
        <f t="shared" si="54"/>
        <v>0</v>
      </c>
      <c r="AF61" s="210">
        <f t="shared" si="55"/>
        <v>0.14930555555474712</v>
      </c>
      <c r="AG61" s="210">
        <f t="shared" si="56"/>
        <v>0</v>
      </c>
    </row>
    <row r="62" spans="2:33" ht="15" customHeight="1" x14ac:dyDescent="0.3">
      <c r="B62" s="196" t="s">
        <v>7</v>
      </c>
      <c r="C62" s="197" t="s">
        <v>15</v>
      </c>
      <c r="D62" s="198" t="str">
        <f t="shared" si="38"/>
        <v>C</v>
      </c>
      <c r="E62" s="199">
        <v>43844.166666666664</v>
      </c>
      <c r="F62" s="200" t="s">
        <v>120</v>
      </c>
      <c r="G62" s="201">
        <v>1.6166100000000001</v>
      </c>
      <c r="H62" s="201">
        <v>1.6115900000000001</v>
      </c>
      <c r="I62" s="202">
        <f t="shared" si="39"/>
        <v>5.0200000000000244E-3</v>
      </c>
      <c r="J62" s="201">
        <v>1.67011</v>
      </c>
      <c r="K62" s="199">
        <v>43844.582638888889</v>
      </c>
      <c r="L62" s="201">
        <v>1.6115900000000001</v>
      </c>
      <c r="M62" s="203">
        <f t="shared" si="40"/>
        <v>-5.0000000000000001E-3</v>
      </c>
      <c r="N62" s="204">
        <f t="shared" si="41"/>
        <v>-1</v>
      </c>
      <c r="O62" s="205">
        <f t="shared" si="42"/>
        <v>0</v>
      </c>
      <c r="P62" s="206">
        <f t="shared" si="43"/>
        <v>0</v>
      </c>
      <c r="Q62" s="206">
        <f t="shared" si="44"/>
        <v>-1</v>
      </c>
      <c r="R62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Yes</v>
      </c>
      <c r="S62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97990</v>
      </c>
      <c r="T62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62" s="208">
        <f ca="1">IF(Tabla336106734819[[#This Row],[Equity]]&lt;Tabla336106734819[[#This Row],[Equity Peak]],(Tabla336106734819[[#This Row],[Equity Peak]]-Tabla336106734819[[#This Row],[Equity]])/Tabla336106734819[[#This Row],[Equity Peak]],"")</f>
        <v>2.01E-2</v>
      </c>
      <c r="V62" s="209">
        <f t="shared" si="45"/>
        <v>-1</v>
      </c>
      <c r="W62" s="209">
        <f t="shared" si="46"/>
        <v>0</v>
      </c>
      <c r="X62" s="209">
        <f t="shared" si="47"/>
        <v>0</v>
      </c>
      <c r="Y62" s="209">
        <f t="shared" si="48"/>
        <v>0</v>
      </c>
      <c r="Z62" s="209">
        <f t="shared" si="49"/>
        <v>0</v>
      </c>
      <c r="AA62" s="205">
        <f t="shared" si="50"/>
        <v>0</v>
      </c>
      <c r="AB62" s="209">
        <f t="shared" si="51"/>
        <v>0</v>
      </c>
      <c r="AC62" s="205">
        <f t="shared" si="52"/>
        <v>0</v>
      </c>
      <c r="AD62" s="210">
        <f t="shared" si="53"/>
        <v>0.41597222222480923</v>
      </c>
      <c r="AE62" s="210">
        <f t="shared" si="54"/>
        <v>0</v>
      </c>
      <c r="AF62" s="210">
        <f t="shared" si="55"/>
        <v>0.41597222222480923</v>
      </c>
      <c r="AG62" s="210">
        <f t="shared" si="56"/>
        <v>0</v>
      </c>
    </row>
    <row r="63" spans="2:33" ht="15" customHeight="1" x14ac:dyDescent="0.3">
      <c r="B63" s="196" t="s">
        <v>7</v>
      </c>
      <c r="C63" s="197" t="s">
        <v>13</v>
      </c>
      <c r="D63" s="198" t="str">
        <f t="shared" si="38"/>
        <v>C</v>
      </c>
      <c r="E63" s="199">
        <v>43843.166666666664</v>
      </c>
      <c r="F63" s="200" t="s">
        <v>120</v>
      </c>
      <c r="G63" s="201">
        <v>1.6088499999999999</v>
      </c>
      <c r="H63" s="201">
        <v>1.61392</v>
      </c>
      <c r="I63" s="202">
        <f t="shared" si="39"/>
        <v>5.07000000000013E-3</v>
      </c>
      <c r="J63" s="201">
        <v>1.5548200000000001</v>
      </c>
      <c r="K63" s="199">
        <v>43844.052777777775</v>
      </c>
      <c r="L63" s="201">
        <v>1.6138999999999999</v>
      </c>
      <c r="M63" s="203">
        <f t="shared" si="40"/>
        <v>-5.1000000000000004E-3</v>
      </c>
      <c r="N63" s="204">
        <f t="shared" si="41"/>
        <v>-1.01</v>
      </c>
      <c r="O63" s="205">
        <f t="shared" si="42"/>
        <v>0</v>
      </c>
      <c r="P63" s="206">
        <f t="shared" si="43"/>
        <v>0</v>
      </c>
      <c r="Q63" s="206">
        <f t="shared" si="44"/>
        <v>-1.01</v>
      </c>
      <c r="R63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Yes</v>
      </c>
      <c r="S63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98990</v>
      </c>
      <c r="T63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63" s="208">
        <f ca="1">IF(Tabla336106734819[[#This Row],[Equity]]&lt;Tabla336106734819[[#This Row],[Equity Peak]],(Tabla336106734819[[#This Row],[Equity Peak]]-Tabla336106734819[[#This Row],[Equity]])/Tabla336106734819[[#This Row],[Equity Peak]],"")</f>
        <v>1.01E-2</v>
      </c>
      <c r="V63" s="209">
        <f t="shared" si="45"/>
        <v>-1.01</v>
      </c>
      <c r="W63" s="209">
        <f t="shared" si="46"/>
        <v>0</v>
      </c>
      <c r="X63" s="209">
        <f t="shared" si="47"/>
        <v>0</v>
      </c>
      <c r="Y63" s="209">
        <f t="shared" si="48"/>
        <v>0</v>
      </c>
      <c r="Z63" s="209">
        <f t="shared" si="49"/>
        <v>0</v>
      </c>
      <c r="AA63" s="205">
        <f t="shared" si="50"/>
        <v>0</v>
      </c>
      <c r="AB63" s="209">
        <f t="shared" si="51"/>
        <v>0</v>
      </c>
      <c r="AC63" s="205">
        <f t="shared" si="52"/>
        <v>0</v>
      </c>
      <c r="AD63" s="210">
        <f t="shared" si="53"/>
        <v>0.88611111111094942</v>
      </c>
      <c r="AE63" s="210">
        <f t="shared" si="54"/>
        <v>0</v>
      </c>
      <c r="AF63" s="210">
        <f t="shared" si="55"/>
        <v>0.88611111111094942</v>
      </c>
      <c r="AG63" s="210">
        <f t="shared" si="56"/>
        <v>0</v>
      </c>
    </row>
  </sheetData>
  <sheetProtection algorithmName="SHA-512" hashValue="26BdlhPUjma4VdQCO4RwEOy1IRXlBbAUN4hcurjRg4tnEDev0r6GHt6ew7Qzp/JyFFwVTbbtTv1kxW7VFmNa+Q==" saltValue="x5TqLHtyHTB4aPSOORbUC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797" priority="3" operator="equal">
      <formula>"OK"</formula>
    </cfRule>
    <cfRule type="cellIs" dxfId="796" priority="4" operator="equal">
      <formula>"warning"</formula>
    </cfRule>
  </conditionalFormatting>
  <conditionalFormatting sqref="F13">
    <cfRule type="cellIs" dxfId="795" priority="1" operator="equal">
      <formula>"OK"</formula>
    </cfRule>
    <cfRule type="cellIs" dxfId="794" priority="2" operator="equal">
      <formula>"Error!!"</formula>
    </cfRule>
  </conditionalFormatting>
  <conditionalFormatting sqref="E15:H15 K15:L15">
    <cfRule type="expression" dxfId="793" priority="5">
      <formula>+$D15=#REF!</formula>
    </cfRule>
    <cfRule type="expression" dxfId="792" priority="6">
      <formula>+$D15=#REF!</formula>
    </cfRule>
  </conditionalFormatting>
  <conditionalFormatting sqref="D15 K16:L16 D16:H63 J17:L63">
    <cfRule type="expression" dxfId="791" priority="7">
      <formula>+$D15=$AG$8</formula>
    </cfRule>
    <cfRule type="expression" dxfId="79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CACED4D6-3A4D-4FD6-8764-1FA24516C595}">
      <formula1>$AE$4:$AE$6</formula1>
    </dataValidation>
    <dataValidation type="list" allowBlank="1" showInputMessage="1" showErrorMessage="1" promptTitle="Trade Direction" prompt="Select from List" sqref="C15:C16" xr:uid="{67EC2409-49F2-4DCC-BAAD-68831F517FD9}">
      <formula1>$AG$4:$AG$5</formula1>
    </dataValidation>
    <dataValidation type="list" allowBlank="1" showInputMessage="1" showErrorMessage="1" promptTitle="Instrument Type" prompt="Select Type from List_x000a_" sqref="B17:B63" xr:uid="{1BC89FD7-AD55-4CBD-8578-A3E5B531A0FC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B3AD-E300-442C-B436-3D7BD23C75F3}">
  <sheetPr codeName="Hoja21">
    <pageSetUpPr fitToPage="1"/>
  </sheetPr>
  <dimension ref="A1:AX29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COUNTA(Tabla336106734815[Inst])</f>
        <v>13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9.48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9.48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COUNTIF(Tabla336106734815[No. of Rs],"&gt;0")</f>
        <v>6</v>
      </c>
      <c r="G7" s="24">
        <f>IFERROR((F7/$F$6),"")</f>
        <v>0.46153846153846156</v>
      </c>
      <c r="H7" s="78">
        <f>IFERROR((+P13/F7),"")</f>
        <v>2.6666666666666665</v>
      </c>
      <c r="I7" s="227">
        <f>H7/H9</f>
        <v>2.8629856850715747</v>
      </c>
      <c r="J7" s="227">
        <f>AVERAGE(Tabla336106734815[No. of Rs])</f>
        <v>0.72923076923076924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COUNTIF(Tabla336106734815[No.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OFFSET(Tabla336106734815[[#Headers],[Equity]],1,0)</f>
        <v>109480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COUNTIF(Tabla336106734815[No. of Rs],"&lt;0")</f>
        <v>7</v>
      </c>
      <c r="G9" s="32">
        <f>IFERROR((F9/$F$6),"")</f>
        <v>0.53846153846153844</v>
      </c>
      <c r="H9" s="79">
        <f>IFERROR((-Q13/F9),"")</f>
        <v>0.93142857142857138</v>
      </c>
      <c r="I9" s="229"/>
      <c r="J9" s="229"/>
      <c r="K9" s="149"/>
      <c r="L9" s="230" t="s">
        <v>106</v>
      </c>
      <c r="M9" s="231"/>
      <c r="N9" s="125">
        <f ca="1">MAX(Tabla336106734815[Drawdown])</f>
        <v>1.7960288808664258E-2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OFFSET(Tabla336106734815[[#Headers],[Drawdown]],1,0)</f>
        <v>1.7940437746681019E-2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COUNTIF(Tabla336106734815[Heat],"&lt;0")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IF(COUNTIFS(Tabla336106734815[O/C],"O")&lt;1,"None",COUNTIFS(Tabla336106734815[O/C],"O"))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SUM(Tabla336106734815[No. of Rs])</f>
        <v>9.48</v>
      </c>
      <c r="O13" s="42">
        <f>SUM(Tabla336106734815[Heat])</f>
        <v>0</v>
      </c>
      <c r="P13" s="43">
        <f>SUM(Tabla336106734815[[ TR WIN]])</f>
        <v>16</v>
      </c>
      <c r="Q13" s="43">
        <f>SUM(Tabla336106734815[[ TR LOSS]])</f>
        <v>-6.52</v>
      </c>
      <c r="R13" s="114"/>
      <c r="S13" s="115"/>
      <c r="T13" s="115"/>
      <c r="U13" s="121"/>
      <c r="V13" s="44">
        <f>SUM(Tabla336106734815[Currency])</f>
        <v>9.48</v>
      </c>
      <c r="W13" s="44">
        <f>SUM(Tabla336106734815[Heat3])</f>
        <v>0</v>
      </c>
      <c r="X13" s="44">
        <f>SUM(Tabla336106734815[Commodities])</f>
        <v>0</v>
      </c>
      <c r="Y13" s="44">
        <f>SUM(Tabla336106734815[Heat4])</f>
        <v>0</v>
      </c>
      <c r="Z13" s="44">
        <f>SUM(Tabla336106734815[Index])</f>
        <v>0</v>
      </c>
      <c r="AA13" s="44">
        <f>SUM(Tabla336106734815[Heat5])</f>
        <v>0</v>
      </c>
      <c r="AB13" s="44">
        <f>SUM(Tabla336106734815[Cryptocurrency])</f>
        <v>0</v>
      </c>
      <c r="AC13" s="44">
        <f>SUM(Tabla336106734815[Heat6])</f>
        <v>0</v>
      </c>
      <c r="AD13" s="75">
        <f>AVERAGEIF(Tabla336106734815[Length of 
Trade],"&lt;&gt;0")</f>
        <v>2.3733974358989283</v>
      </c>
      <c r="AE13" s="75">
        <f>AVERAGEIF(Tabla336106734815[Win],"&lt;&gt;0")</f>
        <v>3.5206018518523101</v>
      </c>
      <c r="AF13" s="75">
        <f>AVERAGEIF(Tabla336106734815[Loss],"&lt;&gt;0")</f>
        <v>1.3900793650817442</v>
      </c>
      <c r="AG13" s="76" t="e">
        <f>AVERAGEIF(Tabla336106734815[Breakeven],"&lt;&gt;0")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29" si="0">IF(E17&lt;&gt;"",IF(K17&lt;&gt;"","C","O"),"")</f>
        <v>C</v>
      </c>
      <c r="E17" s="199">
        <v>44194.5</v>
      </c>
      <c r="F17" s="200" t="s">
        <v>119</v>
      </c>
      <c r="G17" s="201">
        <v>0.90924000000000005</v>
      </c>
      <c r="H17" s="201">
        <v>0.90437999999999996</v>
      </c>
      <c r="I17" s="202">
        <f t="shared" ref="I17:I29" si="1">ABS(G17-H17)</f>
        <v>4.8600000000000865E-3</v>
      </c>
      <c r="J17" s="201">
        <v>0.92220000000000002</v>
      </c>
      <c r="K17" s="199">
        <v>44195.459027777775</v>
      </c>
      <c r="L17" s="201">
        <v>0.90437999999999996</v>
      </c>
      <c r="M17" s="203">
        <f t="shared" ref="M17:M29" si="2">ROUND(IF(C17="L",(L17-G17),(G17-L17)),4)</f>
        <v>-4.8999999999999998E-3</v>
      </c>
      <c r="N17" s="204">
        <f t="shared" ref="N17:N29" si="3">IFERROR(ROUND((M17/I17),2),"")</f>
        <v>-1.01</v>
      </c>
      <c r="O17" s="205">
        <f t="shared" ref="O17:O29" si="4">IF(D17="O",IF(N17&lt;0,N17,0),0)</f>
        <v>0</v>
      </c>
      <c r="P17" s="206">
        <f t="shared" ref="P17:P29" si="5">IF(N17&gt;= 0,N17,0)</f>
        <v>0</v>
      </c>
      <c r="Q17" s="206">
        <f t="shared" ref="Q17:Q29" si="6">IF(N17&lt;0,N17,0)</f>
        <v>-1.01</v>
      </c>
      <c r="R17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17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109480</v>
      </c>
      <c r="T17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111480</v>
      </c>
      <c r="U17" s="208">
        <f ca="1">IF(Tabla336106734815[[#This Row],[Equity]]&lt;Tabla336106734815[[#This Row],[Equity Peak]],(Tabla336106734815[[#This Row],[Equity Peak]]-Tabla336106734815[[#This Row],[Equity]])/Tabla336106734815[[#This Row],[Equity Peak]],"")</f>
        <v>1.7940437746681019E-2</v>
      </c>
      <c r="V17" s="209">
        <f t="shared" ref="V17:V29" si="7">IF(B17="FX",N17,0)</f>
        <v>-1.01</v>
      </c>
      <c r="W17" s="209">
        <f t="shared" ref="W17:W29" si="8">IF(D17="O",IF(V17&lt;0,V17,0),0)</f>
        <v>0</v>
      </c>
      <c r="X17" s="209">
        <f t="shared" ref="X17:X29" si="9">IF(B17="COM",N17,0)</f>
        <v>0</v>
      </c>
      <c r="Y17" s="209">
        <f t="shared" ref="Y17:Y29" si="10">IF(D17="O",IF(X17&lt;0,X17,0),0)</f>
        <v>0</v>
      </c>
      <c r="Z17" s="209">
        <f t="shared" ref="Z17:Z29" si="11">IF(B17="IND",N17,0)</f>
        <v>0</v>
      </c>
      <c r="AA17" s="205">
        <f t="shared" ref="AA17:AA29" si="12">IF(D17="O",IF(Z17&lt;0,Z17,0),0)</f>
        <v>0</v>
      </c>
      <c r="AB17" s="209">
        <f t="shared" ref="AB17:AB29" si="13">IF(B17="CRYPTO",N17,0)</f>
        <v>0</v>
      </c>
      <c r="AC17" s="205">
        <f t="shared" ref="AC17:AC29" si="14">IF(D17="O",IF(AB17&lt;0,AB17,0),0)</f>
        <v>0</v>
      </c>
      <c r="AD17" s="210">
        <f t="shared" ref="AD17:AD29" si="15">IF(K17&lt;&gt;"",K17-E17,0)</f>
        <v>0.95902777777519077</v>
      </c>
      <c r="AE17" s="210">
        <f t="shared" ref="AE17:AE29" si="16">IF(N17&gt;0,AD17,0)</f>
        <v>0</v>
      </c>
      <c r="AF17" s="210">
        <f t="shared" ref="AF17:AF29" si="17">IF(N17&lt;0,AD17,0)</f>
        <v>0.95902777777519077</v>
      </c>
      <c r="AG17" s="210">
        <f t="shared" ref="AG17:AG29" si="18">IF(N17=0,AD17,0)</f>
        <v>0</v>
      </c>
    </row>
    <row r="18" spans="2:33" ht="15" customHeight="1" x14ac:dyDescent="0.3">
      <c r="B18" s="196" t="s">
        <v>7</v>
      </c>
      <c r="C18" s="197" t="s">
        <v>13</v>
      </c>
      <c r="D18" s="198" t="str">
        <f t="shared" si="0"/>
        <v>C</v>
      </c>
      <c r="E18" s="199">
        <v>44193.017361111109</v>
      </c>
      <c r="F18" s="200" t="s">
        <v>119</v>
      </c>
      <c r="G18" s="201">
        <v>0.89871000000000001</v>
      </c>
      <c r="H18" s="201">
        <v>0.90386</v>
      </c>
      <c r="I18" s="202">
        <f t="shared" si="1"/>
        <v>5.1499999999999879E-3</v>
      </c>
      <c r="J18" s="201">
        <v>0.88499000000000005</v>
      </c>
      <c r="K18" s="199">
        <v>44193.495833333334</v>
      </c>
      <c r="L18" s="201">
        <v>0.90386</v>
      </c>
      <c r="M18" s="203">
        <f t="shared" si="2"/>
        <v>-5.1000000000000004E-3</v>
      </c>
      <c r="N18" s="204">
        <f t="shared" si="3"/>
        <v>-0.99</v>
      </c>
      <c r="O18" s="205">
        <f t="shared" si="4"/>
        <v>0</v>
      </c>
      <c r="P18" s="206">
        <f t="shared" si="5"/>
        <v>0</v>
      </c>
      <c r="Q18" s="206">
        <f t="shared" si="6"/>
        <v>-0.99</v>
      </c>
      <c r="R18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18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110490</v>
      </c>
      <c r="T18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111480</v>
      </c>
      <c r="U18" s="208">
        <f ca="1">IF(Tabla336106734815[[#This Row],[Equity]]&lt;Tabla336106734815[[#This Row],[Equity Peak]],(Tabla336106734815[[#This Row],[Equity Peak]]-Tabla336106734815[[#This Row],[Equity]])/Tabla336106734815[[#This Row],[Equity Peak]],"")</f>
        <v>8.8805166846071051E-3</v>
      </c>
      <c r="V18" s="209">
        <f t="shared" si="7"/>
        <v>-0.99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0.47847222222480923</v>
      </c>
      <c r="AE18" s="210">
        <f t="shared" si="16"/>
        <v>0</v>
      </c>
      <c r="AF18" s="210">
        <f t="shared" si="17"/>
        <v>0.47847222222480923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44167.166666666664</v>
      </c>
      <c r="F19" s="200" t="s">
        <v>119</v>
      </c>
      <c r="G19" s="201">
        <v>0.89995000000000003</v>
      </c>
      <c r="H19" s="201">
        <v>0.89549999999999996</v>
      </c>
      <c r="I19" s="202">
        <f t="shared" si="1"/>
        <v>4.450000000000065E-3</v>
      </c>
      <c r="J19" s="201">
        <v>0.91181000000000001</v>
      </c>
      <c r="K19" s="199">
        <v>44172.433333333334</v>
      </c>
      <c r="L19" s="201">
        <v>0.91181000000000001</v>
      </c>
      <c r="M19" s="203">
        <f t="shared" si="2"/>
        <v>1.1900000000000001E-2</v>
      </c>
      <c r="N19" s="204">
        <f t="shared" si="3"/>
        <v>2.67</v>
      </c>
      <c r="O19" s="205">
        <f t="shared" si="4"/>
        <v>0</v>
      </c>
      <c r="P19" s="206">
        <f t="shared" si="5"/>
        <v>2.67</v>
      </c>
      <c r="Q19" s="206">
        <f t="shared" si="6"/>
        <v>0</v>
      </c>
      <c r="R19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19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111480</v>
      </c>
      <c r="T19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111480</v>
      </c>
      <c r="U19" s="208" t="str">
        <f ca="1">IF(Tabla336106734815[[#This Row],[Equity]]&lt;Tabla336106734815[[#This Row],[Equity Peak]],(Tabla336106734815[[#This Row],[Equity Peak]]-Tabla336106734815[[#This Row],[Equity]])/Tabla336106734815[[#This Row],[Equity Peak]],"")</f>
        <v/>
      </c>
      <c r="V19" s="209">
        <f t="shared" si="7"/>
        <v>2.67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5.2666666666700621</v>
      </c>
      <c r="AE19" s="210">
        <f t="shared" si="16"/>
        <v>5.2666666666700621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15</v>
      </c>
      <c r="D20" s="198" t="str">
        <f t="shared" si="0"/>
        <v>C</v>
      </c>
      <c r="E20" s="199">
        <v>44125.166666666664</v>
      </c>
      <c r="F20" s="200" t="s">
        <v>119</v>
      </c>
      <c r="G20" s="201">
        <v>0.91308</v>
      </c>
      <c r="H20" s="201">
        <v>0.90905000000000002</v>
      </c>
      <c r="I20" s="202">
        <f t="shared" si="1"/>
        <v>4.029999999999978E-3</v>
      </c>
      <c r="J20" s="201">
        <v>0.92383000000000004</v>
      </c>
      <c r="K20" s="199">
        <v>44125.45416666667</v>
      </c>
      <c r="L20" s="201">
        <v>0.90905000000000002</v>
      </c>
      <c r="M20" s="203">
        <f t="shared" si="2"/>
        <v>-4.0000000000000001E-3</v>
      </c>
      <c r="N20" s="204">
        <f t="shared" si="3"/>
        <v>-0.99</v>
      </c>
      <c r="O20" s="205">
        <f t="shared" si="4"/>
        <v>0</v>
      </c>
      <c r="P20" s="206">
        <f t="shared" si="5"/>
        <v>0</v>
      </c>
      <c r="Q20" s="206">
        <f t="shared" si="6"/>
        <v>-0.99</v>
      </c>
      <c r="R20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0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108810</v>
      </c>
      <c r="T20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110800</v>
      </c>
      <c r="U20" s="208">
        <f ca="1">IF(Tabla336106734815[[#This Row],[Equity]]&lt;Tabla336106734815[[#This Row],[Equity Peak]],(Tabla336106734815[[#This Row],[Equity Peak]]-Tabla336106734815[[#This Row],[Equity]])/Tabla336106734815[[#This Row],[Equity Peak]],"")</f>
        <v>1.7960288808664258E-2</v>
      </c>
      <c r="V20" s="209">
        <f t="shared" si="7"/>
        <v>-0.99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0.28750000000582077</v>
      </c>
      <c r="AE20" s="210">
        <f t="shared" si="16"/>
        <v>0</v>
      </c>
      <c r="AF20" s="210">
        <f t="shared" si="17"/>
        <v>0.28750000000582077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0"/>
        <v>C</v>
      </c>
      <c r="E21" s="199">
        <v>44104.166666666664</v>
      </c>
      <c r="F21" s="200" t="s">
        <v>119</v>
      </c>
      <c r="G21" s="201">
        <v>0.91342999999999996</v>
      </c>
      <c r="H21" s="201">
        <v>0.90903</v>
      </c>
      <c r="I21" s="202">
        <f t="shared" si="1"/>
        <v>4.3999999999999595E-3</v>
      </c>
      <c r="J21" s="201">
        <v>0.92515000000000003</v>
      </c>
      <c r="K21" s="199">
        <v>44104.714583333334</v>
      </c>
      <c r="L21" s="201">
        <v>0.90903</v>
      </c>
      <c r="M21" s="203">
        <f t="shared" si="2"/>
        <v>-4.4000000000000003E-3</v>
      </c>
      <c r="N21" s="204">
        <f t="shared" si="3"/>
        <v>-1</v>
      </c>
      <c r="O21" s="205">
        <f t="shared" si="4"/>
        <v>0</v>
      </c>
      <c r="P21" s="206">
        <f t="shared" si="5"/>
        <v>0</v>
      </c>
      <c r="Q21" s="206">
        <f t="shared" si="6"/>
        <v>-1</v>
      </c>
      <c r="R21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1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109800</v>
      </c>
      <c r="T21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110800</v>
      </c>
      <c r="U21" s="208">
        <f ca="1">IF(Tabla336106734815[[#This Row],[Equity]]&lt;Tabla336106734815[[#This Row],[Equity Peak]],(Tabla336106734815[[#This Row],[Equity Peak]]-Tabla336106734815[[#This Row],[Equity]])/Tabla336106734815[[#This Row],[Equity Peak]],"")</f>
        <v>9.0252707581227436E-3</v>
      </c>
      <c r="V21" s="209">
        <f t="shared" si="7"/>
        <v>-1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0.54791666667006211</v>
      </c>
      <c r="AE21" s="210">
        <f t="shared" si="16"/>
        <v>0</v>
      </c>
      <c r="AF21" s="210">
        <f t="shared" si="17"/>
        <v>0.54791666667006211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15</v>
      </c>
      <c r="D22" s="198" t="str">
        <f t="shared" si="0"/>
        <v>C</v>
      </c>
      <c r="E22" s="199">
        <v>44083.017361111109</v>
      </c>
      <c r="F22" s="200" t="s">
        <v>119</v>
      </c>
      <c r="G22" s="201">
        <v>0.90669</v>
      </c>
      <c r="H22" s="201">
        <v>0.90278000000000003</v>
      </c>
      <c r="I22" s="202">
        <f t="shared" si="1"/>
        <v>3.9099999999999691E-3</v>
      </c>
      <c r="J22" s="201">
        <v>0.91712000000000005</v>
      </c>
      <c r="K22" s="199">
        <v>44084.645833333336</v>
      </c>
      <c r="L22" s="201">
        <v>0.91712000000000005</v>
      </c>
      <c r="M22" s="203">
        <f t="shared" si="2"/>
        <v>1.04E-2</v>
      </c>
      <c r="N22" s="204">
        <f t="shared" si="3"/>
        <v>2.66</v>
      </c>
      <c r="O22" s="205">
        <f t="shared" si="4"/>
        <v>0</v>
      </c>
      <c r="P22" s="206">
        <f t="shared" si="5"/>
        <v>2.66</v>
      </c>
      <c r="Q22" s="206">
        <f t="shared" si="6"/>
        <v>0</v>
      </c>
      <c r="R22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2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110800</v>
      </c>
      <c r="T22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110800</v>
      </c>
      <c r="U22" s="208" t="str">
        <f ca="1">IF(Tabla336106734815[[#This Row],[Equity]]&lt;Tabla336106734815[[#This Row],[Equity Peak]],(Tabla336106734815[[#This Row],[Equity Peak]]-Tabla336106734815[[#This Row],[Equity]])/Tabla336106734815[[#This Row],[Equity Peak]],"")</f>
        <v/>
      </c>
      <c r="V22" s="209">
        <f t="shared" si="7"/>
        <v>2.66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1.6284722222262644</v>
      </c>
      <c r="AE22" s="210">
        <f t="shared" si="16"/>
        <v>1.6284722222262644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44060.666666666664</v>
      </c>
      <c r="F23" s="200" t="s">
        <v>119</v>
      </c>
      <c r="G23" s="201">
        <v>0.90551999999999999</v>
      </c>
      <c r="H23" s="201">
        <v>0.90246999999999999</v>
      </c>
      <c r="I23" s="202">
        <f t="shared" si="1"/>
        <v>3.0499999999999972E-3</v>
      </c>
      <c r="J23" s="201">
        <v>0.91364999999999996</v>
      </c>
      <c r="K23" s="199">
        <v>44061.713888888888</v>
      </c>
      <c r="L23" s="201">
        <v>0.90246999999999999</v>
      </c>
      <c r="M23" s="203">
        <f t="shared" si="2"/>
        <v>-3.0999999999999999E-3</v>
      </c>
      <c r="N23" s="204">
        <f t="shared" si="3"/>
        <v>-1.02</v>
      </c>
      <c r="O23" s="205">
        <f t="shared" si="4"/>
        <v>0</v>
      </c>
      <c r="P23" s="206">
        <f t="shared" si="5"/>
        <v>0</v>
      </c>
      <c r="Q23" s="206">
        <f t="shared" si="6"/>
        <v>-1.02</v>
      </c>
      <c r="R23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3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108140</v>
      </c>
      <c r="T23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109680</v>
      </c>
      <c r="U23" s="208">
        <f ca="1">IF(Tabla336106734815[[#This Row],[Equity]]&lt;Tabla336106734815[[#This Row],[Equity Peak]],(Tabla336106734815[[#This Row],[Equity Peak]]-Tabla336106734815[[#This Row],[Equity]])/Tabla336106734815[[#This Row],[Equity Peak]],"")</f>
        <v>1.4040846097738877E-2</v>
      </c>
      <c r="V23" s="209">
        <f t="shared" si="7"/>
        <v>-1.02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1.047222222223354</v>
      </c>
      <c r="AE23" s="210">
        <f t="shared" si="16"/>
        <v>0</v>
      </c>
      <c r="AF23" s="210">
        <f t="shared" si="17"/>
        <v>1.047222222223354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44027.017361111109</v>
      </c>
      <c r="F24" s="200" t="s">
        <v>119</v>
      </c>
      <c r="G24" s="201">
        <v>0.90708999999999995</v>
      </c>
      <c r="H24" s="201">
        <v>0.90363000000000004</v>
      </c>
      <c r="I24" s="202">
        <f t="shared" si="1"/>
        <v>3.4599999999999076E-3</v>
      </c>
      <c r="J24" s="201">
        <v>0.91630999999999996</v>
      </c>
      <c r="K24" s="199">
        <v>44032.660416666666</v>
      </c>
      <c r="L24" s="201">
        <v>0.90530999999999995</v>
      </c>
      <c r="M24" s="203">
        <f t="shared" si="2"/>
        <v>-1.8E-3</v>
      </c>
      <c r="N24" s="204">
        <f t="shared" si="3"/>
        <v>-0.52</v>
      </c>
      <c r="O24" s="205">
        <f t="shared" si="4"/>
        <v>0</v>
      </c>
      <c r="P24" s="206">
        <f t="shared" si="5"/>
        <v>0</v>
      </c>
      <c r="Q24" s="206">
        <f t="shared" si="6"/>
        <v>-0.52</v>
      </c>
      <c r="R24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4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109160</v>
      </c>
      <c r="T24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109680</v>
      </c>
      <c r="U24" s="208">
        <f ca="1">IF(Tabla336106734815[[#This Row],[Equity]]&lt;Tabla336106734815[[#This Row],[Equity Peak]],(Tabla336106734815[[#This Row],[Equity Peak]]-Tabla336106734815[[#This Row],[Equity]])/Tabla336106734815[[#This Row],[Equity Peak]],"")</f>
        <v>4.7410649161196208E-3</v>
      </c>
      <c r="V24" s="209">
        <f t="shared" si="7"/>
        <v>-0.52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5.6430555555562023</v>
      </c>
      <c r="AE24" s="210">
        <f t="shared" si="16"/>
        <v>0</v>
      </c>
      <c r="AF24" s="210">
        <f t="shared" si="17"/>
        <v>5.6430555555562023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15</v>
      </c>
      <c r="D25" s="198" t="str">
        <f t="shared" si="0"/>
        <v>C</v>
      </c>
      <c r="E25" s="199">
        <v>43993.333333333336</v>
      </c>
      <c r="F25" s="200" t="s">
        <v>119</v>
      </c>
      <c r="G25" s="201">
        <v>0.89498999999999995</v>
      </c>
      <c r="H25" s="201">
        <v>0.89112999999999998</v>
      </c>
      <c r="I25" s="202">
        <f t="shared" si="1"/>
        <v>3.8599999999999746E-3</v>
      </c>
      <c r="J25" s="201">
        <v>0.90527999999999997</v>
      </c>
      <c r="K25" s="199">
        <v>44001.593055555553</v>
      </c>
      <c r="L25" s="201">
        <v>0.90527999999999997</v>
      </c>
      <c r="M25" s="203">
        <f t="shared" si="2"/>
        <v>1.03E-2</v>
      </c>
      <c r="N25" s="204">
        <f t="shared" si="3"/>
        <v>2.67</v>
      </c>
      <c r="O25" s="205">
        <f t="shared" si="4"/>
        <v>0</v>
      </c>
      <c r="P25" s="206">
        <f t="shared" si="5"/>
        <v>2.67</v>
      </c>
      <c r="Q25" s="206">
        <f t="shared" si="6"/>
        <v>0</v>
      </c>
      <c r="R25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5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109680</v>
      </c>
      <c r="T25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109680</v>
      </c>
      <c r="U25" s="208" t="str">
        <f ca="1">IF(Tabla336106734815[[#This Row],[Equity]]&lt;Tabla336106734815[[#This Row],[Equity Peak]],(Tabla336106734815[[#This Row],[Equity Peak]]-Tabla336106734815[[#This Row],[Equity]])/Tabla336106734815[[#This Row],[Equity Peak]],"")</f>
        <v/>
      </c>
      <c r="V25" s="209">
        <f t="shared" si="7"/>
        <v>2.67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8.2597222222175333</v>
      </c>
      <c r="AE25" s="210">
        <f t="shared" si="16"/>
        <v>8.2597222222175333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15</v>
      </c>
      <c r="D26" s="198" t="str">
        <f t="shared" si="0"/>
        <v>C</v>
      </c>
      <c r="E26" s="199">
        <v>43963.5</v>
      </c>
      <c r="F26" s="200" t="s">
        <v>119</v>
      </c>
      <c r="G26" s="201">
        <v>0.87814000000000003</v>
      </c>
      <c r="H26" s="201">
        <v>0.87390999999999996</v>
      </c>
      <c r="I26" s="202">
        <f t="shared" si="1"/>
        <v>4.230000000000067E-3</v>
      </c>
      <c r="J26" s="201">
        <v>0.88943000000000005</v>
      </c>
      <c r="K26" s="199">
        <v>43966.61041666667</v>
      </c>
      <c r="L26" s="201">
        <v>0.88943000000000005</v>
      </c>
      <c r="M26" s="203">
        <f t="shared" si="2"/>
        <v>1.1299999999999999E-2</v>
      </c>
      <c r="N26" s="204">
        <f t="shared" si="3"/>
        <v>2.67</v>
      </c>
      <c r="O26" s="205">
        <f t="shared" si="4"/>
        <v>0</v>
      </c>
      <c r="P26" s="206">
        <f t="shared" si="5"/>
        <v>2.67</v>
      </c>
      <c r="Q26" s="206">
        <f t="shared" si="6"/>
        <v>0</v>
      </c>
      <c r="R26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6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107010</v>
      </c>
      <c r="T26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107010</v>
      </c>
      <c r="U26" s="208" t="str">
        <f ca="1">IF(Tabla336106734815[[#This Row],[Equity]]&lt;Tabla336106734815[[#This Row],[Equity Peak]],(Tabla336106734815[[#This Row],[Equity Peak]]-Tabla336106734815[[#This Row],[Equity]])/Tabla336106734815[[#This Row],[Equity Peak]],"")</f>
        <v/>
      </c>
      <c r="V26" s="209">
        <f t="shared" si="7"/>
        <v>2.67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3.1104166666700621</v>
      </c>
      <c r="AE26" s="210">
        <f t="shared" si="16"/>
        <v>3.1104166666700621</v>
      </c>
      <c r="AF26" s="210">
        <f t="shared" si="17"/>
        <v>0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13</v>
      </c>
      <c r="D27" s="198" t="str">
        <f t="shared" si="0"/>
        <v>C</v>
      </c>
      <c r="E27" s="199">
        <v>43872.017361111109</v>
      </c>
      <c r="F27" s="200" t="s">
        <v>119</v>
      </c>
      <c r="G27" s="201">
        <v>0.84433999999999998</v>
      </c>
      <c r="H27" s="201">
        <v>0.84669000000000005</v>
      </c>
      <c r="I27" s="202">
        <f t="shared" si="1"/>
        <v>2.3500000000000743E-3</v>
      </c>
      <c r="J27" s="201">
        <v>0.83806000000000003</v>
      </c>
      <c r="K27" s="199">
        <v>43874.440972222219</v>
      </c>
      <c r="L27" s="201">
        <v>0.83806000000000003</v>
      </c>
      <c r="M27" s="203">
        <f t="shared" si="2"/>
        <v>6.3E-3</v>
      </c>
      <c r="N27" s="204">
        <f t="shared" si="3"/>
        <v>2.68</v>
      </c>
      <c r="O27" s="205">
        <f t="shared" si="4"/>
        <v>0</v>
      </c>
      <c r="P27" s="206">
        <f t="shared" si="5"/>
        <v>2.68</v>
      </c>
      <c r="Q27" s="206">
        <f t="shared" si="6"/>
        <v>0</v>
      </c>
      <c r="R27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7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104340</v>
      </c>
      <c r="T27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104340</v>
      </c>
      <c r="U27" s="208" t="str">
        <f ca="1">IF(Tabla336106734815[[#This Row],[Equity]]&lt;Tabla336106734815[[#This Row],[Equity Peak]],(Tabla336106734815[[#This Row],[Equity Peak]]-Tabla336106734815[[#This Row],[Equity]])/Tabla336106734815[[#This Row],[Equity Peak]],"")</f>
        <v/>
      </c>
      <c r="V27" s="209">
        <f t="shared" si="7"/>
        <v>2.68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2.4236111111094942</v>
      </c>
      <c r="AE27" s="210">
        <f t="shared" si="16"/>
        <v>2.4236111111094942</v>
      </c>
      <c r="AF27" s="210">
        <f t="shared" si="17"/>
        <v>0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0"/>
        <v>C</v>
      </c>
      <c r="E28" s="199">
        <v>43852.333333333336</v>
      </c>
      <c r="F28" s="200" t="s">
        <v>119</v>
      </c>
      <c r="G28" s="201">
        <v>0.84889000000000003</v>
      </c>
      <c r="H28" s="201">
        <v>0.85107999999999995</v>
      </c>
      <c r="I28" s="202">
        <f t="shared" si="1"/>
        <v>2.1899999999999142E-3</v>
      </c>
      <c r="J28" s="201">
        <v>0.84304999999999997</v>
      </c>
      <c r="K28" s="199">
        <v>43852.768055555556</v>
      </c>
      <c r="L28" s="201">
        <v>0.84304999999999997</v>
      </c>
      <c r="M28" s="203">
        <f t="shared" si="2"/>
        <v>5.7999999999999996E-3</v>
      </c>
      <c r="N28" s="204">
        <f t="shared" si="3"/>
        <v>2.65</v>
      </c>
      <c r="O28" s="205">
        <f t="shared" si="4"/>
        <v>0</v>
      </c>
      <c r="P28" s="206">
        <f t="shared" si="5"/>
        <v>2.65</v>
      </c>
      <c r="Q28" s="206">
        <f t="shared" si="6"/>
        <v>0</v>
      </c>
      <c r="R28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8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101660</v>
      </c>
      <c r="T28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101660</v>
      </c>
      <c r="U28" s="208" t="str">
        <f ca="1">IF(Tabla336106734815[[#This Row],[Equity]]&lt;Tabla336106734815[[#This Row],[Equity Peak]],(Tabla336106734815[[#This Row],[Equity Peak]]-Tabla336106734815[[#This Row],[Equity]])/Tabla336106734815[[#This Row],[Equity Peak]],"")</f>
        <v/>
      </c>
      <c r="V28" s="209">
        <f t="shared" si="7"/>
        <v>2.65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0.43472222222044365</v>
      </c>
      <c r="AE28" s="210">
        <f t="shared" si="16"/>
        <v>0.43472222222044365</v>
      </c>
      <c r="AF28" s="210">
        <f t="shared" si="17"/>
        <v>0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13</v>
      </c>
      <c r="D29" s="198" t="str">
        <f t="shared" si="0"/>
        <v>C</v>
      </c>
      <c r="E29" s="199">
        <v>43838.666666666664</v>
      </c>
      <c r="F29" s="200" t="s">
        <v>119</v>
      </c>
      <c r="G29" s="201">
        <v>0.84740000000000004</v>
      </c>
      <c r="H29" s="201">
        <v>0.85133000000000003</v>
      </c>
      <c r="I29" s="202">
        <f t="shared" si="1"/>
        <v>3.9299999999999891E-3</v>
      </c>
      <c r="J29" s="201">
        <v>0.83691000000000004</v>
      </c>
      <c r="K29" s="199">
        <v>43839.434027777781</v>
      </c>
      <c r="L29" s="201">
        <v>0.85133000000000003</v>
      </c>
      <c r="M29" s="203">
        <f t="shared" si="2"/>
        <v>-3.8999999999999998E-3</v>
      </c>
      <c r="N29" s="204">
        <f t="shared" si="3"/>
        <v>-0.99</v>
      </c>
      <c r="O29" s="205">
        <f t="shared" si="4"/>
        <v>0</v>
      </c>
      <c r="P29" s="206">
        <f t="shared" si="5"/>
        <v>0</v>
      </c>
      <c r="Q29" s="206">
        <f t="shared" si="6"/>
        <v>-0.99</v>
      </c>
      <c r="R29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Yes</v>
      </c>
      <c r="S29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99010</v>
      </c>
      <c r="T29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100000</v>
      </c>
      <c r="U29" s="208">
        <f ca="1">IF(Tabla336106734815[[#This Row],[Equity]]&lt;Tabla336106734815[[#This Row],[Equity Peak]],(Tabla336106734815[[#This Row],[Equity Peak]]-Tabla336106734815[[#This Row],[Equity]])/Tabla336106734815[[#This Row],[Equity Peak]],"")</f>
        <v>9.9000000000000008E-3</v>
      </c>
      <c r="V29" s="209">
        <f t="shared" si="7"/>
        <v>-0.99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0.76736111111677019</v>
      </c>
      <c r="AE29" s="210">
        <f t="shared" si="16"/>
        <v>0</v>
      </c>
      <c r="AF29" s="210">
        <f t="shared" si="17"/>
        <v>0.76736111111677019</v>
      </c>
      <c r="AG29" s="210">
        <f t="shared" si="18"/>
        <v>0</v>
      </c>
    </row>
  </sheetData>
  <sheetProtection algorithmName="SHA-512" hashValue="Yqi/od4U+/2FvnXssKutE/+py0ofh9UsEUm0Vfk/Z78W1EirBSxjJah1eXPZ4toOMkoNONBA/03MHEBIH9hNag==" saltValue="ZiQn3hBK87LUOHBnGtoPX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755" priority="3" operator="equal">
      <formula>"OK"</formula>
    </cfRule>
    <cfRule type="cellIs" dxfId="754" priority="4" operator="equal">
      <formula>"warning"</formula>
    </cfRule>
  </conditionalFormatting>
  <conditionalFormatting sqref="F13">
    <cfRule type="cellIs" dxfId="753" priority="1" operator="equal">
      <formula>"OK"</formula>
    </cfRule>
    <cfRule type="cellIs" dxfId="752" priority="2" operator="equal">
      <formula>"Error!!"</formula>
    </cfRule>
  </conditionalFormatting>
  <conditionalFormatting sqref="E15:H15 K15:L15">
    <cfRule type="expression" dxfId="751" priority="5">
      <formula>+$D15=#REF!</formula>
    </cfRule>
    <cfRule type="expression" dxfId="750" priority="6">
      <formula>+$D15=#REF!</formula>
    </cfRule>
  </conditionalFormatting>
  <conditionalFormatting sqref="D15 K16:L16 D16:H29 J17:L29">
    <cfRule type="expression" dxfId="749" priority="7">
      <formula>+$D15=$AG$8</formula>
    </cfRule>
    <cfRule type="expression" dxfId="74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AA57D058-F62F-4B47-83E2-42C0EE52DCD8}">
      <formula1>$AE$4:$AE$6</formula1>
    </dataValidation>
    <dataValidation type="list" allowBlank="1" showInputMessage="1" showErrorMessage="1" promptTitle="Trade Direction" prompt="Select from List" sqref="C15:C16" xr:uid="{0AD16FF2-E36F-46EE-9496-CB794E598F75}">
      <formula1>$AG$4:$AG$5</formula1>
    </dataValidation>
    <dataValidation type="list" allowBlank="1" showInputMessage="1" showErrorMessage="1" promptTitle="Instrument Type" prompt="Select Type from List_x000a_" sqref="B17:B29" xr:uid="{2B7E2824-5C88-4F1D-8D44-5D2BC41AB996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9B7A9-7552-4CBE-B4ED-D4D70AF3DA60}">
  <sheetPr codeName="Hoja22">
    <pageSetUpPr fitToPage="1"/>
  </sheetPr>
  <dimension ref="A1:AX51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K23" sqref="K23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COUNTA(Tabla336106734816[Inst])</f>
        <v>35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1.7599999999999996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1.7599999999999996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COUNTIF(Tabla336106734816[No. of Rs],"&gt;0")</f>
        <v>14</v>
      </c>
      <c r="G7" s="24">
        <f>IFERROR((F7/$F$6),"")</f>
        <v>0.4</v>
      </c>
      <c r="H7" s="78">
        <f>IFERROR((+P13/F7),"")</f>
        <v>0.88571428571428579</v>
      </c>
      <c r="I7" s="227">
        <f>H7/H9</f>
        <v>1.7481203007518804</v>
      </c>
      <c r="J7" s="227">
        <f>AVERAGE(Tabla336106734816[No. of Rs])</f>
        <v>5.0285714285714274E-2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COUNTIF(Tabla336106734816[No.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OFFSET(Tabla336106734816[[#Headers],[Equity]],1,0)</f>
        <v>101760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COUNTIF(Tabla336106734816[No. of Rs],"&lt;0")</f>
        <v>21</v>
      </c>
      <c r="G9" s="32">
        <f>IFERROR((F9/$F$6),"")</f>
        <v>0.6</v>
      </c>
      <c r="H9" s="79">
        <f>IFERROR((-Q13/F9),"")</f>
        <v>0.50666666666666649</v>
      </c>
      <c r="I9" s="229"/>
      <c r="J9" s="229"/>
      <c r="K9" s="149"/>
      <c r="L9" s="230" t="s">
        <v>106</v>
      </c>
      <c r="M9" s="231"/>
      <c r="N9" s="125">
        <f ca="1">MAX(Tabla336106734816[Drawdown])</f>
        <v>2.8348757915245982E-2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OFFSET(Tabla336106734816[[#Headers],[Drawdown]],1,0)</f>
        <v>8.6702386751095952E-3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COUNTIF(Tabla336106734816[Heat],"&lt;0")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IF(COUNTIFS(Tabla336106734816[O/C],"O")&lt;1,"None",COUNTIFS(Tabla336106734816[O/C],"O"))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SUM(Tabla336106734816[No. of Rs])</f>
        <v>1.7599999999999996</v>
      </c>
      <c r="O13" s="42">
        <f>SUM(Tabla336106734816[Heat])</f>
        <v>0</v>
      </c>
      <c r="P13" s="43">
        <f>SUM(Tabla336106734816[[ TR WIN]])</f>
        <v>12.4</v>
      </c>
      <c r="Q13" s="43">
        <f>SUM(Tabla336106734816[[ TR LOSS]])</f>
        <v>-10.639999999999997</v>
      </c>
      <c r="R13" s="114"/>
      <c r="S13" s="115"/>
      <c r="T13" s="115"/>
      <c r="U13" s="121"/>
      <c r="V13" s="44">
        <f>SUM(Tabla336106734816[Currency])</f>
        <v>1.7599999999999996</v>
      </c>
      <c r="W13" s="44">
        <f>SUM(Tabla336106734816[Heat3])</f>
        <v>0</v>
      </c>
      <c r="X13" s="44">
        <f>SUM(Tabla336106734816[Commodities])</f>
        <v>0</v>
      </c>
      <c r="Y13" s="44">
        <f>SUM(Tabla336106734816[Heat4])</f>
        <v>0</v>
      </c>
      <c r="Z13" s="44">
        <f>SUM(Tabla336106734816[Index])</f>
        <v>0</v>
      </c>
      <c r="AA13" s="44">
        <f>SUM(Tabla336106734816[Heat5])</f>
        <v>0</v>
      </c>
      <c r="AB13" s="44">
        <f>SUM(Tabla336106734816[Cryptocurrency])</f>
        <v>0</v>
      </c>
      <c r="AC13" s="44">
        <f>SUM(Tabla336106734816[Heat6])</f>
        <v>0</v>
      </c>
      <c r="AD13" s="75">
        <f>AVERAGEIF(Tabla336106734816[Length of 
Trade],"&lt;&gt;0")</f>
        <v>3.6667261904766617</v>
      </c>
      <c r="AE13" s="75">
        <f>AVERAGEIF(Tabla336106734816[Win],"&lt;&gt;0")</f>
        <v>4.9460813492057367</v>
      </c>
      <c r="AF13" s="75">
        <f>AVERAGEIF(Tabla336106734816[Loss],"&lt;&gt;0")</f>
        <v>2.8138227513239449</v>
      </c>
      <c r="AG13" s="76" t="e">
        <f>AVERAGEIF(Tabla336106734816[Breakeven],"&lt;&gt;0")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48" si="0">IF(E17&lt;&gt;"",IF(K17&lt;&gt;"","C","O"),"")</f>
        <v>C</v>
      </c>
      <c r="E17" s="199">
        <v>44159.017361111109</v>
      </c>
      <c r="F17" s="200" t="s">
        <v>118</v>
      </c>
      <c r="G17" s="201">
        <v>123.693</v>
      </c>
      <c r="H17" s="201">
        <v>123.06399999999999</v>
      </c>
      <c r="I17" s="202">
        <f t="shared" ref="I17:I48" si="1">ABS(G17-H17)</f>
        <v>0.62900000000000489</v>
      </c>
      <c r="J17" s="201">
        <v>126.211</v>
      </c>
      <c r="K17" s="199">
        <v>44161.599999999999</v>
      </c>
      <c r="L17" s="201">
        <v>123.946</v>
      </c>
      <c r="M17" s="203">
        <f t="shared" ref="M17:M48" si="2">ROUND(IF(C17="L",(L17-G17),(G17-L17)),4)</f>
        <v>0.253</v>
      </c>
      <c r="N17" s="204">
        <f t="shared" ref="N17:N48" si="3">IFERROR(ROUND((M17/I17),2),"")</f>
        <v>0.4</v>
      </c>
      <c r="O17" s="205">
        <f t="shared" ref="O17:O48" si="4">IF(D17="O",IF(N17&lt;0,N17,0),0)</f>
        <v>0</v>
      </c>
      <c r="P17" s="206">
        <f t="shared" ref="P17:P48" si="5">IF(N17&gt;= 0,N17,0)</f>
        <v>0.4</v>
      </c>
      <c r="Q17" s="206">
        <f t="shared" ref="Q17:Q48" si="6">IF(N17&lt;0,N17,0)</f>
        <v>0</v>
      </c>
      <c r="R17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17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101760</v>
      </c>
      <c r="T17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17" s="208">
        <f ca="1">IF(Tabla336106734816[[#This Row],[Equity]]&lt;Tabla336106734816[[#This Row],[Equity Peak]],(Tabla336106734816[[#This Row],[Equity Peak]]-Tabla336106734816[[#This Row],[Equity]])/Tabla336106734816[[#This Row],[Equity Peak]],"")</f>
        <v>8.6702386751095952E-3</v>
      </c>
      <c r="V17" s="209">
        <f t="shared" ref="V17:V48" si="7">IF(B17="FX",N17,0)</f>
        <v>0.4</v>
      </c>
      <c r="W17" s="209">
        <f t="shared" ref="W17:W48" si="8">IF(D17="O",IF(V17&lt;0,V17,0),0)</f>
        <v>0</v>
      </c>
      <c r="X17" s="209">
        <f t="shared" ref="X17:X48" si="9">IF(B17="COM",N17,0)</f>
        <v>0</v>
      </c>
      <c r="Y17" s="209">
        <f t="shared" ref="Y17:Y48" si="10">IF(D17="O",IF(X17&lt;0,X17,0),0)</f>
        <v>0</v>
      </c>
      <c r="Z17" s="209">
        <f t="shared" ref="Z17:Z48" si="11">IF(B17="IND",N17,0)</f>
        <v>0</v>
      </c>
      <c r="AA17" s="205">
        <f t="shared" ref="AA17:AA48" si="12">IF(D17="O",IF(Z17&lt;0,Z17,0),0)</f>
        <v>0</v>
      </c>
      <c r="AB17" s="209">
        <f t="shared" ref="AB17:AB48" si="13">IF(B17="CRYPTO",N17,0)</f>
        <v>0</v>
      </c>
      <c r="AC17" s="205">
        <f t="shared" ref="AC17:AC48" si="14">IF(D17="O",IF(AB17&lt;0,AB17,0),0)</f>
        <v>0</v>
      </c>
      <c r="AD17" s="210">
        <f t="shared" ref="AD17:AD48" si="15">IF(K17&lt;&gt;"",K17-E17,0)</f>
        <v>2.5826388888890506</v>
      </c>
      <c r="AE17" s="210">
        <f t="shared" ref="AE17:AE48" si="16">IF(N17&gt;0,AD17,0)</f>
        <v>2.5826388888890506</v>
      </c>
      <c r="AF17" s="210">
        <f t="shared" ref="AF17:AF48" si="17">IF(N17&lt;0,AD17,0)</f>
        <v>0</v>
      </c>
      <c r="AG17" s="210">
        <f t="shared" ref="AG17:AG48" si="18">IF(N17=0,AD17,0)</f>
        <v>0</v>
      </c>
    </row>
    <row r="18" spans="2:33" ht="15" customHeight="1" x14ac:dyDescent="0.3">
      <c r="B18" s="196" t="s">
        <v>7</v>
      </c>
      <c r="C18" s="197" t="s">
        <v>13</v>
      </c>
      <c r="D18" s="198" t="str">
        <f t="shared" si="0"/>
        <v>C</v>
      </c>
      <c r="E18" s="199">
        <v>44153.5</v>
      </c>
      <c r="F18" s="200" t="s">
        <v>118</v>
      </c>
      <c r="G18" s="201">
        <v>123.462</v>
      </c>
      <c r="H18" s="201">
        <v>124.13</v>
      </c>
      <c r="I18" s="202">
        <f t="shared" si="1"/>
        <v>0.66799999999999216</v>
      </c>
      <c r="J18" s="201">
        <v>120.788</v>
      </c>
      <c r="K18" s="199">
        <v>44158.70416666667</v>
      </c>
      <c r="L18" s="201">
        <v>123.559</v>
      </c>
      <c r="M18" s="203">
        <f t="shared" si="2"/>
        <v>-9.7000000000000003E-2</v>
      </c>
      <c r="N18" s="204">
        <f t="shared" si="3"/>
        <v>-0.15</v>
      </c>
      <c r="O18" s="205">
        <f t="shared" si="4"/>
        <v>0</v>
      </c>
      <c r="P18" s="206">
        <f t="shared" si="5"/>
        <v>0</v>
      </c>
      <c r="Q18" s="206">
        <f t="shared" si="6"/>
        <v>-0.15</v>
      </c>
      <c r="R18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18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101360</v>
      </c>
      <c r="T18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18" s="208">
        <f ca="1">IF(Tabla336106734816[[#This Row],[Equity]]&lt;Tabla336106734816[[#This Row],[Equity Peak]],(Tabla336106734816[[#This Row],[Equity Peak]]-Tabla336106734816[[#This Row],[Equity]])/Tabla336106734816[[#This Row],[Equity Peak]],"")</f>
        <v>1.2566975158304919E-2</v>
      </c>
      <c r="V18" s="209">
        <f t="shared" si="7"/>
        <v>-0.15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5.2041666666700621</v>
      </c>
      <c r="AE18" s="210">
        <f t="shared" si="16"/>
        <v>0</v>
      </c>
      <c r="AF18" s="210">
        <f t="shared" si="17"/>
        <v>5.2041666666700621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44144.666666666664</v>
      </c>
      <c r="F19" s="200" t="s">
        <v>118</v>
      </c>
      <c r="G19" s="201">
        <v>124.723</v>
      </c>
      <c r="H19" s="201">
        <v>123.57599999999999</v>
      </c>
      <c r="I19" s="202">
        <f t="shared" si="1"/>
        <v>1.1470000000000056</v>
      </c>
      <c r="J19" s="201">
        <v>129.31</v>
      </c>
      <c r="K19" s="199">
        <v>44152.706250000003</v>
      </c>
      <c r="L19" s="201">
        <v>123.57899999999999</v>
      </c>
      <c r="M19" s="203">
        <f t="shared" si="2"/>
        <v>-1.1439999999999999</v>
      </c>
      <c r="N19" s="204">
        <f t="shared" si="3"/>
        <v>-1</v>
      </c>
      <c r="O19" s="205">
        <f t="shared" si="4"/>
        <v>0</v>
      </c>
      <c r="P19" s="206">
        <f t="shared" si="5"/>
        <v>0</v>
      </c>
      <c r="Q19" s="206">
        <f t="shared" si="6"/>
        <v>-1</v>
      </c>
      <c r="R19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19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101510</v>
      </c>
      <c r="T19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19" s="208">
        <f ca="1">IF(Tabla336106734816[[#This Row],[Equity]]&lt;Tabla336106734816[[#This Row],[Equity Peak]],(Tabla336106734816[[#This Row],[Equity Peak]]-Tabla336106734816[[#This Row],[Equity]])/Tabla336106734816[[#This Row],[Equity Peak]],"")</f>
        <v>1.1105698977106674E-2</v>
      </c>
      <c r="V19" s="209">
        <f t="shared" si="7"/>
        <v>-1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8.039583333338669</v>
      </c>
      <c r="AE19" s="210">
        <f t="shared" si="16"/>
        <v>0</v>
      </c>
      <c r="AF19" s="210">
        <f t="shared" si="17"/>
        <v>8.039583333338669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44126.333333333336</v>
      </c>
      <c r="F20" s="200" t="s">
        <v>118</v>
      </c>
      <c r="G20" s="201">
        <v>124.02800000000001</v>
      </c>
      <c r="H20" s="201">
        <v>124.718</v>
      </c>
      <c r="I20" s="202">
        <f t="shared" si="1"/>
        <v>0.68999999999999773</v>
      </c>
      <c r="J20" s="201">
        <v>121.267</v>
      </c>
      <c r="K20" s="199">
        <v>44138.474999999999</v>
      </c>
      <c r="L20" s="201">
        <v>122.46899999999999</v>
      </c>
      <c r="M20" s="203">
        <f t="shared" si="2"/>
        <v>1.5589999999999999</v>
      </c>
      <c r="N20" s="204">
        <f t="shared" si="3"/>
        <v>2.2599999999999998</v>
      </c>
      <c r="O20" s="205">
        <f t="shared" si="4"/>
        <v>0</v>
      </c>
      <c r="P20" s="206">
        <f t="shared" si="5"/>
        <v>2.2599999999999998</v>
      </c>
      <c r="Q20" s="206">
        <f t="shared" si="6"/>
        <v>0</v>
      </c>
      <c r="R20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0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102510</v>
      </c>
      <c r="T20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20" s="208">
        <f ca="1">IF(Tabla336106734816[[#This Row],[Equity]]&lt;Tabla336106734816[[#This Row],[Equity Peak]],(Tabla336106734816[[#This Row],[Equity Peak]]-Tabla336106734816[[#This Row],[Equity]])/Tabla336106734816[[#This Row],[Equity Peak]],"")</f>
        <v>1.3638577691183634E-3</v>
      </c>
      <c r="V20" s="209">
        <f t="shared" si="7"/>
        <v>2.2599999999999998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12.141666666662786</v>
      </c>
      <c r="AE20" s="210">
        <f t="shared" si="16"/>
        <v>12.141666666662786</v>
      </c>
      <c r="AF20" s="210">
        <f t="shared" si="17"/>
        <v>0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0"/>
        <v>C</v>
      </c>
      <c r="E21" s="199">
        <v>44124.166666666664</v>
      </c>
      <c r="F21" s="200" t="s">
        <v>118</v>
      </c>
      <c r="G21" s="201">
        <v>124.3</v>
      </c>
      <c r="H21" s="201">
        <v>123.506</v>
      </c>
      <c r="I21" s="202">
        <f t="shared" si="1"/>
        <v>0.79399999999999693</v>
      </c>
      <c r="J21" s="201">
        <v>127.47499999999999</v>
      </c>
      <c r="K21" s="199">
        <v>44125.67291666667</v>
      </c>
      <c r="L21" s="201">
        <v>123.999</v>
      </c>
      <c r="M21" s="203">
        <f t="shared" si="2"/>
        <v>-0.30099999999999999</v>
      </c>
      <c r="N21" s="204">
        <f t="shared" si="3"/>
        <v>-0.38</v>
      </c>
      <c r="O21" s="205">
        <f t="shared" si="4"/>
        <v>0</v>
      </c>
      <c r="P21" s="206">
        <f t="shared" si="5"/>
        <v>0</v>
      </c>
      <c r="Q21" s="206">
        <f t="shared" si="6"/>
        <v>-0.38</v>
      </c>
      <c r="R21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1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100250</v>
      </c>
      <c r="T21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21" s="208">
        <f ca="1">IF(Tabla336106734816[[#This Row],[Equity]]&lt;Tabla336106734816[[#This Row],[Equity Peak]],(Tabla336106734816[[#This Row],[Equity Peak]]-Tabla336106734816[[#This Row],[Equity]])/Tabla336106734816[[#This Row],[Equity Peak]],"")</f>
        <v>2.3380418899171942E-2</v>
      </c>
      <c r="V21" s="209">
        <f t="shared" si="7"/>
        <v>-0.38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1.5062500000058208</v>
      </c>
      <c r="AE21" s="210">
        <f t="shared" si="16"/>
        <v>0</v>
      </c>
      <c r="AF21" s="210">
        <f t="shared" si="17"/>
        <v>1.5062500000058208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44117.833333333336</v>
      </c>
      <c r="F22" s="200" t="s">
        <v>118</v>
      </c>
      <c r="G22" s="201">
        <v>123.848</v>
      </c>
      <c r="H22" s="201">
        <v>124.49299999999999</v>
      </c>
      <c r="I22" s="202">
        <f t="shared" si="1"/>
        <v>0.64499999999999602</v>
      </c>
      <c r="J22" s="201">
        <v>121.26900000000001</v>
      </c>
      <c r="K22" s="199">
        <v>44120.637499999997</v>
      </c>
      <c r="L22" s="201">
        <v>123.642</v>
      </c>
      <c r="M22" s="203">
        <f t="shared" si="2"/>
        <v>0.20599999999999999</v>
      </c>
      <c r="N22" s="204">
        <f t="shared" si="3"/>
        <v>0.32</v>
      </c>
      <c r="O22" s="205">
        <f t="shared" si="4"/>
        <v>0</v>
      </c>
      <c r="P22" s="206">
        <f t="shared" si="5"/>
        <v>0.32</v>
      </c>
      <c r="Q22" s="206">
        <f t="shared" si="6"/>
        <v>0</v>
      </c>
      <c r="R22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2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100630</v>
      </c>
      <c r="T22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22" s="208">
        <f ca="1">IF(Tabla336106734816[[#This Row],[Equity]]&lt;Tabla336106734816[[#This Row],[Equity Peak]],(Tabla336106734816[[#This Row],[Equity Peak]]-Tabla336106734816[[#This Row],[Equity]])/Tabla336106734816[[#This Row],[Equity Peak]],"")</f>
        <v>1.9678519240136385E-2</v>
      </c>
      <c r="V22" s="209">
        <f t="shared" si="7"/>
        <v>0.32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2.804166666661331</v>
      </c>
      <c r="AE22" s="210">
        <f t="shared" si="16"/>
        <v>2.804166666661331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44109.833333333336</v>
      </c>
      <c r="F23" s="200" t="s">
        <v>118</v>
      </c>
      <c r="G23" s="201">
        <v>124.65900000000001</v>
      </c>
      <c r="H23" s="201">
        <v>123.82899999999999</v>
      </c>
      <c r="I23" s="202">
        <f t="shared" si="1"/>
        <v>0.83000000000001251</v>
      </c>
      <c r="J23" s="201">
        <v>127.979</v>
      </c>
      <c r="K23" s="199">
        <v>44116.589583333334</v>
      </c>
      <c r="L23" s="201">
        <v>124.39100000000001</v>
      </c>
      <c r="M23" s="203">
        <f t="shared" si="2"/>
        <v>-0.26800000000000002</v>
      </c>
      <c r="N23" s="204">
        <f t="shared" si="3"/>
        <v>-0.32</v>
      </c>
      <c r="O23" s="205">
        <f t="shared" si="4"/>
        <v>0</v>
      </c>
      <c r="P23" s="206">
        <f t="shared" si="5"/>
        <v>0</v>
      </c>
      <c r="Q23" s="206">
        <f t="shared" si="6"/>
        <v>-0.32</v>
      </c>
      <c r="R23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3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100310</v>
      </c>
      <c r="T23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23" s="208">
        <f ca="1">IF(Tabla336106734816[[#This Row],[Equity]]&lt;Tabla336106734816[[#This Row],[Equity Peak]],(Tabla336106734816[[#This Row],[Equity Peak]]-Tabla336106734816[[#This Row],[Equity]])/Tabla336106734816[[#This Row],[Equity Peak]],"")</f>
        <v>2.2795908426692647E-2</v>
      </c>
      <c r="V23" s="209">
        <f t="shared" si="7"/>
        <v>-0.32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6.7562499999985448</v>
      </c>
      <c r="AE23" s="210">
        <f t="shared" si="16"/>
        <v>0</v>
      </c>
      <c r="AF23" s="210">
        <f t="shared" si="17"/>
        <v>6.7562499999985448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0"/>
        <v>C</v>
      </c>
      <c r="E24" s="199">
        <v>44089.833333333336</v>
      </c>
      <c r="F24" s="200" t="s">
        <v>118</v>
      </c>
      <c r="G24" s="201">
        <v>124.998</v>
      </c>
      <c r="H24" s="201">
        <v>125.788</v>
      </c>
      <c r="I24" s="202">
        <f t="shared" si="1"/>
        <v>0.78999999999999204</v>
      </c>
      <c r="J24" s="201">
        <v>121.837</v>
      </c>
      <c r="K24" s="199">
        <v>44092.131249999999</v>
      </c>
      <c r="L24" s="201">
        <v>124.292</v>
      </c>
      <c r="M24" s="203">
        <f t="shared" si="2"/>
        <v>0.70599999999999996</v>
      </c>
      <c r="N24" s="204">
        <f t="shared" si="3"/>
        <v>0.89</v>
      </c>
      <c r="O24" s="205">
        <f t="shared" si="4"/>
        <v>0</v>
      </c>
      <c r="P24" s="206">
        <f t="shared" si="5"/>
        <v>0.89</v>
      </c>
      <c r="Q24" s="206">
        <f t="shared" si="6"/>
        <v>0</v>
      </c>
      <c r="R24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4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100630</v>
      </c>
      <c r="T24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24" s="208">
        <f ca="1">IF(Tabla336106734816[[#This Row],[Equity]]&lt;Tabla336106734816[[#This Row],[Equity Peak]],(Tabla336106734816[[#This Row],[Equity Peak]]-Tabla336106734816[[#This Row],[Equity]])/Tabla336106734816[[#This Row],[Equity Peak]],"")</f>
        <v>1.9678519240136385E-2</v>
      </c>
      <c r="V24" s="209">
        <f t="shared" si="7"/>
        <v>0.89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2.2979166666627862</v>
      </c>
      <c r="AE24" s="210">
        <f t="shared" si="16"/>
        <v>2.2979166666627862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15</v>
      </c>
      <c r="D25" s="198" t="str">
        <f t="shared" si="0"/>
        <v>C</v>
      </c>
      <c r="E25" s="199">
        <v>44084.5</v>
      </c>
      <c r="F25" s="200" t="s">
        <v>118</v>
      </c>
      <c r="G25" s="201">
        <v>125.518</v>
      </c>
      <c r="H25" s="201">
        <v>124.625</v>
      </c>
      <c r="I25" s="202">
        <f t="shared" si="1"/>
        <v>0.89300000000000068</v>
      </c>
      <c r="J25" s="201">
        <v>129.089</v>
      </c>
      <c r="K25" s="199">
        <v>44089.683333333334</v>
      </c>
      <c r="L25" s="201">
        <v>125.05800000000001</v>
      </c>
      <c r="M25" s="203">
        <f t="shared" si="2"/>
        <v>-0.46</v>
      </c>
      <c r="N25" s="204">
        <f t="shared" si="3"/>
        <v>-0.52</v>
      </c>
      <c r="O25" s="205">
        <f t="shared" si="4"/>
        <v>0</v>
      </c>
      <c r="P25" s="206">
        <f t="shared" si="5"/>
        <v>0</v>
      </c>
      <c r="Q25" s="206">
        <f t="shared" si="6"/>
        <v>-0.52</v>
      </c>
      <c r="R25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5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99740</v>
      </c>
      <c r="T25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25" s="208">
        <f ca="1">IF(Tabla336106734816[[#This Row],[Equity]]&lt;Tabla336106734816[[#This Row],[Equity Peak]],(Tabla336106734816[[#This Row],[Equity Peak]]-Tabla336106734816[[#This Row],[Equity]])/Tabla336106734816[[#This Row],[Equity Peak]],"")</f>
        <v>2.8348757915245982E-2</v>
      </c>
      <c r="V25" s="209">
        <f t="shared" si="7"/>
        <v>-0.52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5.1833333333343035</v>
      </c>
      <c r="AE25" s="210">
        <f t="shared" si="16"/>
        <v>0</v>
      </c>
      <c r="AF25" s="210">
        <f t="shared" si="17"/>
        <v>5.1833333333343035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0"/>
        <v>C</v>
      </c>
      <c r="E26" s="199">
        <v>44082.666666666664</v>
      </c>
      <c r="F26" s="200" t="s">
        <v>118</v>
      </c>
      <c r="G26" s="201">
        <v>125.071</v>
      </c>
      <c r="H26" s="201">
        <v>125.765</v>
      </c>
      <c r="I26" s="202">
        <f t="shared" si="1"/>
        <v>0.69400000000000261</v>
      </c>
      <c r="J26" s="201">
        <v>122.295</v>
      </c>
      <c r="K26" s="199">
        <v>44083.662499999999</v>
      </c>
      <c r="L26" s="201">
        <v>125.38</v>
      </c>
      <c r="M26" s="203">
        <f t="shared" si="2"/>
        <v>-0.309</v>
      </c>
      <c r="N26" s="204">
        <f t="shared" si="3"/>
        <v>-0.45</v>
      </c>
      <c r="O26" s="205">
        <f t="shared" si="4"/>
        <v>0</v>
      </c>
      <c r="P26" s="206">
        <f t="shared" si="5"/>
        <v>0</v>
      </c>
      <c r="Q26" s="206">
        <f t="shared" si="6"/>
        <v>-0.45</v>
      </c>
      <c r="R26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6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100260</v>
      </c>
      <c r="T26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26" s="208">
        <f ca="1">IF(Tabla336106734816[[#This Row],[Equity]]&lt;Tabla336106734816[[#This Row],[Equity Peak]],(Tabla336106734816[[#This Row],[Equity Peak]]-Tabla336106734816[[#This Row],[Equity]])/Tabla336106734816[[#This Row],[Equity Peak]],"")</f>
        <v>2.3283000487092059E-2</v>
      </c>
      <c r="V26" s="209">
        <f t="shared" si="7"/>
        <v>-0.45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0.99583333333430346</v>
      </c>
      <c r="AE26" s="210">
        <f t="shared" si="16"/>
        <v>0</v>
      </c>
      <c r="AF26" s="210">
        <f t="shared" si="17"/>
        <v>0.99583333333430346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44075.666666666664</v>
      </c>
      <c r="F27" s="200" t="s">
        <v>118</v>
      </c>
      <c r="G27" s="201">
        <v>126.917</v>
      </c>
      <c r="H27" s="201">
        <v>125.75700000000001</v>
      </c>
      <c r="I27" s="202">
        <f t="shared" si="1"/>
        <v>1.1599999999999966</v>
      </c>
      <c r="J27" s="201">
        <v>131.55799999999999</v>
      </c>
      <c r="K27" s="199">
        <v>44076.683333333334</v>
      </c>
      <c r="L27" s="201">
        <v>125.75700000000001</v>
      </c>
      <c r="M27" s="203">
        <f t="shared" si="2"/>
        <v>-1.1599999999999999</v>
      </c>
      <c r="N27" s="204">
        <f t="shared" si="3"/>
        <v>-1</v>
      </c>
      <c r="O27" s="205">
        <f t="shared" si="4"/>
        <v>0</v>
      </c>
      <c r="P27" s="206">
        <f t="shared" si="5"/>
        <v>0</v>
      </c>
      <c r="Q27" s="206">
        <f t="shared" si="6"/>
        <v>-1</v>
      </c>
      <c r="R27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7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100710</v>
      </c>
      <c r="T27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27" s="208">
        <f ca="1">IF(Tabla336106734816[[#This Row],[Equity]]&lt;Tabla336106734816[[#This Row],[Equity Peak]],(Tabla336106734816[[#This Row],[Equity Peak]]-Tabla336106734816[[#This Row],[Equity]])/Tabla336106734816[[#This Row],[Equity Peak]],"")</f>
        <v>1.8899171943497321E-2</v>
      </c>
      <c r="V27" s="209">
        <f t="shared" si="7"/>
        <v>-1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1.0166666666700621</v>
      </c>
      <c r="AE27" s="210">
        <f t="shared" si="16"/>
        <v>0</v>
      </c>
      <c r="AF27" s="210">
        <f t="shared" si="17"/>
        <v>1.0166666666700621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15</v>
      </c>
      <c r="D28" s="198" t="str">
        <f t="shared" si="0"/>
        <v>C</v>
      </c>
      <c r="E28" s="199">
        <v>44025.166666666664</v>
      </c>
      <c r="F28" s="200" t="s">
        <v>118</v>
      </c>
      <c r="G28" s="201">
        <v>120.908</v>
      </c>
      <c r="H28" s="201">
        <v>120.129</v>
      </c>
      <c r="I28" s="202">
        <f t="shared" si="1"/>
        <v>0.77899999999999636</v>
      </c>
      <c r="J28" s="201">
        <v>124.024</v>
      </c>
      <c r="K28" s="199">
        <v>44027.724999999999</v>
      </c>
      <c r="L28" s="201">
        <v>121.836</v>
      </c>
      <c r="M28" s="203">
        <f t="shared" si="2"/>
        <v>0.92800000000000005</v>
      </c>
      <c r="N28" s="204">
        <f t="shared" si="3"/>
        <v>1.19</v>
      </c>
      <c r="O28" s="205">
        <f t="shared" si="4"/>
        <v>0</v>
      </c>
      <c r="P28" s="206">
        <f t="shared" si="5"/>
        <v>1.19</v>
      </c>
      <c r="Q28" s="206">
        <f t="shared" si="6"/>
        <v>0</v>
      </c>
      <c r="R28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8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101710</v>
      </c>
      <c r="T28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28" s="208">
        <f ca="1">IF(Tabla336106734816[[#This Row],[Equity]]&lt;Tabla336106734816[[#This Row],[Equity Peak]],(Tabla336106734816[[#This Row],[Equity Peak]]-Tabla336106734816[[#This Row],[Equity]])/Tabla336106734816[[#This Row],[Equity Peak]],"")</f>
        <v>9.1573307355090113E-3</v>
      </c>
      <c r="V28" s="209">
        <f t="shared" si="7"/>
        <v>1.19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2.5583333333343035</v>
      </c>
      <c r="AE28" s="210">
        <f t="shared" si="16"/>
        <v>2.5583333333343035</v>
      </c>
      <c r="AF28" s="210">
        <f t="shared" si="17"/>
        <v>0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13</v>
      </c>
      <c r="D29" s="198" t="str">
        <f t="shared" si="0"/>
        <v>C</v>
      </c>
      <c r="E29" s="199">
        <v>44022.5</v>
      </c>
      <c r="F29" s="200" t="s">
        <v>118</v>
      </c>
      <c r="G29" s="201">
        <v>120.48399999999999</v>
      </c>
      <c r="H29" s="201">
        <v>121.30800000000001</v>
      </c>
      <c r="I29" s="202">
        <f t="shared" si="1"/>
        <v>0.82400000000001228</v>
      </c>
      <c r="J29" s="201">
        <v>117.188</v>
      </c>
      <c r="K29" s="199">
        <v>44025.166666666664</v>
      </c>
      <c r="L29" s="201">
        <v>120.908</v>
      </c>
      <c r="M29" s="203">
        <f t="shared" si="2"/>
        <v>-0.42399999999999999</v>
      </c>
      <c r="N29" s="204">
        <f t="shared" si="3"/>
        <v>-0.51</v>
      </c>
      <c r="O29" s="205">
        <f t="shared" si="4"/>
        <v>0</v>
      </c>
      <c r="P29" s="206">
        <f t="shared" si="5"/>
        <v>0</v>
      </c>
      <c r="Q29" s="206">
        <f t="shared" si="6"/>
        <v>-0.51</v>
      </c>
      <c r="R29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9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100520</v>
      </c>
      <c r="T29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29" s="208">
        <f ca="1">IF(Tabla336106734816[[#This Row],[Equity]]&lt;Tabla336106734816[[#This Row],[Equity Peak]],(Tabla336106734816[[#This Row],[Equity Peak]]-Tabla336106734816[[#This Row],[Equity]])/Tabla336106734816[[#This Row],[Equity Peak]],"")</f>
        <v>2.07501217730151E-2</v>
      </c>
      <c r="V29" s="209">
        <f t="shared" si="7"/>
        <v>-0.51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2.6666666666642413</v>
      </c>
      <c r="AE29" s="210">
        <f t="shared" si="16"/>
        <v>0</v>
      </c>
      <c r="AF29" s="210">
        <f t="shared" si="17"/>
        <v>2.6666666666642413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44011.166666666664</v>
      </c>
      <c r="F30" s="200" t="s">
        <v>118</v>
      </c>
      <c r="G30" s="201">
        <v>120.465</v>
      </c>
      <c r="H30" s="201">
        <v>119.82299999999999</v>
      </c>
      <c r="I30" s="202">
        <f t="shared" si="1"/>
        <v>0.64200000000001012</v>
      </c>
      <c r="J30" s="201">
        <v>123.03100000000001</v>
      </c>
      <c r="K30" s="199">
        <v>44013.509722222225</v>
      </c>
      <c r="L30" s="201">
        <v>120.71299999999999</v>
      </c>
      <c r="M30" s="203">
        <f t="shared" si="2"/>
        <v>0.248</v>
      </c>
      <c r="N30" s="204">
        <f t="shared" si="3"/>
        <v>0.39</v>
      </c>
      <c r="O30" s="205">
        <f t="shared" si="4"/>
        <v>0</v>
      </c>
      <c r="P30" s="206">
        <f t="shared" si="5"/>
        <v>0.39</v>
      </c>
      <c r="Q30" s="206">
        <f t="shared" si="6"/>
        <v>0</v>
      </c>
      <c r="R30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0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101030</v>
      </c>
      <c r="T30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30" s="208">
        <f ca="1">IF(Tabla336106734816[[#This Row],[Equity]]&lt;Tabla336106734816[[#This Row],[Equity Peak]],(Tabla336106734816[[#This Row],[Equity Peak]]-Tabla336106734816[[#This Row],[Equity]])/Tabla336106734816[[#This Row],[Equity Peak]],"")</f>
        <v>1.5781782756941063E-2</v>
      </c>
      <c r="V30" s="209">
        <f t="shared" si="7"/>
        <v>0.39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2.3430555555605679</v>
      </c>
      <c r="AE30" s="210">
        <f t="shared" si="16"/>
        <v>2.3430555555605679</v>
      </c>
      <c r="AF30" s="210">
        <f t="shared" si="17"/>
        <v>0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0"/>
        <v>C</v>
      </c>
      <c r="E31" s="199">
        <v>44008.333333333336</v>
      </c>
      <c r="F31" s="200" t="s">
        <v>118</v>
      </c>
      <c r="G31" s="201">
        <v>120.184</v>
      </c>
      <c r="H31" s="201">
        <v>120.917</v>
      </c>
      <c r="I31" s="202">
        <f t="shared" si="1"/>
        <v>0.73300000000000409</v>
      </c>
      <c r="J31" s="201">
        <v>117.251</v>
      </c>
      <c r="K31" s="199">
        <v>44011.166666666664</v>
      </c>
      <c r="L31" s="201">
        <v>120.465</v>
      </c>
      <c r="M31" s="203">
        <f t="shared" si="2"/>
        <v>-0.28100000000000003</v>
      </c>
      <c r="N31" s="204">
        <f t="shared" si="3"/>
        <v>-0.38</v>
      </c>
      <c r="O31" s="205">
        <f t="shared" si="4"/>
        <v>0</v>
      </c>
      <c r="P31" s="206">
        <f t="shared" si="5"/>
        <v>0</v>
      </c>
      <c r="Q31" s="206">
        <f t="shared" si="6"/>
        <v>-0.38</v>
      </c>
      <c r="R31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1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100640</v>
      </c>
      <c r="T31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31" s="208">
        <f ca="1">IF(Tabla336106734816[[#This Row],[Equity]]&lt;Tabla336106734816[[#This Row],[Equity Peak]],(Tabla336106734816[[#This Row],[Equity Peak]]-Tabla336106734816[[#This Row],[Equity]])/Tabla336106734816[[#This Row],[Equity Peak]],"")</f>
        <v>1.9581100828056502E-2</v>
      </c>
      <c r="V31" s="209">
        <f t="shared" si="7"/>
        <v>-0.38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2.8333333333284827</v>
      </c>
      <c r="AE31" s="210">
        <f t="shared" si="16"/>
        <v>0</v>
      </c>
      <c r="AF31" s="210">
        <f t="shared" si="17"/>
        <v>2.8333333333284827</v>
      </c>
      <c r="AG31" s="210">
        <f t="shared" si="18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0"/>
        <v>C</v>
      </c>
      <c r="E32" s="199">
        <v>44005.166666666664</v>
      </c>
      <c r="F32" s="200" t="s">
        <v>118</v>
      </c>
      <c r="G32" s="201">
        <v>120.512</v>
      </c>
      <c r="H32" s="201">
        <v>119.637</v>
      </c>
      <c r="I32" s="202">
        <f t="shared" si="1"/>
        <v>0.875</v>
      </c>
      <c r="J32" s="201">
        <v>124.01300000000001</v>
      </c>
      <c r="K32" s="199">
        <v>44008.333333333336</v>
      </c>
      <c r="L32" s="201">
        <v>120.184</v>
      </c>
      <c r="M32" s="203">
        <f t="shared" si="2"/>
        <v>-0.32800000000000001</v>
      </c>
      <c r="N32" s="204">
        <f t="shared" si="3"/>
        <v>-0.37</v>
      </c>
      <c r="O32" s="205">
        <f t="shared" si="4"/>
        <v>0</v>
      </c>
      <c r="P32" s="206">
        <f t="shared" si="5"/>
        <v>0</v>
      </c>
      <c r="Q32" s="206">
        <f t="shared" si="6"/>
        <v>-0.37</v>
      </c>
      <c r="R32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2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101020</v>
      </c>
      <c r="T32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32" s="208">
        <f ca="1">IF(Tabla336106734816[[#This Row],[Equity]]&lt;Tabla336106734816[[#This Row],[Equity Peak]],(Tabla336106734816[[#This Row],[Equity Peak]]-Tabla336106734816[[#This Row],[Equity]])/Tabla336106734816[[#This Row],[Equity Peak]],"")</f>
        <v>1.5879201169020946E-2</v>
      </c>
      <c r="V32" s="209">
        <f t="shared" si="7"/>
        <v>-0.37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3.1666666666715173</v>
      </c>
      <c r="AE32" s="210">
        <f t="shared" si="16"/>
        <v>0</v>
      </c>
      <c r="AF32" s="210">
        <f t="shared" si="17"/>
        <v>3.1666666666715173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0"/>
        <v>C</v>
      </c>
      <c r="E33" s="199">
        <v>44000.666666666664</v>
      </c>
      <c r="F33" s="200" t="s">
        <v>118</v>
      </c>
      <c r="G33" s="201">
        <v>119.905</v>
      </c>
      <c r="H33" s="201">
        <v>121.121</v>
      </c>
      <c r="I33" s="202">
        <f t="shared" si="1"/>
        <v>1.215999999999994</v>
      </c>
      <c r="J33" s="201">
        <v>115.04</v>
      </c>
      <c r="K33" s="199">
        <v>44004.742361111108</v>
      </c>
      <c r="L33" s="201">
        <v>120.405</v>
      </c>
      <c r="M33" s="203">
        <f t="shared" si="2"/>
        <v>-0.5</v>
      </c>
      <c r="N33" s="204">
        <f t="shared" si="3"/>
        <v>-0.41</v>
      </c>
      <c r="O33" s="205">
        <f t="shared" si="4"/>
        <v>0</v>
      </c>
      <c r="P33" s="206">
        <f t="shared" si="5"/>
        <v>0</v>
      </c>
      <c r="Q33" s="206">
        <f t="shared" si="6"/>
        <v>-0.41</v>
      </c>
      <c r="R33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3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101390</v>
      </c>
      <c r="T33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33" s="208">
        <f ca="1">IF(Tabla336106734816[[#This Row],[Equity]]&lt;Tabla336106734816[[#This Row],[Equity Peak]],(Tabla336106734816[[#This Row],[Equity Peak]]-Tabla336106734816[[#This Row],[Equity]])/Tabla336106734816[[#This Row],[Equity Peak]],"")</f>
        <v>1.227471992206527E-2</v>
      </c>
      <c r="V33" s="209">
        <f t="shared" si="7"/>
        <v>-0.41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4.0756944444437977</v>
      </c>
      <c r="AE33" s="210">
        <f t="shared" si="16"/>
        <v>0</v>
      </c>
      <c r="AF33" s="210">
        <f t="shared" si="17"/>
        <v>4.0756944444437977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0"/>
        <v>C</v>
      </c>
      <c r="E34" s="199">
        <v>43969.833333333336</v>
      </c>
      <c r="F34" s="200" t="s">
        <v>118</v>
      </c>
      <c r="G34" s="201">
        <v>117.032</v>
      </c>
      <c r="H34" s="201">
        <v>116.14</v>
      </c>
      <c r="I34" s="202">
        <f t="shared" si="1"/>
        <v>0.89199999999999591</v>
      </c>
      <c r="J34" s="201">
        <v>120.599</v>
      </c>
      <c r="K34" s="199">
        <v>43973.218055555553</v>
      </c>
      <c r="L34" s="201">
        <v>117.69499999999999</v>
      </c>
      <c r="M34" s="203">
        <f t="shared" si="2"/>
        <v>0.66300000000000003</v>
      </c>
      <c r="N34" s="204">
        <f t="shared" si="3"/>
        <v>0.74</v>
      </c>
      <c r="O34" s="205">
        <f t="shared" si="4"/>
        <v>0</v>
      </c>
      <c r="P34" s="206">
        <f t="shared" si="5"/>
        <v>0.74</v>
      </c>
      <c r="Q34" s="206">
        <f t="shared" si="6"/>
        <v>0</v>
      </c>
      <c r="R34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4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101800</v>
      </c>
      <c r="T34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34" s="208">
        <f ca="1">IF(Tabla336106734816[[#This Row],[Equity]]&lt;Tabla336106734816[[#This Row],[Equity Peak]],(Tabla336106734816[[#This Row],[Equity Peak]]-Tabla336106734816[[#This Row],[Equity]])/Tabla336106734816[[#This Row],[Equity Peak]],"")</f>
        <v>8.2805650267900634E-3</v>
      </c>
      <c r="V34" s="209">
        <f t="shared" si="7"/>
        <v>0.74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3.3847222222175333</v>
      </c>
      <c r="AE34" s="210">
        <f t="shared" si="16"/>
        <v>3.3847222222175333</v>
      </c>
      <c r="AF34" s="210">
        <f t="shared" si="17"/>
        <v>0</v>
      </c>
      <c r="AG34" s="210">
        <f t="shared" si="18"/>
        <v>0</v>
      </c>
    </row>
    <row r="35" spans="2:33" ht="15" customHeight="1" x14ac:dyDescent="0.3">
      <c r="B35" s="196" t="s">
        <v>7</v>
      </c>
      <c r="C35" s="197" t="s">
        <v>13</v>
      </c>
      <c r="D35" s="198" t="str">
        <f t="shared" si="0"/>
        <v>C</v>
      </c>
      <c r="E35" s="199">
        <v>43955.333333333336</v>
      </c>
      <c r="F35" s="200" t="s">
        <v>118</v>
      </c>
      <c r="G35" s="201">
        <v>116.71899999999999</v>
      </c>
      <c r="H35" s="201">
        <v>117.97499999999999</v>
      </c>
      <c r="I35" s="202">
        <f t="shared" si="1"/>
        <v>1.2560000000000002</v>
      </c>
      <c r="J35" s="201">
        <v>111.69499999999999</v>
      </c>
      <c r="K35" s="199">
        <v>43959.068749999999</v>
      </c>
      <c r="L35" s="201">
        <v>115.28400000000001</v>
      </c>
      <c r="M35" s="203">
        <f t="shared" si="2"/>
        <v>1.4350000000000001</v>
      </c>
      <c r="N35" s="204">
        <f t="shared" si="3"/>
        <v>1.1399999999999999</v>
      </c>
      <c r="O35" s="205">
        <f t="shared" si="4"/>
        <v>0</v>
      </c>
      <c r="P35" s="206">
        <f t="shared" si="5"/>
        <v>1.1399999999999999</v>
      </c>
      <c r="Q35" s="206">
        <f t="shared" si="6"/>
        <v>0</v>
      </c>
      <c r="R35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5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101060</v>
      </c>
      <c r="T35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35" s="208">
        <f ca="1">IF(Tabla336106734816[[#This Row],[Equity]]&lt;Tabla336106734816[[#This Row],[Equity Peak]],(Tabla336106734816[[#This Row],[Equity Peak]]-Tabla336106734816[[#This Row],[Equity]])/Tabla336106734816[[#This Row],[Equity Peak]],"")</f>
        <v>1.5489527520701412E-2</v>
      </c>
      <c r="V35" s="209">
        <f t="shared" si="7"/>
        <v>1.1399999999999999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3.7354166666627862</v>
      </c>
      <c r="AE35" s="210">
        <f t="shared" si="16"/>
        <v>3.7354166666627862</v>
      </c>
      <c r="AF35" s="210">
        <f t="shared" si="17"/>
        <v>0</v>
      </c>
      <c r="AG35" s="210">
        <f t="shared" si="18"/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0"/>
        <v>C</v>
      </c>
      <c r="E36" s="199">
        <v>43952.5</v>
      </c>
      <c r="F36" s="200" t="s">
        <v>118</v>
      </c>
      <c r="G36" s="201">
        <v>117.315</v>
      </c>
      <c r="H36" s="201">
        <v>116.172</v>
      </c>
      <c r="I36" s="202">
        <f t="shared" si="1"/>
        <v>1.1430000000000007</v>
      </c>
      <c r="J36" s="201">
        <v>121.886</v>
      </c>
      <c r="K36" s="199">
        <v>43955.333333333336</v>
      </c>
      <c r="L36" s="201">
        <v>116.71899999999999</v>
      </c>
      <c r="M36" s="203">
        <f t="shared" si="2"/>
        <v>-0.59599999999999997</v>
      </c>
      <c r="N36" s="204">
        <f t="shared" si="3"/>
        <v>-0.52</v>
      </c>
      <c r="O36" s="205">
        <f t="shared" si="4"/>
        <v>0</v>
      </c>
      <c r="P36" s="206">
        <f t="shared" si="5"/>
        <v>0</v>
      </c>
      <c r="Q36" s="206">
        <f t="shared" si="6"/>
        <v>-0.52</v>
      </c>
      <c r="R36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6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99920</v>
      </c>
      <c r="T36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36" s="208">
        <f ca="1">IF(Tabla336106734816[[#This Row],[Equity]]&lt;Tabla336106734816[[#This Row],[Equity Peak]],(Tabla336106734816[[#This Row],[Equity Peak]]-Tabla336106734816[[#This Row],[Equity]])/Tabla336106734816[[#This Row],[Equity Peak]],"")</f>
        <v>2.6595226497808086E-2</v>
      </c>
      <c r="V36" s="209">
        <f t="shared" si="7"/>
        <v>-0.52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2.8333333333357587</v>
      </c>
      <c r="AE36" s="210">
        <f t="shared" si="16"/>
        <v>0</v>
      </c>
      <c r="AF36" s="210">
        <f t="shared" si="17"/>
        <v>2.8333333333357587</v>
      </c>
      <c r="AG36" s="210">
        <f t="shared" si="18"/>
        <v>0</v>
      </c>
    </row>
    <row r="37" spans="2:33" ht="15" customHeight="1" x14ac:dyDescent="0.3">
      <c r="B37" s="196" t="s">
        <v>7</v>
      </c>
      <c r="C37" s="197" t="s">
        <v>13</v>
      </c>
      <c r="D37" s="198" t="str">
        <f t="shared" si="0"/>
        <v>C</v>
      </c>
      <c r="E37" s="199">
        <v>43944.666666666664</v>
      </c>
      <c r="F37" s="200" t="s">
        <v>118</v>
      </c>
      <c r="G37" s="201">
        <v>115.871</v>
      </c>
      <c r="H37" s="201">
        <v>116.82</v>
      </c>
      <c r="I37" s="202">
        <f t="shared" si="1"/>
        <v>0.94899999999999807</v>
      </c>
      <c r="J37" s="201">
        <v>112.077</v>
      </c>
      <c r="K37" s="199">
        <v>43944.73541666667</v>
      </c>
      <c r="L37" s="201">
        <v>116.82</v>
      </c>
      <c r="M37" s="203">
        <f t="shared" si="2"/>
        <v>-0.94899999999999995</v>
      </c>
      <c r="N37" s="204">
        <f t="shared" si="3"/>
        <v>-1</v>
      </c>
      <c r="O37" s="205">
        <f t="shared" si="4"/>
        <v>0</v>
      </c>
      <c r="P37" s="206">
        <f t="shared" si="5"/>
        <v>0</v>
      </c>
      <c r="Q37" s="206">
        <f t="shared" si="6"/>
        <v>-1</v>
      </c>
      <c r="R37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7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100440</v>
      </c>
      <c r="T37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37" s="208">
        <f ca="1">IF(Tabla336106734816[[#This Row],[Equity]]&lt;Tabla336106734816[[#This Row],[Equity Peak]],(Tabla336106734816[[#This Row],[Equity Peak]]-Tabla336106734816[[#This Row],[Equity]])/Tabla336106734816[[#This Row],[Equity Peak]],"")</f>
        <v>2.1529469069654163E-2</v>
      </c>
      <c r="V37" s="209">
        <f t="shared" si="7"/>
        <v>-1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6.8750000005820766E-2</v>
      </c>
      <c r="AE37" s="210">
        <f t="shared" si="16"/>
        <v>0</v>
      </c>
      <c r="AF37" s="210">
        <f t="shared" si="17"/>
        <v>6.8750000005820766E-2</v>
      </c>
      <c r="AG37" s="210">
        <f t="shared" si="18"/>
        <v>0</v>
      </c>
    </row>
    <row r="38" spans="2:33" ht="15" customHeight="1" x14ac:dyDescent="0.3">
      <c r="B38" s="196" t="s">
        <v>7</v>
      </c>
      <c r="C38" s="197" t="s">
        <v>13</v>
      </c>
      <c r="D38" s="198" t="str">
        <f t="shared" si="0"/>
        <v>C</v>
      </c>
      <c r="E38" s="199">
        <v>43921.5</v>
      </c>
      <c r="F38" s="200" t="s">
        <v>118</v>
      </c>
      <c r="G38" s="201">
        <v>119.13</v>
      </c>
      <c r="H38" s="201">
        <v>120.68899999999999</v>
      </c>
      <c r="I38" s="202">
        <f t="shared" si="1"/>
        <v>1.5589999999999975</v>
      </c>
      <c r="J38" s="201">
        <v>112.895</v>
      </c>
      <c r="K38" s="199">
        <v>43927.143055555556</v>
      </c>
      <c r="L38" s="201">
        <v>117.71</v>
      </c>
      <c r="M38" s="203">
        <f t="shared" si="2"/>
        <v>1.42</v>
      </c>
      <c r="N38" s="204">
        <f t="shared" si="3"/>
        <v>0.91</v>
      </c>
      <c r="O38" s="205">
        <f t="shared" si="4"/>
        <v>0</v>
      </c>
      <c r="P38" s="206">
        <f t="shared" si="5"/>
        <v>0.91</v>
      </c>
      <c r="Q38" s="206">
        <f t="shared" si="6"/>
        <v>0</v>
      </c>
      <c r="R38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8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101440</v>
      </c>
      <c r="T38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38" s="208">
        <f ca="1">IF(Tabla336106734816[[#This Row],[Equity]]&lt;Tabla336106734816[[#This Row],[Equity Peak]],(Tabla336106734816[[#This Row],[Equity Peak]]-Tabla336106734816[[#This Row],[Equity]])/Tabla336106734816[[#This Row],[Equity Peak]],"")</f>
        <v>1.1787627861665855E-2</v>
      </c>
      <c r="V38" s="209">
        <f t="shared" si="7"/>
        <v>0.91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0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5.6430555555562023</v>
      </c>
      <c r="AE38" s="210">
        <f t="shared" si="16"/>
        <v>5.6430555555562023</v>
      </c>
      <c r="AF38" s="210">
        <f t="shared" si="17"/>
        <v>0</v>
      </c>
      <c r="AG38" s="210">
        <f t="shared" si="18"/>
        <v>0</v>
      </c>
    </row>
    <row r="39" spans="2:33" ht="15" customHeight="1" x14ac:dyDescent="0.3">
      <c r="B39" s="196" t="s">
        <v>7</v>
      </c>
      <c r="C39" s="197" t="s">
        <v>15</v>
      </c>
      <c r="D39" s="198" t="str">
        <f t="shared" si="0"/>
        <v>C</v>
      </c>
      <c r="E39" s="199">
        <v>43921.166666666664</v>
      </c>
      <c r="F39" s="200" t="s">
        <v>118</v>
      </c>
      <c r="G39" s="201">
        <v>119.536</v>
      </c>
      <c r="H39" s="201">
        <v>117.904</v>
      </c>
      <c r="I39" s="202">
        <f t="shared" si="1"/>
        <v>1.632000000000005</v>
      </c>
      <c r="J39" s="201">
        <v>126.065</v>
      </c>
      <c r="K39" s="199">
        <v>43921.5</v>
      </c>
      <c r="L39" s="201">
        <v>119.13</v>
      </c>
      <c r="M39" s="203">
        <f t="shared" si="2"/>
        <v>-0.40600000000000003</v>
      </c>
      <c r="N39" s="204">
        <f t="shared" si="3"/>
        <v>-0.25</v>
      </c>
      <c r="O39" s="205">
        <f t="shared" si="4"/>
        <v>0</v>
      </c>
      <c r="P39" s="206">
        <f t="shared" si="5"/>
        <v>0</v>
      </c>
      <c r="Q39" s="206">
        <f t="shared" si="6"/>
        <v>-0.25</v>
      </c>
      <c r="R39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9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100530</v>
      </c>
      <c r="T39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39" s="208">
        <f ca="1">IF(Tabla336106734816[[#This Row],[Equity]]&lt;Tabla336106734816[[#This Row],[Equity Peak]],(Tabla336106734816[[#This Row],[Equity Peak]]-Tabla336106734816[[#This Row],[Equity]])/Tabla336106734816[[#This Row],[Equity Peak]],"")</f>
        <v>2.0652703360935217E-2</v>
      </c>
      <c r="V39" s="209">
        <f t="shared" si="7"/>
        <v>-0.25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0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0.33333333333575865</v>
      </c>
      <c r="AE39" s="210">
        <f t="shared" si="16"/>
        <v>0</v>
      </c>
      <c r="AF39" s="210">
        <f t="shared" si="17"/>
        <v>0.33333333333575865</v>
      </c>
      <c r="AG39" s="210">
        <f t="shared" si="18"/>
        <v>0</v>
      </c>
    </row>
    <row r="40" spans="2:33" ht="15" customHeight="1" x14ac:dyDescent="0.3">
      <c r="B40" s="196" t="s">
        <v>7</v>
      </c>
      <c r="C40" s="197" t="s">
        <v>13</v>
      </c>
      <c r="D40" s="198" t="str">
        <f t="shared" si="0"/>
        <v>C</v>
      </c>
      <c r="E40" s="199">
        <v>43920.833333333336</v>
      </c>
      <c r="F40" s="200" t="s">
        <v>118</v>
      </c>
      <c r="G40" s="201">
        <v>118.916</v>
      </c>
      <c r="H40" s="201">
        <v>120.599</v>
      </c>
      <c r="I40" s="202">
        <f t="shared" si="1"/>
        <v>1.6830000000000069</v>
      </c>
      <c r="J40" s="201">
        <v>112.182</v>
      </c>
      <c r="K40" s="199">
        <v>43921.166666666664</v>
      </c>
      <c r="L40" s="201">
        <v>119.536</v>
      </c>
      <c r="M40" s="203">
        <f t="shared" si="2"/>
        <v>-0.62</v>
      </c>
      <c r="N40" s="204">
        <f t="shared" si="3"/>
        <v>-0.37</v>
      </c>
      <c r="O40" s="205">
        <f t="shared" si="4"/>
        <v>0</v>
      </c>
      <c r="P40" s="206">
        <f t="shared" si="5"/>
        <v>0</v>
      </c>
      <c r="Q40" s="206">
        <f t="shared" si="6"/>
        <v>-0.37</v>
      </c>
      <c r="R40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0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100780</v>
      </c>
      <c r="T40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40" s="208">
        <f ca="1">IF(Tabla336106734816[[#This Row],[Equity]]&lt;Tabla336106734816[[#This Row],[Equity Peak]],(Tabla336106734816[[#This Row],[Equity Peak]]-Tabla336106734816[[#This Row],[Equity]])/Tabla336106734816[[#This Row],[Equity Peak]],"")</f>
        <v>1.821724305893814E-2</v>
      </c>
      <c r="V40" s="209">
        <f t="shared" si="7"/>
        <v>-0.37</v>
      </c>
      <c r="W40" s="209">
        <f t="shared" si="8"/>
        <v>0</v>
      </c>
      <c r="X40" s="209">
        <f t="shared" si="9"/>
        <v>0</v>
      </c>
      <c r="Y40" s="209">
        <f t="shared" si="10"/>
        <v>0</v>
      </c>
      <c r="Z40" s="209">
        <f t="shared" si="11"/>
        <v>0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0.33333333332848269</v>
      </c>
      <c r="AE40" s="210">
        <f t="shared" si="16"/>
        <v>0</v>
      </c>
      <c r="AF40" s="210">
        <f t="shared" si="17"/>
        <v>0.33333333332848269</v>
      </c>
      <c r="AG40" s="210">
        <f t="shared" si="18"/>
        <v>0</v>
      </c>
    </row>
    <row r="41" spans="2:33" ht="15" customHeight="1" x14ac:dyDescent="0.3">
      <c r="B41" s="196" t="s">
        <v>7</v>
      </c>
      <c r="C41" s="197" t="s">
        <v>15</v>
      </c>
      <c r="D41" s="198" t="str">
        <f t="shared" si="0"/>
        <v>C</v>
      </c>
      <c r="E41" s="199">
        <v>43914.017361111109</v>
      </c>
      <c r="F41" s="200" t="s">
        <v>118</v>
      </c>
      <c r="G41" s="201">
        <v>119.274</v>
      </c>
      <c r="H41" s="201">
        <v>117.185</v>
      </c>
      <c r="I41" s="202">
        <f t="shared" si="1"/>
        <v>2.0889999999999986</v>
      </c>
      <c r="J41" s="201">
        <v>127.631</v>
      </c>
      <c r="K41" s="199">
        <v>43917.211111111108</v>
      </c>
      <c r="L41" s="201">
        <v>119.645</v>
      </c>
      <c r="M41" s="203">
        <f t="shared" si="2"/>
        <v>0.371</v>
      </c>
      <c r="N41" s="204">
        <f t="shared" si="3"/>
        <v>0.18</v>
      </c>
      <c r="O41" s="205">
        <f t="shared" si="4"/>
        <v>0</v>
      </c>
      <c r="P41" s="206">
        <f t="shared" si="5"/>
        <v>0.18</v>
      </c>
      <c r="Q41" s="206">
        <f t="shared" si="6"/>
        <v>0</v>
      </c>
      <c r="R41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1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101150</v>
      </c>
      <c r="T41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41" s="208">
        <f ca="1">IF(Tabla336106734816[[#This Row],[Equity]]&lt;Tabla336106734816[[#This Row],[Equity Peak]],(Tabla336106734816[[#This Row],[Equity Peak]]-Tabla336106734816[[#This Row],[Equity]])/Tabla336106734816[[#This Row],[Equity Peak]],"")</f>
        <v>1.4612761811982464E-2</v>
      </c>
      <c r="V41" s="209">
        <f t="shared" si="7"/>
        <v>0.18</v>
      </c>
      <c r="W41" s="209">
        <f t="shared" si="8"/>
        <v>0</v>
      </c>
      <c r="X41" s="209">
        <f t="shared" si="9"/>
        <v>0</v>
      </c>
      <c r="Y41" s="209">
        <f t="shared" si="10"/>
        <v>0</v>
      </c>
      <c r="Z41" s="209">
        <f t="shared" si="11"/>
        <v>0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3.1937499999985448</v>
      </c>
      <c r="AE41" s="210">
        <f t="shared" si="16"/>
        <v>3.1937499999985448</v>
      </c>
      <c r="AF41" s="210">
        <f t="shared" si="17"/>
        <v>0</v>
      </c>
      <c r="AG41" s="210">
        <f t="shared" si="18"/>
        <v>0</v>
      </c>
    </row>
    <row r="42" spans="2:33" ht="15" customHeight="1" x14ac:dyDescent="0.3">
      <c r="B42" s="196" t="s">
        <v>7</v>
      </c>
      <c r="C42" s="197" t="s">
        <v>13</v>
      </c>
      <c r="D42" s="198" t="str">
        <f t="shared" si="0"/>
        <v>C</v>
      </c>
      <c r="E42" s="199">
        <v>43893.666666666664</v>
      </c>
      <c r="F42" s="200" t="s">
        <v>118</v>
      </c>
      <c r="G42" s="201">
        <v>119.81100000000001</v>
      </c>
      <c r="H42" s="201">
        <v>121.60599999999999</v>
      </c>
      <c r="I42" s="202">
        <f t="shared" si="1"/>
        <v>1.7949999999999875</v>
      </c>
      <c r="J42" s="201">
        <v>112.63200000000001</v>
      </c>
      <c r="K42" s="199">
        <v>43900.268055555556</v>
      </c>
      <c r="L42" s="201">
        <v>118.039</v>
      </c>
      <c r="M42" s="203">
        <f t="shared" si="2"/>
        <v>1.772</v>
      </c>
      <c r="N42" s="204">
        <f t="shared" si="3"/>
        <v>0.99</v>
      </c>
      <c r="O42" s="205">
        <f t="shared" si="4"/>
        <v>0</v>
      </c>
      <c r="P42" s="206">
        <f t="shared" si="5"/>
        <v>0.99</v>
      </c>
      <c r="Q42" s="206">
        <f t="shared" si="6"/>
        <v>0</v>
      </c>
      <c r="R42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2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100970</v>
      </c>
      <c r="T42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42" s="208">
        <f ca="1">IF(Tabla336106734816[[#This Row],[Equity]]&lt;Tabla336106734816[[#This Row],[Equity Peak]],(Tabla336106734816[[#This Row],[Equity Peak]]-Tabla336106734816[[#This Row],[Equity]])/Tabla336106734816[[#This Row],[Equity Peak]],"")</f>
        <v>1.6366293229420362E-2</v>
      </c>
      <c r="V42" s="209">
        <f t="shared" si="7"/>
        <v>0.99</v>
      </c>
      <c r="W42" s="209">
        <f t="shared" si="8"/>
        <v>0</v>
      </c>
      <c r="X42" s="209">
        <f t="shared" si="9"/>
        <v>0</v>
      </c>
      <c r="Y42" s="209">
        <f t="shared" si="10"/>
        <v>0</v>
      </c>
      <c r="Z42" s="209">
        <f t="shared" si="11"/>
        <v>0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6.601388888891961</v>
      </c>
      <c r="AE42" s="210">
        <f t="shared" si="16"/>
        <v>6.601388888891961</v>
      </c>
      <c r="AF42" s="210">
        <f t="shared" si="17"/>
        <v>0</v>
      </c>
      <c r="AG42" s="210">
        <f t="shared" si="18"/>
        <v>0</v>
      </c>
    </row>
    <row r="43" spans="2:33" ht="15" customHeight="1" x14ac:dyDescent="0.3">
      <c r="B43" s="196" t="s">
        <v>7</v>
      </c>
      <c r="C43" s="197" t="s">
        <v>15</v>
      </c>
      <c r="D43" s="198" t="str">
        <f t="shared" si="0"/>
        <v>C</v>
      </c>
      <c r="E43" s="199">
        <v>43893.166666666664</v>
      </c>
      <c r="F43" s="200" t="s">
        <v>118</v>
      </c>
      <c r="G43" s="201">
        <v>120.345</v>
      </c>
      <c r="H43" s="201">
        <v>118.54</v>
      </c>
      <c r="I43" s="202">
        <f t="shared" si="1"/>
        <v>1.8049999999999926</v>
      </c>
      <c r="J43" s="201">
        <v>127.566</v>
      </c>
      <c r="K43" s="199">
        <v>43893.666666666664</v>
      </c>
      <c r="L43" s="201">
        <v>119.81100000000001</v>
      </c>
      <c r="M43" s="203">
        <f t="shared" si="2"/>
        <v>-0.53400000000000003</v>
      </c>
      <c r="N43" s="204">
        <f t="shared" si="3"/>
        <v>-0.3</v>
      </c>
      <c r="O43" s="205">
        <f t="shared" si="4"/>
        <v>0</v>
      </c>
      <c r="P43" s="206">
        <f t="shared" si="5"/>
        <v>0</v>
      </c>
      <c r="Q43" s="206">
        <f t="shared" si="6"/>
        <v>-0.3</v>
      </c>
      <c r="R43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3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99980</v>
      </c>
      <c r="T43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43" s="208">
        <f ca="1">IF(Tabla336106734816[[#This Row],[Equity]]&lt;Tabla336106734816[[#This Row],[Equity Peak]],(Tabla336106734816[[#This Row],[Equity Peak]]-Tabla336106734816[[#This Row],[Equity]])/Tabla336106734816[[#This Row],[Equity Peak]],"")</f>
        <v>2.6010716025328787E-2</v>
      </c>
      <c r="V43" s="209">
        <f t="shared" si="7"/>
        <v>-0.3</v>
      </c>
      <c r="W43" s="209">
        <f t="shared" si="8"/>
        <v>0</v>
      </c>
      <c r="X43" s="209">
        <f t="shared" si="9"/>
        <v>0</v>
      </c>
      <c r="Y43" s="209">
        <f t="shared" si="10"/>
        <v>0</v>
      </c>
      <c r="Z43" s="209">
        <f t="shared" si="11"/>
        <v>0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0.5</v>
      </c>
      <c r="AE43" s="210">
        <f t="shared" si="16"/>
        <v>0</v>
      </c>
      <c r="AF43" s="210">
        <f t="shared" si="17"/>
        <v>0.5</v>
      </c>
      <c r="AG43" s="210">
        <f t="shared" si="18"/>
        <v>0</v>
      </c>
    </row>
    <row r="44" spans="2:33" ht="15" customHeight="1" x14ac:dyDescent="0.3">
      <c r="B44" s="196" t="s">
        <v>7</v>
      </c>
      <c r="C44" s="197" t="s">
        <v>13</v>
      </c>
      <c r="D44" s="198" t="str">
        <f t="shared" si="0"/>
        <v>C</v>
      </c>
      <c r="E44" s="199">
        <v>43889.5</v>
      </c>
      <c r="F44" s="200" t="s">
        <v>118</v>
      </c>
      <c r="G44" s="201">
        <v>120.03</v>
      </c>
      <c r="H44" s="201">
        <v>121.146</v>
      </c>
      <c r="I44" s="202">
        <f t="shared" si="1"/>
        <v>1.1159999999999997</v>
      </c>
      <c r="J44" s="201">
        <v>115.566</v>
      </c>
      <c r="K44" s="199">
        <v>43892.763194444444</v>
      </c>
      <c r="L44" s="201">
        <v>120.327</v>
      </c>
      <c r="M44" s="203">
        <f t="shared" si="2"/>
        <v>-0.29699999999999999</v>
      </c>
      <c r="N44" s="204">
        <f t="shared" si="3"/>
        <v>-0.27</v>
      </c>
      <c r="O44" s="205">
        <f t="shared" si="4"/>
        <v>0</v>
      </c>
      <c r="P44" s="206">
        <f t="shared" si="5"/>
        <v>0</v>
      </c>
      <c r="Q44" s="206">
        <f t="shared" si="6"/>
        <v>-0.27</v>
      </c>
      <c r="R44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4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100280</v>
      </c>
      <c r="T44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44" s="208">
        <f ca="1">IF(Tabla336106734816[[#This Row],[Equity]]&lt;Tabla336106734816[[#This Row],[Equity Peak]],(Tabla336106734816[[#This Row],[Equity Peak]]-Tabla336106734816[[#This Row],[Equity]])/Tabla336106734816[[#This Row],[Equity Peak]],"")</f>
        <v>2.3088163662932294E-2</v>
      </c>
      <c r="V44" s="209">
        <f t="shared" si="7"/>
        <v>-0.27</v>
      </c>
      <c r="W44" s="209">
        <f t="shared" si="8"/>
        <v>0</v>
      </c>
      <c r="X44" s="209">
        <f t="shared" si="9"/>
        <v>0</v>
      </c>
      <c r="Y44" s="209">
        <f t="shared" si="10"/>
        <v>0</v>
      </c>
      <c r="Z44" s="209">
        <f t="shared" si="11"/>
        <v>0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3.2631944444437977</v>
      </c>
      <c r="AE44" s="210">
        <f t="shared" si="16"/>
        <v>0</v>
      </c>
      <c r="AF44" s="210">
        <f t="shared" si="17"/>
        <v>3.2631944444437977</v>
      </c>
      <c r="AG44" s="210">
        <f t="shared" si="18"/>
        <v>0</v>
      </c>
    </row>
    <row r="45" spans="2:33" ht="15" customHeight="1" x14ac:dyDescent="0.3">
      <c r="B45" s="196" t="s">
        <v>7</v>
      </c>
      <c r="C45" s="197" t="s">
        <v>15</v>
      </c>
      <c r="D45" s="198" t="str">
        <f t="shared" si="0"/>
        <v>C</v>
      </c>
      <c r="E45" s="199">
        <v>43888.5</v>
      </c>
      <c r="F45" s="200" t="s">
        <v>118</v>
      </c>
      <c r="G45" s="201">
        <v>120.47799999999999</v>
      </c>
      <c r="H45" s="201">
        <v>119.46899999999999</v>
      </c>
      <c r="I45" s="202">
        <f t="shared" si="1"/>
        <v>1.0090000000000003</v>
      </c>
      <c r="J45" s="201">
        <v>124.514</v>
      </c>
      <c r="K45" s="199">
        <v>43889.226388888892</v>
      </c>
      <c r="L45" s="201">
        <v>119.947</v>
      </c>
      <c r="M45" s="203">
        <f t="shared" si="2"/>
        <v>-0.53100000000000003</v>
      </c>
      <c r="N45" s="204">
        <f t="shared" si="3"/>
        <v>-0.53</v>
      </c>
      <c r="O45" s="205">
        <f t="shared" si="4"/>
        <v>0</v>
      </c>
      <c r="P45" s="206">
        <f t="shared" si="5"/>
        <v>0</v>
      </c>
      <c r="Q45" s="206">
        <f t="shared" si="6"/>
        <v>-0.53</v>
      </c>
      <c r="R45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5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100550</v>
      </c>
      <c r="T45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45" s="208">
        <f ca="1">IF(Tabla336106734816[[#This Row],[Equity]]&lt;Tabla336106734816[[#This Row],[Equity Peak]],(Tabla336106734816[[#This Row],[Equity Peak]]-Tabla336106734816[[#This Row],[Equity]])/Tabla336106734816[[#This Row],[Equity Peak]],"")</f>
        <v>2.0457866536775452E-2</v>
      </c>
      <c r="V45" s="209">
        <f t="shared" si="7"/>
        <v>-0.53</v>
      </c>
      <c r="W45" s="209">
        <f t="shared" si="8"/>
        <v>0</v>
      </c>
      <c r="X45" s="209">
        <f t="shared" si="9"/>
        <v>0</v>
      </c>
      <c r="Y45" s="209">
        <f t="shared" si="10"/>
        <v>0</v>
      </c>
      <c r="Z45" s="209">
        <f t="shared" si="11"/>
        <v>0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0.72638888889196096</v>
      </c>
      <c r="AE45" s="210">
        <f t="shared" si="16"/>
        <v>0</v>
      </c>
      <c r="AF45" s="210">
        <f t="shared" si="17"/>
        <v>0.72638888889196096</v>
      </c>
      <c r="AG45" s="210">
        <f t="shared" si="18"/>
        <v>0</v>
      </c>
    </row>
    <row r="46" spans="2:33" ht="15" customHeight="1" x14ac:dyDescent="0.3">
      <c r="B46" s="196" t="s">
        <v>7</v>
      </c>
      <c r="C46" s="197" t="s">
        <v>13</v>
      </c>
      <c r="D46" s="198" t="str">
        <f t="shared" si="0"/>
        <v>C</v>
      </c>
      <c r="E46" s="199">
        <v>43886.5</v>
      </c>
      <c r="F46" s="200" t="s">
        <v>118</v>
      </c>
      <c r="G46" s="201">
        <v>119.76900000000001</v>
      </c>
      <c r="H46" s="201">
        <v>120.765</v>
      </c>
      <c r="I46" s="202">
        <f t="shared" si="1"/>
        <v>0.99599999999999511</v>
      </c>
      <c r="J46" s="201">
        <v>115.78400000000001</v>
      </c>
      <c r="K46" s="199">
        <v>43888.5</v>
      </c>
      <c r="L46" s="201">
        <v>120.47799999999999</v>
      </c>
      <c r="M46" s="203">
        <f t="shared" si="2"/>
        <v>-0.70899999999999996</v>
      </c>
      <c r="N46" s="204">
        <f t="shared" si="3"/>
        <v>-0.71</v>
      </c>
      <c r="O46" s="205">
        <f t="shared" si="4"/>
        <v>0</v>
      </c>
      <c r="P46" s="206">
        <f t="shared" si="5"/>
        <v>0</v>
      </c>
      <c r="Q46" s="206">
        <f t="shared" si="6"/>
        <v>-0.71</v>
      </c>
      <c r="R46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6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101080</v>
      </c>
      <c r="T46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46" s="208">
        <f ca="1">IF(Tabla336106734816[[#This Row],[Equity]]&lt;Tabla336106734816[[#This Row],[Equity Peak]],(Tabla336106734816[[#This Row],[Equity Peak]]-Tabla336106734816[[#This Row],[Equity]])/Tabla336106734816[[#This Row],[Equity Peak]],"")</f>
        <v>1.5294690696541647E-2</v>
      </c>
      <c r="V46" s="209">
        <f t="shared" si="7"/>
        <v>-0.71</v>
      </c>
      <c r="W46" s="209">
        <f t="shared" si="8"/>
        <v>0</v>
      </c>
      <c r="X46" s="209">
        <f t="shared" si="9"/>
        <v>0</v>
      </c>
      <c r="Y46" s="209">
        <f t="shared" si="10"/>
        <v>0</v>
      </c>
      <c r="Z46" s="209">
        <f t="shared" si="11"/>
        <v>0</v>
      </c>
      <c r="AA46" s="205">
        <f t="shared" si="12"/>
        <v>0</v>
      </c>
      <c r="AB46" s="209">
        <f t="shared" si="13"/>
        <v>0</v>
      </c>
      <c r="AC46" s="205">
        <f t="shared" si="14"/>
        <v>0</v>
      </c>
      <c r="AD46" s="210">
        <f t="shared" si="15"/>
        <v>2</v>
      </c>
      <c r="AE46" s="210">
        <f t="shared" si="16"/>
        <v>0</v>
      </c>
      <c r="AF46" s="210">
        <f t="shared" si="17"/>
        <v>2</v>
      </c>
      <c r="AG46" s="210">
        <f t="shared" si="18"/>
        <v>0</v>
      </c>
    </row>
    <row r="47" spans="2:33" ht="15" customHeight="1" x14ac:dyDescent="0.3">
      <c r="B47" s="196" t="s">
        <v>7</v>
      </c>
      <c r="C47" s="197" t="s">
        <v>15</v>
      </c>
      <c r="D47" s="198" t="str">
        <f t="shared" si="0"/>
        <v>C</v>
      </c>
      <c r="E47" s="199">
        <v>43881.541666666664</v>
      </c>
      <c r="F47" s="200" t="s">
        <v>118</v>
      </c>
      <c r="G47" s="201">
        <v>120.94799999999999</v>
      </c>
      <c r="H47" s="201">
        <v>120.026</v>
      </c>
      <c r="I47" s="202">
        <f t="shared" si="1"/>
        <v>0.92199999999999704</v>
      </c>
      <c r="J47" s="201">
        <v>124.63500000000001</v>
      </c>
      <c r="K47" s="199">
        <v>43885.686805555553</v>
      </c>
      <c r="L47" s="201">
        <v>120.151</v>
      </c>
      <c r="M47" s="203">
        <f t="shared" si="2"/>
        <v>-0.79700000000000004</v>
      </c>
      <c r="N47" s="204">
        <f t="shared" si="3"/>
        <v>-0.86</v>
      </c>
      <c r="O47" s="205">
        <f t="shared" si="4"/>
        <v>0</v>
      </c>
      <c r="P47" s="206">
        <f t="shared" si="5"/>
        <v>0</v>
      </c>
      <c r="Q47" s="206">
        <f t="shared" si="6"/>
        <v>-0.86</v>
      </c>
      <c r="R47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7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101790</v>
      </c>
      <c r="T47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47" s="208">
        <f ca="1">IF(Tabla336106734816[[#This Row],[Equity]]&lt;Tabla336106734816[[#This Row],[Equity Peak]],(Tabla336106734816[[#This Row],[Equity Peak]]-Tabla336106734816[[#This Row],[Equity]])/Tabla336106734816[[#This Row],[Equity Peak]],"")</f>
        <v>8.3779834388699459E-3</v>
      </c>
      <c r="V47" s="209">
        <f t="shared" si="7"/>
        <v>-0.86</v>
      </c>
      <c r="W47" s="209">
        <f t="shared" si="8"/>
        <v>0</v>
      </c>
      <c r="X47" s="209">
        <f t="shared" si="9"/>
        <v>0</v>
      </c>
      <c r="Y47" s="209">
        <f t="shared" si="10"/>
        <v>0</v>
      </c>
      <c r="Z47" s="209">
        <f t="shared" si="11"/>
        <v>0</v>
      </c>
      <c r="AA47" s="205">
        <f t="shared" si="12"/>
        <v>0</v>
      </c>
      <c r="AB47" s="209">
        <f t="shared" si="13"/>
        <v>0</v>
      </c>
      <c r="AC47" s="205">
        <f t="shared" si="14"/>
        <v>0</v>
      </c>
      <c r="AD47" s="210">
        <f t="shared" si="15"/>
        <v>4.1451388888890506</v>
      </c>
      <c r="AE47" s="210">
        <f t="shared" si="16"/>
        <v>0</v>
      </c>
      <c r="AF47" s="210">
        <f t="shared" si="17"/>
        <v>4.1451388888890506</v>
      </c>
      <c r="AG47" s="210">
        <f t="shared" si="18"/>
        <v>0</v>
      </c>
    </row>
    <row r="48" spans="2:33" ht="15" customHeight="1" x14ac:dyDescent="0.3">
      <c r="B48" s="196" t="s">
        <v>7</v>
      </c>
      <c r="C48" s="197" t="s">
        <v>13</v>
      </c>
      <c r="D48" s="198" t="str">
        <f t="shared" si="0"/>
        <v>C</v>
      </c>
      <c r="E48" s="199">
        <v>43874.666666666664</v>
      </c>
      <c r="F48" s="200" t="s">
        <v>118</v>
      </c>
      <c r="G48" s="201">
        <v>119.13200000000001</v>
      </c>
      <c r="H48" s="201">
        <v>119.79600000000001</v>
      </c>
      <c r="I48" s="202">
        <f t="shared" si="1"/>
        <v>0.66400000000000148</v>
      </c>
      <c r="J48" s="201">
        <v>116.47499999999999</v>
      </c>
      <c r="K48" s="199">
        <v>43880.412499999999</v>
      </c>
      <c r="L48" s="201">
        <v>118.986</v>
      </c>
      <c r="M48" s="203">
        <f t="shared" si="2"/>
        <v>0.14599999999999999</v>
      </c>
      <c r="N48" s="204">
        <f t="shared" si="3"/>
        <v>0.22</v>
      </c>
      <c r="O48" s="205">
        <f t="shared" si="4"/>
        <v>0</v>
      </c>
      <c r="P48" s="206">
        <f t="shared" si="5"/>
        <v>0.22</v>
      </c>
      <c r="Q48" s="206">
        <f t="shared" si="6"/>
        <v>0</v>
      </c>
      <c r="R48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8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102650</v>
      </c>
      <c r="T48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102650</v>
      </c>
      <c r="U48" s="208" t="str">
        <f ca="1">IF(Tabla336106734816[[#This Row],[Equity]]&lt;Tabla336106734816[[#This Row],[Equity Peak]],(Tabla336106734816[[#This Row],[Equity Peak]]-Tabla336106734816[[#This Row],[Equity]])/Tabla336106734816[[#This Row],[Equity Peak]],"")</f>
        <v/>
      </c>
      <c r="V48" s="209">
        <f t="shared" si="7"/>
        <v>0.22</v>
      </c>
      <c r="W48" s="209">
        <f t="shared" si="8"/>
        <v>0</v>
      </c>
      <c r="X48" s="209">
        <f t="shared" si="9"/>
        <v>0</v>
      </c>
      <c r="Y48" s="209">
        <f t="shared" si="10"/>
        <v>0</v>
      </c>
      <c r="Z48" s="209">
        <f t="shared" si="11"/>
        <v>0</v>
      </c>
      <c r="AA48" s="205">
        <f t="shared" si="12"/>
        <v>0</v>
      </c>
      <c r="AB48" s="209">
        <f t="shared" si="13"/>
        <v>0</v>
      </c>
      <c r="AC48" s="205">
        <f t="shared" si="14"/>
        <v>0</v>
      </c>
      <c r="AD48" s="210">
        <f t="shared" si="15"/>
        <v>5.7458333333343035</v>
      </c>
      <c r="AE48" s="210">
        <f t="shared" si="16"/>
        <v>5.7458333333343035</v>
      </c>
      <c r="AF48" s="210">
        <f t="shared" si="17"/>
        <v>0</v>
      </c>
      <c r="AG48" s="210">
        <f t="shared" si="18"/>
        <v>0</v>
      </c>
    </row>
    <row r="49" spans="2:33" ht="15" customHeight="1" x14ac:dyDescent="0.3">
      <c r="B49" s="196" t="s">
        <v>7</v>
      </c>
      <c r="C49" s="197" t="s">
        <v>13</v>
      </c>
      <c r="D49" s="198" t="str">
        <f t="shared" ref="D49:D51" si="19">IF(E49&lt;&gt;"",IF(K49&lt;&gt;"","C","O"),"")</f>
        <v>C</v>
      </c>
      <c r="E49" s="199">
        <v>43853.166666666664</v>
      </c>
      <c r="F49" s="200" t="s">
        <v>118</v>
      </c>
      <c r="G49" s="201">
        <v>121.587</v>
      </c>
      <c r="H49" s="201">
        <v>122.24299999999999</v>
      </c>
      <c r="I49" s="202">
        <f t="shared" ref="I49:I51" si="20">ABS(G49-H49)</f>
        <v>0.6559999999999917</v>
      </c>
      <c r="J49" s="201">
        <v>118.961</v>
      </c>
      <c r="K49" s="199">
        <v>43861.102777777778</v>
      </c>
      <c r="L49" s="201">
        <v>120.345</v>
      </c>
      <c r="M49" s="203">
        <f t="shared" ref="M49:M51" si="21">ROUND(IF(C49="L",(L49-G49),(G49-L49)),4)</f>
        <v>1.242</v>
      </c>
      <c r="N49" s="204">
        <f t="shared" ref="N49:N51" si="22">IFERROR(ROUND((M49/I49),2),"")</f>
        <v>1.89</v>
      </c>
      <c r="O49" s="205">
        <f t="shared" ref="O49:O51" si="23">IF(D49="O",IF(N49&lt;0,N49,0),0)</f>
        <v>0</v>
      </c>
      <c r="P49" s="206">
        <f t="shared" ref="P49:P51" si="24">IF(N49&gt;= 0,N49,0)</f>
        <v>1.89</v>
      </c>
      <c r="Q49" s="206">
        <f t="shared" ref="Q49:Q51" si="25">IF(N49&lt;0,N49,0)</f>
        <v>0</v>
      </c>
      <c r="R49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9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102430</v>
      </c>
      <c r="T49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102430</v>
      </c>
      <c r="U49" s="208" t="str">
        <f ca="1">IF(Tabla336106734816[[#This Row],[Equity]]&lt;Tabla336106734816[[#This Row],[Equity Peak]],(Tabla336106734816[[#This Row],[Equity Peak]]-Tabla336106734816[[#This Row],[Equity]])/Tabla336106734816[[#This Row],[Equity Peak]],"")</f>
        <v/>
      </c>
      <c r="V49" s="209">
        <f t="shared" ref="V49:V51" si="26">IF(B49="FX",N49,0)</f>
        <v>1.89</v>
      </c>
      <c r="W49" s="209">
        <f t="shared" ref="W49:W51" si="27">IF(D49="O",IF(V49&lt;0,V49,0),0)</f>
        <v>0</v>
      </c>
      <c r="X49" s="209">
        <f t="shared" ref="X49:X51" si="28">IF(B49="COM",N49,0)</f>
        <v>0</v>
      </c>
      <c r="Y49" s="209">
        <f t="shared" ref="Y49:Y51" si="29">IF(D49="O",IF(X49&lt;0,X49,0),0)</f>
        <v>0</v>
      </c>
      <c r="Z49" s="209">
        <f t="shared" ref="Z49:Z51" si="30">IF(B49="IND",N49,0)</f>
        <v>0</v>
      </c>
      <c r="AA49" s="205">
        <f t="shared" ref="AA49:AA51" si="31">IF(D49="O",IF(Z49&lt;0,Z49,0),0)</f>
        <v>0</v>
      </c>
      <c r="AB49" s="209">
        <f t="shared" ref="AB49:AB51" si="32">IF(B49="CRYPTO",N49,0)</f>
        <v>0</v>
      </c>
      <c r="AC49" s="205">
        <f t="shared" ref="AC49:AC51" si="33">IF(D49="O",IF(AB49&lt;0,AB49,0),0)</f>
        <v>0</v>
      </c>
      <c r="AD49" s="210">
        <f t="shared" ref="AD49:AD51" si="34">IF(K49&lt;&gt;"",K49-E49,0)</f>
        <v>7.9361111111138598</v>
      </c>
      <c r="AE49" s="210">
        <f t="shared" ref="AE49:AE51" si="35">IF(N49&gt;0,AD49,0)</f>
        <v>7.9361111111138598</v>
      </c>
      <c r="AF49" s="210">
        <f t="shared" ref="AF49:AF51" si="36">IF(N49&lt;0,AD49,0)</f>
        <v>0</v>
      </c>
      <c r="AG49" s="210">
        <f t="shared" ref="AG49:AG51" si="37">IF(N49=0,AD49,0)</f>
        <v>0</v>
      </c>
    </row>
    <row r="50" spans="2:33" ht="15" customHeight="1" x14ac:dyDescent="0.3">
      <c r="B50" s="196" t="s">
        <v>7</v>
      </c>
      <c r="C50" s="197" t="s">
        <v>15</v>
      </c>
      <c r="D50" s="198" t="str">
        <f t="shared" si="19"/>
        <v>C</v>
      </c>
      <c r="E50" s="199">
        <v>43839.333333333336</v>
      </c>
      <c r="F50" s="200" t="s">
        <v>118</v>
      </c>
      <c r="G50" s="201">
        <v>121.514</v>
      </c>
      <c r="H50" s="201">
        <v>120.622</v>
      </c>
      <c r="I50" s="202">
        <f t="shared" si="20"/>
        <v>0.89199999999999591</v>
      </c>
      <c r="J50" s="201">
        <v>125.081</v>
      </c>
      <c r="K50" s="199">
        <v>43847.61041666667</v>
      </c>
      <c r="L50" s="201">
        <v>122.298</v>
      </c>
      <c r="M50" s="203">
        <f t="shared" si="21"/>
        <v>0.78400000000000003</v>
      </c>
      <c r="N50" s="204">
        <f t="shared" si="22"/>
        <v>0.88</v>
      </c>
      <c r="O50" s="205">
        <f t="shared" si="23"/>
        <v>0</v>
      </c>
      <c r="P50" s="206">
        <f t="shared" si="24"/>
        <v>0.88</v>
      </c>
      <c r="Q50" s="206">
        <f t="shared" si="25"/>
        <v>0</v>
      </c>
      <c r="R50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50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100540</v>
      </c>
      <c r="T50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100540</v>
      </c>
      <c r="U50" s="208" t="str">
        <f ca="1">IF(Tabla336106734816[[#This Row],[Equity]]&lt;Tabla336106734816[[#This Row],[Equity Peak]],(Tabla336106734816[[#This Row],[Equity Peak]]-Tabla336106734816[[#This Row],[Equity]])/Tabla336106734816[[#This Row],[Equity Peak]],"")</f>
        <v/>
      </c>
      <c r="V50" s="209">
        <f t="shared" si="26"/>
        <v>0.88</v>
      </c>
      <c r="W50" s="209">
        <f t="shared" si="27"/>
        <v>0</v>
      </c>
      <c r="X50" s="209">
        <f t="shared" si="28"/>
        <v>0</v>
      </c>
      <c r="Y50" s="209">
        <f t="shared" si="29"/>
        <v>0</v>
      </c>
      <c r="Z50" s="209">
        <f t="shared" si="30"/>
        <v>0</v>
      </c>
      <c r="AA50" s="205">
        <f t="shared" si="31"/>
        <v>0</v>
      </c>
      <c r="AB50" s="209">
        <f t="shared" si="32"/>
        <v>0</v>
      </c>
      <c r="AC50" s="205">
        <f t="shared" si="33"/>
        <v>0</v>
      </c>
      <c r="AD50" s="210">
        <f t="shared" si="34"/>
        <v>8.2770833333343035</v>
      </c>
      <c r="AE50" s="210">
        <f t="shared" si="35"/>
        <v>8.2770833333343035</v>
      </c>
      <c r="AF50" s="210">
        <f t="shared" si="36"/>
        <v>0</v>
      </c>
      <c r="AG50" s="210">
        <f t="shared" si="37"/>
        <v>0</v>
      </c>
    </row>
    <row r="51" spans="2:33" ht="15" customHeight="1" x14ac:dyDescent="0.3">
      <c r="B51" s="196" t="s">
        <v>7</v>
      </c>
      <c r="C51" s="197" t="s">
        <v>13</v>
      </c>
      <c r="D51" s="198" t="str">
        <f t="shared" si="19"/>
        <v>C</v>
      </c>
      <c r="E51" s="199">
        <v>43833.166666666664</v>
      </c>
      <c r="F51" s="200" t="s">
        <v>118</v>
      </c>
      <c r="G51" s="201">
        <v>120.90300000000001</v>
      </c>
      <c r="H51" s="201">
        <v>121.581</v>
      </c>
      <c r="I51" s="202">
        <f t="shared" si="20"/>
        <v>0.67799999999999727</v>
      </c>
      <c r="J51" s="201">
        <v>118.191</v>
      </c>
      <c r="K51" s="199">
        <v>43836.609027777777</v>
      </c>
      <c r="L51" s="201">
        <v>121.134</v>
      </c>
      <c r="M51" s="203">
        <f t="shared" si="21"/>
        <v>-0.23100000000000001</v>
      </c>
      <c r="N51" s="204">
        <f t="shared" si="22"/>
        <v>-0.34</v>
      </c>
      <c r="O51" s="205">
        <f t="shared" si="23"/>
        <v>0</v>
      </c>
      <c r="P51" s="206">
        <f t="shared" si="24"/>
        <v>0</v>
      </c>
      <c r="Q51" s="206">
        <f t="shared" si="25"/>
        <v>-0.34</v>
      </c>
      <c r="R51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Yes</v>
      </c>
      <c r="S51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99660</v>
      </c>
      <c r="T51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51" s="208">
        <f ca="1">IF(Tabla336106734816[[#This Row],[Equity]]&lt;Tabla336106734816[[#This Row],[Equity Peak]],(Tabla336106734816[[#This Row],[Equity Peak]]-Tabla336106734816[[#This Row],[Equity]])/Tabla336106734816[[#This Row],[Equity Peak]],"")</f>
        <v>3.3999999999999998E-3</v>
      </c>
      <c r="V51" s="209">
        <f t="shared" si="26"/>
        <v>-0.34</v>
      </c>
      <c r="W51" s="209">
        <f t="shared" si="27"/>
        <v>0</v>
      </c>
      <c r="X51" s="209">
        <f t="shared" si="28"/>
        <v>0</v>
      </c>
      <c r="Y51" s="209">
        <f t="shared" si="29"/>
        <v>0</v>
      </c>
      <c r="Z51" s="209">
        <f t="shared" si="30"/>
        <v>0</v>
      </c>
      <c r="AA51" s="205">
        <f t="shared" si="31"/>
        <v>0</v>
      </c>
      <c r="AB51" s="209">
        <f t="shared" si="32"/>
        <v>0</v>
      </c>
      <c r="AC51" s="205">
        <f t="shared" si="33"/>
        <v>0</v>
      </c>
      <c r="AD51" s="210">
        <f t="shared" si="34"/>
        <v>3.4423611111124046</v>
      </c>
      <c r="AE51" s="210">
        <f t="shared" si="35"/>
        <v>0</v>
      </c>
      <c r="AF51" s="210">
        <f t="shared" si="36"/>
        <v>3.4423611111124046</v>
      </c>
      <c r="AG51" s="210">
        <f t="shared" si="37"/>
        <v>0</v>
      </c>
    </row>
  </sheetData>
  <sheetProtection algorithmName="SHA-512" hashValue="PjlIIWdPQerBfpnNcQivms4FHLgagd5EA9/3MxVaAPcz0ejKJteusZ8LjzynhlEi8HrvM+EHJPcI3Tv0HhkTgw==" saltValue="a5mNmpU62twwfsuKfBYuS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713" priority="3" operator="equal">
      <formula>"OK"</formula>
    </cfRule>
    <cfRule type="cellIs" dxfId="712" priority="4" operator="equal">
      <formula>"warning"</formula>
    </cfRule>
  </conditionalFormatting>
  <conditionalFormatting sqref="F13">
    <cfRule type="cellIs" dxfId="711" priority="1" operator="equal">
      <formula>"OK"</formula>
    </cfRule>
    <cfRule type="cellIs" dxfId="710" priority="2" operator="equal">
      <formula>"Error!!"</formula>
    </cfRule>
  </conditionalFormatting>
  <conditionalFormatting sqref="E15:H15 K15:L15">
    <cfRule type="expression" dxfId="709" priority="5">
      <formula>+$D15=#REF!</formula>
    </cfRule>
    <cfRule type="expression" dxfId="708" priority="6">
      <formula>+$D15=#REF!</formula>
    </cfRule>
  </conditionalFormatting>
  <conditionalFormatting sqref="D15 K16:L16 D16:H51 J17:L51">
    <cfRule type="expression" dxfId="707" priority="7">
      <formula>+$D15=$AG$8</formula>
    </cfRule>
    <cfRule type="expression" dxfId="70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CEAA413B-3825-4AF3-806E-975F1032741B}">
      <formula1>$AE$4:$AE$6</formula1>
    </dataValidation>
    <dataValidation type="list" allowBlank="1" showInputMessage="1" showErrorMessage="1" promptTitle="Trade Direction" prompt="Select from List" sqref="C15:C16" xr:uid="{AAFCF327-F168-4519-8DDE-A1E371A930D3}">
      <formula1>$AG$4:$AG$5</formula1>
    </dataValidation>
    <dataValidation type="list" allowBlank="1" showInputMessage="1" showErrorMessage="1" promptTitle="Instrument Type" prompt="Select Type from List_x000a_" sqref="B17:B51" xr:uid="{A51C9717-EF40-4CAF-B5E0-3F8474C4E01C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4BF39-94DC-4895-A3D4-EDB934FBE3CF}">
  <sheetPr codeName="Hoja12">
    <pageSetUpPr fitToPage="1"/>
  </sheetPr>
  <dimension ref="A1:AX34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K18" sqref="K18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COUNTA(Tabla33610673484[Inst])</f>
        <v>18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8.42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8.42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COUNTIF(Tabla33610673484[No. of Rs],"&gt;0")</f>
        <v>9</v>
      </c>
      <c r="G7" s="24">
        <f>IFERROR((F7/$F$6),"")</f>
        <v>0.5</v>
      </c>
      <c r="H7" s="78">
        <f>IFERROR((+P13/F7),"")</f>
        <v>1.6133333333333333</v>
      </c>
      <c r="I7" s="227">
        <f>H7/H9</f>
        <v>2.3803278688524587</v>
      </c>
      <c r="J7" s="227">
        <f>AVERAGE(Tabla33610673484[No. of Rs])</f>
        <v>0.46777777777777779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COUNTIF(Tabla33610673484[No.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OFFSET(Tabla33610673484[[#Headers],[Equity]],1,0)</f>
        <v>108420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COUNTIF(Tabla33610673484[No. of Rs],"&lt;0")</f>
        <v>9</v>
      </c>
      <c r="G9" s="32">
        <f>IFERROR((F9/$F$6),"")</f>
        <v>0.5</v>
      </c>
      <c r="H9" s="79">
        <f>IFERROR((-Q13/F9),"")</f>
        <v>0.67777777777777781</v>
      </c>
      <c r="I9" s="229"/>
      <c r="J9" s="229"/>
      <c r="K9" s="149"/>
      <c r="L9" s="230" t="s">
        <v>106</v>
      </c>
      <c r="M9" s="231"/>
      <c r="N9" s="125">
        <f ca="1">MAX(Tabla33610673484[Drawdown])</f>
        <v>2.4299999999999999E-2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OFFSET(Tabla33610673484[[#Headers],[Drawdown]],1,0)</f>
        <v>1.3736013826980807E-2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COUNTIF(Tabla33610673484[Heat],"&lt;0")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IF(COUNTIFS(Tabla33610673484[O/C],"O")&lt;1,"None",COUNTIFS(Tabla33610673484[O/C],"O"))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SUM(Tabla33610673484[No. of Rs])</f>
        <v>8.42</v>
      </c>
      <c r="O13" s="42">
        <f>SUM(Tabla33610673484[Heat])</f>
        <v>0</v>
      </c>
      <c r="P13" s="43">
        <f>SUM(Tabla33610673484[[ TR WIN]])</f>
        <v>14.52</v>
      </c>
      <c r="Q13" s="43">
        <f>SUM(Tabla33610673484[[ TR LOSS]])</f>
        <v>-6.1000000000000005</v>
      </c>
      <c r="R13" s="114"/>
      <c r="S13" s="115"/>
      <c r="T13" s="115"/>
      <c r="U13" s="121"/>
      <c r="V13" s="44">
        <f>SUM(Tabla33610673484[Currency])</f>
        <v>8.42</v>
      </c>
      <c r="W13" s="44">
        <f>SUM(Tabla33610673484[Heat3])</f>
        <v>0</v>
      </c>
      <c r="X13" s="44">
        <f>SUM(Tabla33610673484[Commodities])</f>
        <v>0</v>
      </c>
      <c r="Y13" s="44">
        <f>SUM(Tabla33610673484[Heat4])</f>
        <v>0</v>
      </c>
      <c r="Z13" s="44">
        <f>SUM(Tabla33610673484[Index])</f>
        <v>0</v>
      </c>
      <c r="AA13" s="44">
        <f>SUM(Tabla33610673484[Heat5])</f>
        <v>0</v>
      </c>
      <c r="AB13" s="44">
        <f>SUM(Tabla33610673484[Cryptocurrency])</f>
        <v>0</v>
      </c>
      <c r="AC13" s="44">
        <f>SUM(Tabla33610673484[Heat6])</f>
        <v>0</v>
      </c>
      <c r="AD13" s="75">
        <f>AVERAGEIF(Tabla33610673484[Length of 
Trade],"&lt;&gt;0")</f>
        <v>5.729166666666667</v>
      </c>
      <c r="AE13" s="75">
        <f>AVERAGEIF(Tabla33610673484[Win],"&lt;&gt;0")</f>
        <v>8.7778549382726645</v>
      </c>
      <c r="AF13" s="75">
        <f>AVERAGEIF(Tabla33610673484[Loss],"&lt;&gt;0")</f>
        <v>2.6804783950606685</v>
      </c>
      <c r="AG13" s="76" t="e">
        <f>AVERAGEIF(Tabla33610673484[Breakeven],"&lt;&gt;0")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24" si="0">IF(E17&lt;&gt;"",IF(K17&lt;&gt;"","C","O"),"")</f>
        <v>C</v>
      </c>
      <c r="E17" s="199">
        <v>44166.833333333336</v>
      </c>
      <c r="F17" s="200" t="s">
        <v>117</v>
      </c>
      <c r="G17" s="201">
        <v>1.20452</v>
      </c>
      <c r="H17" s="201">
        <v>1.1970499999999999</v>
      </c>
      <c r="I17" s="202">
        <f t="shared" ref="I17:I24" si="1">ABS(G17-H17)</f>
        <v>7.4700000000000877E-3</v>
      </c>
      <c r="J17" s="201">
        <v>1.2523</v>
      </c>
      <c r="K17" s="199">
        <v>44172.42291666667</v>
      </c>
      <c r="L17" s="201">
        <v>1.2109099999999999</v>
      </c>
      <c r="M17" s="203">
        <f t="shared" ref="M17:M24" si="2">ROUND(IF(C17="L",(L17-G17),(G17-L17)),4)</f>
        <v>6.4000000000000003E-3</v>
      </c>
      <c r="N17" s="204">
        <f t="shared" ref="N17:N24" si="3">IFERROR(ROUND((M17/I17),2),"")</f>
        <v>0.86</v>
      </c>
      <c r="O17" s="205">
        <f t="shared" ref="O17:O24" si="4">IF(D17="O",IF(N17&lt;0,N17,0),0)</f>
        <v>0</v>
      </c>
      <c r="P17" s="206">
        <f t="shared" ref="P17:P24" si="5">IF(N17&gt;= 0,N17,0)</f>
        <v>0.86</v>
      </c>
      <c r="Q17" s="206">
        <f t="shared" ref="Q17:Q24" si="6">IF(N17&lt;0,N17,0)</f>
        <v>0</v>
      </c>
      <c r="R17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17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108420</v>
      </c>
      <c r="T17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109930</v>
      </c>
      <c r="U17" s="208">
        <f ca="1">IF(Tabla33610673484[[#This Row],[Equity]]&lt;Tabla33610673484[[#This Row],[Equity Peak]],(Tabla33610673484[[#This Row],[Equity Peak]]-Tabla33610673484[[#This Row],[Equity]])/Tabla33610673484[[#This Row],[Equity Peak]],"")</f>
        <v>1.3736013826980807E-2</v>
      </c>
      <c r="V17" s="209">
        <f t="shared" ref="V17:V24" si="7">IF(B17="FX",N17,0)</f>
        <v>0.86</v>
      </c>
      <c r="W17" s="209">
        <f t="shared" ref="W17:W24" si="8">IF(D17="O",IF(V17&lt;0,V17,0),0)</f>
        <v>0</v>
      </c>
      <c r="X17" s="209">
        <f t="shared" ref="X17:X24" si="9">IF(B17="COM",N17,0)</f>
        <v>0</v>
      </c>
      <c r="Y17" s="209">
        <f t="shared" ref="Y17:Y24" si="10">IF(D17="O",IF(X17&lt;0,X17,0),0)</f>
        <v>0</v>
      </c>
      <c r="Z17" s="209">
        <f t="shared" ref="Z17:Z24" si="11">IF(B17="IND",N17,0)</f>
        <v>0</v>
      </c>
      <c r="AA17" s="205">
        <f t="shared" ref="AA17:AA24" si="12">IF(D17="O",IF(Z17&lt;0,Z17,0),0)</f>
        <v>0</v>
      </c>
      <c r="AB17" s="209">
        <f t="shared" ref="AB17:AB24" si="13">IF(B17="CRYPTO",N17,0)</f>
        <v>0</v>
      </c>
      <c r="AC17" s="205">
        <f t="shared" ref="AC17:AC24" si="14">IF(D17="O",IF(AB17&lt;0,AB17,0),0)</f>
        <v>0</v>
      </c>
      <c r="AD17" s="210">
        <f t="shared" ref="AD17:AD24" si="15">IF(K17&lt;&gt;"",K17-E17,0)</f>
        <v>5.5895833333343035</v>
      </c>
      <c r="AE17" s="210">
        <f t="shared" ref="AE17:AE24" si="16">IF(N17&gt;0,AD17,0)</f>
        <v>5.5895833333343035</v>
      </c>
      <c r="AF17" s="210">
        <f t="shared" ref="AF17:AF24" si="17">IF(N17&lt;0,AD17,0)</f>
        <v>0</v>
      </c>
      <c r="AG17" s="210">
        <f t="shared" ref="AG17:AG24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44141.5</v>
      </c>
      <c r="F18" s="200" t="s">
        <v>117</v>
      </c>
      <c r="G18" s="201">
        <v>1.1853199999999999</v>
      </c>
      <c r="H18" s="201">
        <v>1.1724300000000001</v>
      </c>
      <c r="I18" s="202">
        <f t="shared" si="1"/>
        <v>1.2889999999999846E-2</v>
      </c>
      <c r="J18" s="201">
        <v>1.26783</v>
      </c>
      <c r="K18" s="199">
        <v>44145.535416666666</v>
      </c>
      <c r="L18" s="201">
        <v>1.1788799999999999</v>
      </c>
      <c r="M18" s="203">
        <f t="shared" si="2"/>
        <v>-6.4000000000000003E-3</v>
      </c>
      <c r="N18" s="204">
        <f t="shared" si="3"/>
        <v>-0.5</v>
      </c>
      <c r="O18" s="205">
        <f t="shared" si="4"/>
        <v>0</v>
      </c>
      <c r="P18" s="206">
        <f t="shared" si="5"/>
        <v>0</v>
      </c>
      <c r="Q18" s="206">
        <f t="shared" si="6"/>
        <v>-0.5</v>
      </c>
      <c r="R18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18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107560</v>
      </c>
      <c r="T18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109930</v>
      </c>
      <c r="U18" s="208">
        <f ca="1">IF(Tabla33610673484[[#This Row],[Equity]]&lt;Tabla33610673484[[#This Row],[Equity Peak]],(Tabla33610673484[[#This Row],[Equity Peak]]-Tabla33610673484[[#This Row],[Equity]])/Tabla33610673484[[#This Row],[Equity Peak]],"")</f>
        <v>2.1559174019830801E-2</v>
      </c>
      <c r="V18" s="209">
        <f t="shared" si="7"/>
        <v>-0.5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4.0354166666656965</v>
      </c>
      <c r="AE18" s="210">
        <f t="shared" si="16"/>
        <v>0</v>
      </c>
      <c r="AF18" s="210">
        <f t="shared" si="17"/>
        <v>4.0354166666656965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44124.833333333336</v>
      </c>
      <c r="F19" s="200" t="s">
        <v>117</v>
      </c>
      <c r="G19" s="201">
        <v>1.1826399999999999</v>
      </c>
      <c r="H19" s="201">
        <v>1.17581</v>
      </c>
      <c r="I19" s="202">
        <f t="shared" si="1"/>
        <v>6.8299999999998917E-3</v>
      </c>
      <c r="J19" s="201">
        <v>1.2263200000000001</v>
      </c>
      <c r="K19" s="199">
        <v>44127.125694444447</v>
      </c>
      <c r="L19" s="201">
        <v>1.1807300000000001</v>
      </c>
      <c r="M19" s="203">
        <f t="shared" si="2"/>
        <v>-1.9E-3</v>
      </c>
      <c r="N19" s="204">
        <f t="shared" si="3"/>
        <v>-0.28000000000000003</v>
      </c>
      <c r="O19" s="205">
        <f t="shared" si="4"/>
        <v>0</v>
      </c>
      <c r="P19" s="206">
        <f t="shared" si="5"/>
        <v>0</v>
      </c>
      <c r="Q19" s="206">
        <f t="shared" si="6"/>
        <v>-0.28000000000000003</v>
      </c>
      <c r="R19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19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108060</v>
      </c>
      <c r="T19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109930</v>
      </c>
      <c r="U19" s="208">
        <f ca="1">IF(Tabla33610673484[[#This Row],[Equity]]&lt;Tabla33610673484[[#This Row],[Equity Peak]],(Tabla33610673484[[#This Row],[Equity Peak]]-Tabla33610673484[[#This Row],[Equity]])/Tabla33610673484[[#This Row],[Equity Peak]],"")</f>
        <v>1.7010825070499409E-2</v>
      </c>
      <c r="V19" s="209">
        <f t="shared" si="7"/>
        <v>-0.28000000000000003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2.2923611111109494</v>
      </c>
      <c r="AE19" s="210">
        <f t="shared" si="16"/>
        <v>0</v>
      </c>
      <c r="AF19" s="210">
        <f t="shared" si="17"/>
        <v>2.2923611111109494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15</v>
      </c>
      <c r="D20" s="198" t="str">
        <f t="shared" si="0"/>
        <v>C</v>
      </c>
      <c r="E20" s="199">
        <v>44113.166666666664</v>
      </c>
      <c r="F20" s="200" t="s">
        <v>117</v>
      </c>
      <c r="G20" s="201">
        <v>1.1760999999999999</v>
      </c>
      <c r="H20" s="201">
        <v>1.1705399999999999</v>
      </c>
      <c r="I20" s="202">
        <f t="shared" si="1"/>
        <v>5.5600000000000094E-3</v>
      </c>
      <c r="J20" s="201">
        <v>1.2117</v>
      </c>
      <c r="K20" s="199">
        <v>44117.42291666667</v>
      </c>
      <c r="L20" s="201">
        <v>1.1783699999999999</v>
      </c>
      <c r="M20" s="203">
        <f t="shared" si="2"/>
        <v>2.3E-3</v>
      </c>
      <c r="N20" s="204">
        <f t="shared" si="3"/>
        <v>0.41</v>
      </c>
      <c r="O20" s="205">
        <f t="shared" si="4"/>
        <v>0</v>
      </c>
      <c r="P20" s="206">
        <f t="shared" si="5"/>
        <v>0.41</v>
      </c>
      <c r="Q20" s="206">
        <f t="shared" si="6"/>
        <v>0</v>
      </c>
      <c r="R20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0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108340</v>
      </c>
      <c r="T20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109930</v>
      </c>
      <c r="U20" s="208">
        <f ca="1">IF(Tabla33610673484[[#This Row],[Equity]]&lt;Tabla33610673484[[#This Row],[Equity Peak]],(Tabla33610673484[[#This Row],[Equity Peak]]-Tabla33610673484[[#This Row],[Equity]])/Tabla33610673484[[#This Row],[Equity Peak]],"")</f>
        <v>1.4463749658873828E-2</v>
      </c>
      <c r="V20" s="209">
        <f t="shared" si="7"/>
        <v>0.41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4.2562500000058208</v>
      </c>
      <c r="AE20" s="210">
        <f t="shared" si="16"/>
        <v>4.2562500000058208</v>
      </c>
      <c r="AF20" s="210">
        <f t="shared" si="17"/>
        <v>0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0"/>
        <v>C</v>
      </c>
      <c r="E21" s="199">
        <v>44084.833333333336</v>
      </c>
      <c r="F21" s="200" t="s">
        <v>117</v>
      </c>
      <c r="G21" s="201">
        <v>1.18574</v>
      </c>
      <c r="H21" s="201">
        <v>1.17702</v>
      </c>
      <c r="I21" s="202">
        <f t="shared" si="1"/>
        <v>8.720000000000061E-3</v>
      </c>
      <c r="J21" s="201">
        <v>1.24152</v>
      </c>
      <c r="K21" s="199">
        <v>44090.131249999999</v>
      </c>
      <c r="L21" s="201">
        <v>1.1834100000000001</v>
      </c>
      <c r="M21" s="203">
        <f t="shared" si="2"/>
        <v>-2.3E-3</v>
      </c>
      <c r="N21" s="204">
        <f t="shared" si="3"/>
        <v>-0.26</v>
      </c>
      <c r="O21" s="205">
        <f t="shared" si="4"/>
        <v>0</v>
      </c>
      <c r="P21" s="206">
        <f t="shared" si="5"/>
        <v>0</v>
      </c>
      <c r="Q21" s="206">
        <f t="shared" si="6"/>
        <v>-0.26</v>
      </c>
      <c r="R21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1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107930</v>
      </c>
      <c r="T21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109930</v>
      </c>
      <c r="U21" s="208">
        <f ca="1">IF(Tabla33610673484[[#This Row],[Equity]]&lt;Tabla33610673484[[#This Row],[Equity Peak]],(Tabla33610673484[[#This Row],[Equity Peak]]-Tabla33610673484[[#This Row],[Equity]])/Tabla33610673484[[#This Row],[Equity Peak]],"")</f>
        <v>1.8193395797325571E-2</v>
      </c>
      <c r="V21" s="209">
        <f t="shared" si="7"/>
        <v>-0.26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5.2979166666627862</v>
      </c>
      <c r="AE21" s="210">
        <f t="shared" si="16"/>
        <v>0</v>
      </c>
      <c r="AF21" s="210">
        <f t="shared" si="17"/>
        <v>5.2979166666627862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15</v>
      </c>
      <c r="D22" s="198" t="str">
        <f t="shared" si="0"/>
        <v>C</v>
      </c>
      <c r="E22" s="199">
        <v>44075.333333333336</v>
      </c>
      <c r="F22" s="200" t="s">
        <v>117</v>
      </c>
      <c r="G22" s="201">
        <v>1.1987699999999999</v>
      </c>
      <c r="H22" s="201">
        <v>1.1897800000000001</v>
      </c>
      <c r="I22" s="202">
        <f t="shared" si="1"/>
        <v>8.9899999999998315E-3</v>
      </c>
      <c r="J22" s="201">
        <v>1.25631</v>
      </c>
      <c r="K22" s="199">
        <v>44076.171527777777</v>
      </c>
      <c r="L22" s="201">
        <v>1.1899900000000001</v>
      </c>
      <c r="M22" s="203">
        <f t="shared" si="2"/>
        <v>-8.8000000000000005E-3</v>
      </c>
      <c r="N22" s="204">
        <f t="shared" si="3"/>
        <v>-0.98</v>
      </c>
      <c r="O22" s="205">
        <f t="shared" si="4"/>
        <v>0</v>
      </c>
      <c r="P22" s="206">
        <f t="shared" si="5"/>
        <v>0</v>
      </c>
      <c r="Q22" s="206">
        <f t="shared" si="6"/>
        <v>-0.98</v>
      </c>
      <c r="R22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2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108190</v>
      </c>
      <c r="T22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109930</v>
      </c>
      <c r="U22" s="208">
        <f ca="1">IF(Tabla33610673484[[#This Row],[Equity]]&lt;Tabla33610673484[[#This Row],[Equity Peak]],(Tabla33610673484[[#This Row],[Equity Peak]]-Tabla33610673484[[#This Row],[Equity]])/Tabla33610673484[[#This Row],[Equity Peak]],"")</f>
        <v>1.5828254343673246E-2</v>
      </c>
      <c r="V22" s="209">
        <f t="shared" si="7"/>
        <v>-0.98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0.83819444444088731</v>
      </c>
      <c r="AE22" s="210">
        <f t="shared" si="16"/>
        <v>0</v>
      </c>
      <c r="AF22" s="210">
        <f t="shared" si="17"/>
        <v>0.83819444444088731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44061.666666666664</v>
      </c>
      <c r="F23" s="200" t="s">
        <v>117</v>
      </c>
      <c r="G23" s="201">
        <v>1.19364</v>
      </c>
      <c r="H23" s="201">
        <v>1.1860299999999999</v>
      </c>
      <c r="I23" s="202">
        <f t="shared" si="1"/>
        <v>7.6100000000001167E-3</v>
      </c>
      <c r="J23" s="201">
        <v>1.2423500000000001</v>
      </c>
      <c r="K23" s="199">
        <v>44062.806250000001</v>
      </c>
      <c r="L23" s="201">
        <v>1.1878299999999999</v>
      </c>
      <c r="M23" s="203">
        <f t="shared" si="2"/>
        <v>-5.7999999999999996E-3</v>
      </c>
      <c r="N23" s="204">
        <f t="shared" si="3"/>
        <v>-0.76</v>
      </c>
      <c r="O23" s="205">
        <f t="shared" si="4"/>
        <v>0</v>
      </c>
      <c r="P23" s="206">
        <f t="shared" si="5"/>
        <v>0</v>
      </c>
      <c r="Q23" s="206">
        <f t="shared" si="6"/>
        <v>-0.76</v>
      </c>
      <c r="R23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3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109170</v>
      </c>
      <c r="T23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109930</v>
      </c>
      <c r="U23" s="208">
        <f ca="1">IF(Tabla33610673484[[#This Row],[Equity]]&lt;Tabla33610673484[[#This Row],[Equity Peak]],(Tabla33610673484[[#This Row],[Equity Peak]]-Tabla33610673484[[#This Row],[Equity]])/Tabla33610673484[[#This Row],[Equity Peak]],"")</f>
        <v>6.9134904029837171E-3</v>
      </c>
      <c r="V23" s="209">
        <f t="shared" si="7"/>
        <v>-0.76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1.1395833333372138</v>
      </c>
      <c r="AE23" s="210">
        <f t="shared" si="16"/>
        <v>0</v>
      </c>
      <c r="AF23" s="210">
        <f t="shared" si="17"/>
        <v>1.1395833333372138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44027.5</v>
      </c>
      <c r="F24" s="200" t="s">
        <v>117</v>
      </c>
      <c r="G24" s="201">
        <v>1.14368</v>
      </c>
      <c r="H24" s="201">
        <v>1.1358600000000001</v>
      </c>
      <c r="I24" s="202">
        <f t="shared" si="1"/>
        <v>7.8199999999999381E-3</v>
      </c>
      <c r="J24" s="201">
        <v>1.1937</v>
      </c>
      <c r="K24" s="199">
        <v>44043.683333333334</v>
      </c>
      <c r="L24" s="201">
        <v>1.18259</v>
      </c>
      <c r="M24" s="203">
        <f t="shared" si="2"/>
        <v>3.8899999999999997E-2</v>
      </c>
      <c r="N24" s="204">
        <f t="shared" si="3"/>
        <v>4.97</v>
      </c>
      <c r="O24" s="205">
        <f t="shared" si="4"/>
        <v>0</v>
      </c>
      <c r="P24" s="206">
        <f t="shared" si="5"/>
        <v>4.97</v>
      </c>
      <c r="Q24" s="206">
        <f t="shared" si="6"/>
        <v>0</v>
      </c>
      <c r="R24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4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109930</v>
      </c>
      <c r="T24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109930</v>
      </c>
      <c r="U24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4" s="209">
        <f t="shared" si="7"/>
        <v>4.97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16.183333333334303</v>
      </c>
      <c r="AE24" s="210">
        <f t="shared" si="16"/>
        <v>16.183333333334303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ref="D25:D34" si="19">IF(E25&lt;&gt;"",IF(K25&lt;&gt;"","C","O"),"")</f>
        <v>C</v>
      </c>
      <c r="E25" s="199">
        <v>43957.5</v>
      </c>
      <c r="F25" s="200" t="s">
        <v>117</v>
      </c>
      <c r="G25" s="201">
        <v>1.0802</v>
      </c>
      <c r="H25" s="201">
        <v>1.0876399999999999</v>
      </c>
      <c r="I25" s="202">
        <f t="shared" ref="I25:I34" si="20">ABS(G25-H25)</f>
        <v>7.4399999999998911E-3</v>
      </c>
      <c r="J25" s="201">
        <v>1.0325899999999999</v>
      </c>
      <c r="K25" s="199">
        <v>43959.734722222223</v>
      </c>
      <c r="L25" s="201">
        <v>1.08684</v>
      </c>
      <c r="M25" s="203">
        <f t="shared" ref="M25:M34" si="21">ROUND(IF(C25="L",(L25-G25),(G25-L25)),4)</f>
        <v>-6.6E-3</v>
      </c>
      <c r="N25" s="204">
        <f t="shared" ref="N25:N34" si="22">IFERROR(ROUND((M25/I25),2),"")</f>
        <v>-0.89</v>
      </c>
      <c r="O25" s="205">
        <f t="shared" ref="O25:O34" si="23">IF(D25="O",IF(N25&lt;0,N25,0),0)</f>
        <v>0</v>
      </c>
      <c r="P25" s="206">
        <f t="shared" ref="P25:P34" si="24">IF(N25&gt;= 0,N25,0)</f>
        <v>0</v>
      </c>
      <c r="Q25" s="206">
        <f t="shared" ref="Q25:Q34" si="25">IF(N25&lt;0,N25,0)</f>
        <v>-0.89</v>
      </c>
      <c r="R25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5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104960</v>
      </c>
      <c r="T25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105850</v>
      </c>
      <c r="U25" s="208">
        <f ca="1">IF(Tabla33610673484[[#This Row],[Equity]]&lt;Tabla33610673484[[#This Row],[Equity Peak]],(Tabla33610673484[[#This Row],[Equity Peak]]-Tabla33610673484[[#This Row],[Equity]])/Tabla33610673484[[#This Row],[Equity Peak]],"")</f>
        <v>8.4081247047709026E-3</v>
      </c>
      <c r="V25" s="209">
        <f t="shared" ref="V25:V34" si="26">IF(B25="FX",N25,0)</f>
        <v>-0.89</v>
      </c>
      <c r="W25" s="209">
        <f t="shared" ref="W25:W34" si="27">IF(D25="O",IF(V25&lt;0,V25,0),0)</f>
        <v>0</v>
      </c>
      <c r="X25" s="209">
        <f t="shared" ref="X25:X34" si="28">IF(B25="COM",N25,0)</f>
        <v>0</v>
      </c>
      <c r="Y25" s="209">
        <f t="shared" ref="Y25:Y34" si="29">IF(D25="O",IF(X25&lt;0,X25,0),0)</f>
        <v>0</v>
      </c>
      <c r="Z25" s="209">
        <f t="shared" ref="Z25:Z34" si="30">IF(B25="IND",N25,0)</f>
        <v>0</v>
      </c>
      <c r="AA25" s="205">
        <f t="shared" ref="AA25:AA34" si="31">IF(D25="O",IF(Z25&lt;0,Z25,0),0)</f>
        <v>0</v>
      </c>
      <c r="AB25" s="209">
        <f t="shared" ref="AB25:AB34" si="32">IF(B25="CRYPTO",N25,0)</f>
        <v>0</v>
      </c>
      <c r="AC25" s="205">
        <f t="shared" ref="AC25:AC34" si="33">IF(D25="O",IF(AB25&lt;0,AB25,0),0)</f>
        <v>0</v>
      </c>
      <c r="AD25" s="210">
        <f t="shared" ref="AD25:AD34" si="34">IF(K25&lt;&gt;"",K25-E25,0)</f>
        <v>2.234722222223354</v>
      </c>
      <c r="AE25" s="210">
        <f t="shared" ref="AE25:AE34" si="35">IF(N25&gt;0,AD25,0)</f>
        <v>0</v>
      </c>
      <c r="AF25" s="210">
        <f t="shared" ref="AF25:AF34" si="36">IF(N25&lt;0,AD25,0)</f>
        <v>2.234722222223354</v>
      </c>
      <c r="AG25" s="210">
        <f t="shared" ref="AG25:AG34" si="37">IF(N25=0,AD25,0)</f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19"/>
        <v>C</v>
      </c>
      <c r="E26" s="199">
        <v>43936.666666666664</v>
      </c>
      <c r="F26" s="200" t="s">
        <v>117</v>
      </c>
      <c r="G26" s="201">
        <v>1.08589</v>
      </c>
      <c r="H26" s="201">
        <v>1.09474</v>
      </c>
      <c r="I26" s="202">
        <f t="shared" si="20"/>
        <v>8.8500000000000245E-3</v>
      </c>
      <c r="J26" s="201">
        <v>1.0292399999999999</v>
      </c>
      <c r="K26" s="199">
        <v>43945.98333333333</v>
      </c>
      <c r="L26" s="201">
        <v>1.0824499999999999</v>
      </c>
      <c r="M26" s="203">
        <f t="shared" si="21"/>
        <v>3.3999999999999998E-3</v>
      </c>
      <c r="N26" s="204">
        <f t="shared" si="22"/>
        <v>0.38</v>
      </c>
      <c r="O26" s="205">
        <f t="shared" si="23"/>
        <v>0</v>
      </c>
      <c r="P26" s="206">
        <f t="shared" si="24"/>
        <v>0.38</v>
      </c>
      <c r="Q26" s="206">
        <f t="shared" si="25"/>
        <v>0</v>
      </c>
      <c r="R26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6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105850</v>
      </c>
      <c r="T26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105850</v>
      </c>
      <c r="U26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6" s="209">
        <f t="shared" si="26"/>
        <v>0.38</v>
      </c>
      <c r="W26" s="209">
        <f t="shared" si="27"/>
        <v>0</v>
      </c>
      <c r="X26" s="209">
        <f t="shared" si="28"/>
        <v>0</v>
      </c>
      <c r="Y26" s="209">
        <f t="shared" si="29"/>
        <v>0</v>
      </c>
      <c r="Z26" s="209">
        <f t="shared" si="30"/>
        <v>0</v>
      </c>
      <c r="AA26" s="205">
        <f t="shared" si="31"/>
        <v>0</v>
      </c>
      <c r="AB26" s="209">
        <f t="shared" si="32"/>
        <v>0</v>
      </c>
      <c r="AC26" s="205">
        <f t="shared" si="33"/>
        <v>0</v>
      </c>
      <c r="AD26" s="210">
        <f t="shared" si="34"/>
        <v>9.3166666666656965</v>
      </c>
      <c r="AE26" s="210">
        <f t="shared" si="35"/>
        <v>9.3166666666656965</v>
      </c>
      <c r="AF26" s="210">
        <f t="shared" si="36"/>
        <v>0</v>
      </c>
      <c r="AG26" s="210">
        <f t="shared" si="37"/>
        <v>0</v>
      </c>
    </row>
    <row r="27" spans="2:33" ht="15" customHeight="1" x14ac:dyDescent="0.3">
      <c r="B27" s="196" t="s">
        <v>7</v>
      </c>
      <c r="C27" s="197" t="s">
        <v>13</v>
      </c>
      <c r="D27" s="198" t="str">
        <f t="shared" si="19"/>
        <v>C</v>
      </c>
      <c r="E27" s="199">
        <v>43921.666666666664</v>
      </c>
      <c r="F27" s="200" t="s">
        <v>117</v>
      </c>
      <c r="G27" s="201">
        <v>1.09718</v>
      </c>
      <c r="H27" s="201">
        <v>1.1128199999999999</v>
      </c>
      <c r="I27" s="202">
        <f t="shared" si="20"/>
        <v>1.5639999999999876E-2</v>
      </c>
      <c r="J27" s="201">
        <v>0.99709999999999999</v>
      </c>
      <c r="K27" s="199">
        <v>43928.43472222222</v>
      </c>
      <c r="L27" s="201">
        <v>1.0866199999999999</v>
      </c>
      <c r="M27" s="203">
        <f t="shared" si="21"/>
        <v>1.06E-2</v>
      </c>
      <c r="N27" s="204">
        <f t="shared" si="22"/>
        <v>0.68</v>
      </c>
      <c r="O27" s="205">
        <f t="shared" si="23"/>
        <v>0</v>
      </c>
      <c r="P27" s="206">
        <f t="shared" si="24"/>
        <v>0.68</v>
      </c>
      <c r="Q27" s="206">
        <f t="shared" si="25"/>
        <v>0</v>
      </c>
      <c r="R27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7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105470</v>
      </c>
      <c r="T27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105470</v>
      </c>
      <c r="U27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7" s="209">
        <f t="shared" si="26"/>
        <v>0.68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0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6.7680555555562023</v>
      </c>
      <c r="AE27" s="210">
        <f t="shared" si="35"/>
        <v>6.7680555555562023</v>
      </c>
      <c r="AF27" s="210">
        <f t="shared" si="36"/>
        <v>0</v>
      </c>
      <c r="AG27" s="210">
        <f t="shared" si="37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19"/>
        <v>C</v>
      </c>
      <c r="E28" s="199">
        <v>43908.666666666664</v>
      </c>
      <c r="F28" s="200" t="s">
        <v>117</v>
      </c>
      <c r="G28" s="201">
        <v>1.0930200000000001</v>
      </c>
      <c r="H28" s="201">
        <v>1.1105499999999999</v>
      </c>
      <c r="I28" s="202">
        <f t="shared" si="20"/>
        <v>1.7529999999999824E-2</v>
      </c>
      <c r="J28" s="201">
        <v>0.98080000000000001</v>
      </c>
      <c r="K28" s="199">
        <v>43914.400000000001</v>
      </c>
      <c r="L28" s="201">
        <v>1.08416</v>
      </c>
      <c r="M28" s="203">
        <f t="shared" si="21"/>
        <v>8.8999999999999999E-3</v>
      </c>
      <c r="N28" s="204">
        <f t="shared" si="22"/>
        <v>0.51</v>
      </c>
      <c r="O28" s="205">
        <f t="shared" si="23"/>
        <v>0</v>
      </c>
      <c r="P28" s="206">
        <f t="shared" si="24"/>
        <v>0.51</v>
      </c>
      <c r="Q28" s="206">
        <f t="shared" si="25"/>
        <v>0</v>
      </c>
      <c r="R28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8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104790</v>
      </c>
      <c r="T28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104790</v>
      </c>
      <c r="U28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8" s="209">
        <f t="shared" si="26"/>
        <v>0.51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0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5.7333333333372138</v>
      </c>
      <c r="AE28" s="210">
        <f t="shared" si="35"/>
        <v>5.7333333333372138</v>
      </c>
      <c r="AF28" s="210">
        <f t="shared" si="36"/>
        <v>0</v>
      </c>
      <c r="AG28" s="210">
        <f t="shared" si="37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19"/>
        <v>C</v>
      </c>
      <c r="E29" s="199">
        <v>43896.166666666664</v>
      </c>
      <c r="F29" s="200" t="s">
        <v>117</v>
      </c>
      <c r="G29" s="201">
        <v>1.1245700000000001</v>
      </c>
      <c r="H29" s="201">
        <v>1.1155900000000001</v>
      </c>
      <c r="I29" s="202">
        <f t="shared" si="20"/>
        <v>8.979999999999988E-3</v>
      </c>
      <c r="J29" s="201">
        <v>1.1820600000000001</v>
      </c>
      <c r="K29" s="199">
        <v>43900.36041666667</v>
      </c>
      <c r="L29" s="201">
        <v>1.1333800000000001</v>
      </c>
      <c r="M29" s="203">
        <f t="shared" si="21"/>
        <v>8.8000000000000005E-3</v>
      </c>
      <c r="N29" s="204">
        <f t="shared" si="22"/>
        <v>0.98</v>
      </c>
      <c r="O29" s="205">
        <f t="shared" si="23"/>
        <v>0</v>
      </c>
      <c r="P29" s="206">
        <f t="shared" si="24"/>
        <v>0.98</v>
      </c>
      <c r="Q29" s="206">
        <f t="shared" si="25"/>
        <v>0</v>
      </c>
      <c r="R29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9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104280</v>
      </c>
      <c r="T29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104280</v>
      </c>
      <c r="U29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9" s="209">
        <f t="shared" si="26"/>
        <v>0.98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0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4.1937500000058208</v>
      </c>
      <c r="AE29" s="210">
        <f t="shared" si="35"/>
        <v>4.1937500000058208</v>
      </c>
      <c r="AF29" s="210">
        <f t="shared" si="36"/>
        <v>0</v>
      </c>
      <c r="AG29" s="210">
        <f t="shared" si="37"/>
        <v>0</v>
      </c>
    </row>
    <row r="30" spans="2:33" ht="15" customHeight="1" x14ac:dyDescent="0.3">
      <c r="B30" s="196" t="s">
        <v>7</v>
      </c>
      <c r="C30" s="197" t="s">
        <v>13</v>
      </c>
      <c r="D30" s="198" t="str">
        <f t="shared" si="19"/>
        <v>C</v>
      </c>
      <c r="E30" s="199">
        <v>43867.833333333336</v>
      </c>
      <c r="F30" s="200" t="s">
        <v>117</v>
      </c>
      <c r="G30" s="201">
        <v>1.09751</v>
      </c>
      <c r="H30" s="201">
        <v>1.1012299999999999</v>
      </c>
      <c r="I30" s="202">
        <f t="shared" si="20"/>
        <v>3.7199999999999456E-3</v>
      </c>
      <c r="J30" s="201">
        <v>1.07372</v>
      </c>
      <c r="K30" s="199">
        <v>43882.68472222222</v>
      </c>
      <c r="L30" s="201">
        <v>1.0823400000000001</v>
      </c>
      <c r="M30" s="203">
        <f t="shared" si="21"/>
        <v>1.52E-2</v>
      </c>
      <c r="N30" s="204">
        <f t="shared" si="22"/>
        <v>4.09</v>
      </c>
      <c r="O30" s="205">
        <f t="shared" si="23"/>
        <v>0</v>
      </c>
      <c r="P30" s="206">
        <f t="shared" si="24"/>
        <v>4.09</v>
      </c>
      <c r="Q30" s="206">
        <f t="shared" si="25"/>
        <v>0</v>
      </c>
      <c r="R30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30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103300</v>
      </c>
      <c r="T30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103300</v>
      </c>
      <c r="U30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30" s="209">
        <f t="shared" si="26"/>
        <v>4.09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0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14.851388888884685</v>
      </c>
      <c r="AE30" s="210">
        <f t="shared" si="35"/>
        <v>14.851388888884685</v>
      </c>
      <c r="AF30" s="210">
        <f t="shared" si="36"/>
        <v>0</v>
      </c>
      <c r="AG30" s="210">
        <f t="shared" si="37"/>
        <v>0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19"/>
        <v>C</v>
      </c>
      <c r="E31" s="199">
        <v>43847.833333333336</v>
      </c>
      <c r="F31" s="200" t="s">
        <v>117</v>
      </c>
      <c r="G31" s="201">
        <v>1.1090899999999999</v>
      </c>
      <c r="H31" s="201">
        <v>1.1134200000000001</v>
      </c>
      <c r="I31" s="202">
        <f t="shared" si="20"/>
        <v>4.330000000000167E-3</v>
      </c>
      <c r="J31" s="201">
        <v>1.0813900000000001</v>
      </c>
      <c r="K31" s="199">
        <v>43859.941666666666</v>
      </c>
      <c r="L31" s="201">
        <v>1.10195</v>
      </c>
      <c r="M31" s="203">
        <f t="shared" si="21"/>
        <v>7.1000000000000004E-3</v>
      </c>
      <c r="N31" s="204">
        <f t="shared" si="22"/>
        <v>1.64</v>
      </c>
      <c r="O31" s="205">
        <f t="shared" si="23"/>
        <v>0</v>
      </c>
      <c r="P31" s="206">
        <f t="shared" si="24"/>
        <v>1.64</v>
      </c>
      <c r="Q31" s="206">
        <f t="shared" si="25"/>
        <v>0</v>
      </c>
      <c r="R31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31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99210</v>
      </c>
      <c r="T31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100000</v>
      </c>
      <c r="U31" s="208">
        <f ca="1">IF(Tabla33610673484[[#This Row],[Equity]]&lt;Tabla33610673484[[#This Row],[Equity Peak]],(Tabla33610673484[[#This Row],[Equity Peak]]-Tabla33610673484[[#This Row],[Equity]])/Tabla33610673484[[#This Row],[Equity Peak]],"")</f>
        <v>7.9000000000000008E-3</v>
      </c>
      <c r="V31" s="209">
        <f t="shared" si="26"/>
        <v>1.64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12.108333333329938</v>
      </c>
      <c r="AE31" s="210">
        <f t="shared" si="35"/>
        <v>12.108333333329938</v>
      </c>
      <c r="AF31" s="210">
        <f t="shared" si="36"/>
        <v>0</v>
      </c>
      <c r="AG31" s="210">
        <f t="shared" si="37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19"/>
        <v>C</v>
      </c>
      <c r="E32" s="199">
        <v>43845.833333333336</v>
      </c>
      <c r="F32" s="200" t="s">
        <v>117</v>
      </c>
      <c r="G32" s="201">
        <v>1.1157600000000001</v>
      </c>
      <c r="H32" s="201">
        <v>1.11151</v>
      </c>
      <c r="I32" s="202">
        <f t="shared" si="20"/>
        <v>4.250000000000087E-3</v>
      </c>
      <c r="J32" s="201">
        <v>1.1429800000000001</v>
      </c>
      <c r="K32" s="199">
        <v>43847.574999999997</v>
      </c>
      <c r="L32" s="201">
        <v>1.11154</v>
      </c>
      <c r="M32" s="203">
        <f t="shared" si="21"/>
        <v>-4.1999999999999997E-3</v>
      </c>
      <c r="N32" s="204">
        <f t="shared" si="22"/>
        <v>-0.99</v>
      </c>
      <c r="O32" s="205">
        <f t="shared" si="23"/>
        <v>0</v>
      </c>
      <c r="P32" s="206">
        <f t="shared" si="24"/>
        <v>0</v>
      </c>
      <c r="Q32" s="206">
        <f t="shared" si="25"/>
        <v>-0.99</v>
      </c>
      <c r="R32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Yes</v>
      </c>
      <c r="S32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97570</v>
      </c>
      <c r="T32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100000</v>
      </c>
      <c r="U32" s="208">
        <f ca="1">IF(Tabla33610673484[[#This Row],[Equity]]&lt;Tabla33610673484[[#This Row],[Equity Peak]],(Tabla33610673484[[#This Row],[Equity Peak]]-Tabla33610673484[[#This Row],[Equity]])/Tabla33610673484[[#This Row],[Equity Peak]],"")</f>
        <v>2.4299999999999999E-2</v>
      </c>
      <c r="V32" s="209">
        <f t="shared" si="26"/>
        <v>-0.99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1.741666666661331</v>
      </c>
      <c r="AE32" s="210">
        <f t="shared" si="35"/>
        <v>0</v>
      </c>
      <c r="AF32" s="210">
        <f t="shared" si="36"/>
        <v>1.741666666661331</v>
      </c>
      <c r="AG32" s="210">
        <f t="shared" si="37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19"/>
        <v>C</v>
      </c>
      <c r="E33" s="199">
        <v>43840.5</v>
      </c>
      <c r="F33" s="200" t="s">
        <v>117</v>
      </c>
      <c r="G33" s="201">
        <v>1.10964</v>
      </c>
      <c r="H33" s="201">
        <v>1.11395</v>
      </c>
      <c r="I33" s="202">
        <f t="shared" si="20"/>
        <v>4.310000000000036E-3</v>
      </c>
      <c r="J33" s="201">
        <v>1.08206</v>
      </c>
      <c r="K33" s="199">
        <v>43843.768055555556</v>
      </c>
      <c r="L33" s="201">
        <v>1.11395</v>
      </c>
      <c r="M33" s="203">
        <f t="shared" si="21"/>
        <v>-4.3E-3</v>
      </c>
      <c r="N33" s="204">
        <f t="shared" si="22"/>
        <v>-1</v>
      </c>
      <c r="O33" s="205">
        <f t="shared" si="23"/>
        <v>0</v>
      </c>
      <c r="P33" s="206">
        <f t="shared" si="24"/>
        <v>0</v>
      </c>
      <c r="Q33" s="206">
        <f t="shared" si="25"/>
        <v>-1</v>
      </c>
      <c r="R33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Yes</v>
      </c>
      <c r="S33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98560</v>
      </c>
      <c r="T33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100000</v>
      </c>
      <c r="U33" s="208">
        <f ca="1">IF(Tabla33610673484[[#This Row],[Equity]]&lt;Tabla33610673484[[#This Row],[Equity Peak]],(Tabla33610673484[[#This Row],[Equity Peak]]-Tabla33610673484[[#This Row],[Equity]])/Tabla33610673484[[#This Row],[Equity Peak]],"")</f>
        <v>1.44E-2</v>
      </c>
      <c r="V33" s="209">
        <f t="shared" si="26"/>
        <v>-1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3.2680555555562023</v>
      </c>
      <c r="AE33" s="210">
        <f t="shared" si="35"/>
        <v>0</v>
      </c>
      <c r="AF33" s="210">
        <f t="shared" si="36"/>
        <v>3.2680555555562023</v>
      </c>
      <c r="AG33" s="210">
        <f t="shared" si="37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19"/>
        <v>C</v>
      </c>
      <c r="E34" s="199">
        <v>43829.333333333336</v>
      </c>
      <c r="F34" s="200" t="s">
        <v>117</v>
      </c>
      <c r="G34" s="201">
        <v>1.1202700000000001</v>
      </c>
      <c r="H34" s="201">
        <v>1.1159300000000001</v>
      </c>
      <c r="I34" s="202">
        <f t="shared" si="20"/>
        <v>4.3400000000000105E-3</v>
      </c>
      <c r="J34" s="201">
        <v>1.1480600000000001</v>
      </c>
      <c r="K34" s="199">
        <v>43832.609722222223</v>
      </c>
      <c r="L34" s="201">
        <v>1.11835</v>
      </c>
      <c r="M34" s="203">
        <f t="shared" si="21"/>
        <v>-1.9E-3</v>
      </c>
      <c r="N34" s="204">
        <f t="shared" si="22"/>
        <v>-0.44</v>
      </c>
      <c r="O34" s="205">
        <f t="shared" si="23"/>
        <v>0</v>
      </c>
      <c r="P34" s="206">
        <f t="shared" si="24"/>
        <v>0</v>
      </c>
      <c r="Q34" s="206">
        <f t="shared" si="25"/>
        <v>-0.44</v>
      </c>
      <c r="R34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Yes</v>
      </c>
      <c r="S34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99560</v>
      </c>
      <c r="T34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100000</v>
      </c>
      <c r="U34" s="208">
        <f ca="1">IF(Tabla33610673484[[#This Row],[Equity]]&lt;Tabla33610673484[[#This Row],[Equity Peak]],(Tabla33610673484[[#This Row],[Equity Peak]]-Tabla33610673484[[#This Row],[Equity]])/Tabla33610673484[[#This Row],[Equity Peak]],"")</f>
        <v>4.4000000000000003E-3</v>
      </c>
      <c r="V34" s="209">
        <f t="shared" si="26"/>
        <v>-0.44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3.2763888888875954</v>
      </c>
      <c r="AE34" s="210">
        <f t="shared" si="35"/>
        <v>0</v>
      </c>
      <c r="AF34" s="210">
        <f t="shared" si="36"/>
        <v>3.2763888888875954</v>
      </c>
      <c r="AG34" s="210">
        <f t="shared" si="37"/>
        <v>0</v>
      </c>
    </row>
  </sheetData>
  <sheetProtection algorithmName="SHA-512" hashValue="Q5WL++9TVS3+gCZCYR8FlnDC9qZf1CawxK6ynxk/T5bPUyOpm5Mv8sa9dY0uk+JLSktiq1o+atMtJPJ1ll1EVg==" saltValue="JQG+uZUxy9UrJZOlc33ls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671" priority="3" operator="equal">
      <formula>"OK"</formula>
    </cfRule>
    <cfRule type="cellIs" dxfId="670" priority="4" operator="equal">
      <formula>"warning"</formula>
    </cfRule>
  </conditionalFormatting>
  <conditionalFormatting sqref="F13">
    <cfRule type="cellIs" dxfId="669" priority="1" operator="equal">
      <formula>"OK"</formula>
    </cfRule>
    <cfRule type="cellIs" dxfId="668" priority="2" operator="equal">
      <formula>"Error!!"</formula>
    </cfRule>
  </conditionalFormatting>
  <conditionalFormatting sqref="E15:H15 K15:L15">
    <cfRule type="expression" dxfId="667" priority="5">
      <formula>+$D15=#REF!</formula>
    </cfRule>
    <cfRule type="expression" dxfId="666" priority="6">
      <formula>+$D15=#REF!</formula>
    </cfRule>
  </conditionalFormatting>
  <conditionalFormatting sqref="D15 K16:L16 D16:H34 J17:L34">
    <cfRule type="expression" dxfId="665" priority="7">
      <formula>+$D15=$AG$8</formula>
    </cfRule>
    <cfRule type="expression" dxfId="66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08CA5309-B9DC-4EB3-96A6-435AE7DCDD62}">
      <formula1>$AE$4:$AE$6</formula1>
    </dataValidation>
    <dataValidation type="list" allowBlank="1" showInputMessage="1" showErrorMessage="1" promptTitle="Trade Direction" prompt="Select from List" sqref="C15:C16" xr:uid="{BD08AE71-C7EC-4592-8F8D-22C6D56288D3}">
      <formula1>$AG$4:$AG$5</formula1>
    </dataValidation>
    <dataValidation type="list" allowBlank="1" showInputMessage="1" showErrorMessage="1" promptTitle="Instrument Type" prompt="Select Type from List_x000a_" sqref="B17:B34" xr:uid="{2D9A71D5-B039-4177-827F-64C144FC015E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7DDC-A67F-4755-88F6-9A0822B2356B}">
  <sheetPr codeName="Hoja23">
    <pageSetUpPr fitToPage="1"/>
  </sheetPr>
  <dimension ref="A1:AX35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COUNTA(Tabla336106734817[Inst])</f>
        <v>19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9.1599999999999984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9.1599999999999984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COUNTIF(Tabla336106734817[No. of Rs],"&gt;0")</f>
        <v>4</v>
      </c>
      <c r="G7" s="24">
        <f>IFERROR((F7/$F$6),"")</f>
        <v>0.21052631578947367</v>
      </c>
      <c r="H7" s="78">
        <f>IFERROR((+P13/F7),"")</f>
        <v>3.33</v>
      </c>
      <c r="I7" s="227">
        <f>H7/H9</f>
        <v>11.206730769230768</v>
      </c>
      <c r="J7" s="227">
        <f>AVERAGE(Tabla336106734817[No. of Rs])</f>
        <v>0.48210526315789465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COUNTIF(Tabla336106734817[No. of Rs],"=0")</f>
        <v>1</v>
      </c>
      <c r="G8" s="24">
        <f>IFERROR((F8/$F$6),"")</f>
        <v>5.2631578947368418E-2</v>
      </c>
      <c r="H8" s="78"/>
      <c r="I8" s="228"/>
      <c r="J8" s="228"/>
      <c r="K8" s="163"/>
      <c r="L8" s="212" t="s">
        <v>112</v>
      </c>
      <c r="M8" s="213"/>
      <c r="N8" s="195">
        <f ca="1">OFFSET(Tabla336106734817[[#Headers],[Equity]],1,0)</f>
        <v>109160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COUNTIF(Tabla336106734817[No. of Rs],"&lt;0")</f>
        <v>14</v>
      </c>
      <c r="G9" s="32">
        <f>IFERROR((F9/$F$6),"")</f>
        <v>0.73684210526315785</v>
      </c>
      <c r="H9" s="79">
        <f>IFERROR((-Q13/F9),"")</f>
        <v>0.29714285714285715</v>
      </c>
      <c r="I9" s="229"/>
      <c r="J9" s="229"/>
      <c r="K9" s="149"/>
      <c r="L9" s="230" t="s">
        <v>106</v>
      </c>
      <c r="M9" s="231"/>
      <c r="N9" s="125">
        <f ca="1">MAX(Tabla336106734817[Drawdown])</f>
        <v>1.6859080080630383E-2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OFFSET(Tabla336106734817[[#Headers],[Drawdown]],1,0)</f>
        <v>1.3287535026665461E-2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COUNTIF(Tabla336106734817[Heat],"&lt;0")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IF(COUNTIFS(Tabla336106734817[O/C],"O")&lt;1,"None",COUNTIFS(Tabla336106734817[O/C],"O"))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SUM(Tabla336106734817[No. of Rs])</f>
        <v>9.1599999999999984</v>
      </c>
      <c r="O13" s="42">
        <f>SUM(Tabla336106734817[Heat])</f>
        <v>0</v>
      </c>
      <c r="P13" s="43">
        <f>SUM(Tabla336106734817[[ TR WIN]])</f>
        <v>13.32</v>
      </c>
      <c r="Q13" s="43">
        <f>SUM(Tabla336106734817[[ TR LOSS]])</f>
        <v>-4.16</v>
      </c>
      <c r="R13" s="114"/>
      <c r="S13" s="115"/>
      <c r="T13" s="115"/>
      <c r="U13" s="121"/>
      <c r="V13" s="44">
        <f>SUM(Tabla336106734817[Currency])</f>
        <v>9.1599999999999984</v>
      </c>
      <c r="W13" s="44">
        <f>SUM(Tabla336106734817[Heat3])</f>
        <v>0</v>
      </c>
      <c r="X13" s="44">
        <f>SUM(Tabla336106734817[Commodities])</f>
        <v>0</v>
      </c>
      <c r="Y13" s="44">
        <f>SUM(Tabla336106734817[Heat4])</f>
        <v>0</v>
      </c>
      <c r="Z13" s="44">
        <f>SUM(Tabla336106734817[Index])</f>
        <v>0</v>
      </c>
      <c r="AA13" s="44">
        <f>SUM(Tabla336106734817[Heat5])</f>
        <v>0</v>
      </c>
      <c r="AB13" s="44">
        <f>SUM(Tabla336106734817[Cryptocurrency])</f>
        <v>0</v>
      </c>
      <c r="AC13" s="44">
        <f>SUM(Tabla336106734817[Heat6])</f>
        <v>0</v>
      </c>
      <c r="AD13" s="75">
        <f>AVERAGEIF(Tabla336106734817[Length of 
Trade],"&lt;&gt;0")</f>
        <v>4.0619517543868584</v>
      </c>
      <c r="AE13" s="75">
        <f>AVERAGEIF(Tabla336106734817[Win],"&lt;&gt;0")</f>
        <v>10.247569444445617</v>
      </c>
      <c r="AF13" s="75">
        <f>AVERAGEIF(Tabla336106734817[Loss],"&lt;&gt;0")</f>
        <v>2.2093253968263786</v>
      </c>
      <c r="AG13" s="76">
        <f>AVERAGEIF(Tabla336106734817[Breakeven],"&lt;&gt;0")</f>
        <v>5.2562499999985448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13</v>
      </c>
      <c r="D17" s="198" t="str">
        <f t="shared" ref="D17" si="0">IF(E17&lt;&gt;"",IF(K17&lt;&gt;"","C","O"),"")</f>
        <v>C</v>
      </c>
      <c r="E17" s="199">
        <v>44194.5</v>
      </c>
      <c r="F17" s="200" t="s">
        <v>116</v>
      </c>
      <c r="G17" s="201">
        <v>1.7728900000000001</v>
      </c>
      <c r="H17" s="201">
        <v>1.7941</v>
      </c>
      <c r="I17" s="202">
        <f t="shared" ref="I17" si="1">ABS(G17-H17)</f>
        <v>2.1209999999999951E-2</v>
      </c>
      <c r="J17" s="201">
        <v>1.7021900000000001</v>
      </c>
      <c r="K17" s="199">
        <v>44196.995833333334</v>
      </c>
      <c r="L17" s="201">
        <v>1.77597</v>
      </c>
      <c r="M17" s="203">
        <f t="shared" ref="M17" si="2">ROUND(IF(C17="L",(L17-G17),(G17-L17)),4)</f>
        <v>-3.0999999999999999E-3</v>
      </c>
      <c r="N17" s="204">
        <f t="shared" ref="N17" si="3">IFERROR(ROUND((M17/I17),2),"")</f>
        <v>-0.15</v>
      </c>
      <c r="O17" s="205">
        <f t="shared" ref="O17" si="4">IF(D17="O",IF(N17&lt;0,N17,0),0)</f>
        <v>0</v>
      </c>
      <c r="P17" s="206">
        <f t="shared" ref="P17" si="5">IF(N17&gt;= 0,N17,0)</f>
        <v>0</v>
      </c>
      <c r="Q17" s="206">
        <f t="shared" ref="Q17" si="6">IF(N17&lt;0,N17,0)</f>
        <v>-0.15</v>
      </c>
      <c r="R17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17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109160</v>
      </c>
      <c r="T17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110630</v>
      </c>
      <c r="U17" s="208">
        <f ca="1">IF(Tabla336106734817[[#This Row],[Equity]]&lt;Tabla336106734817[[#This Row],[Equity Peak]],(Tabla336106734817[[#This Row],[Equity Peak]]-Tabla336106734817[[#This Row],[Equity]])/Tabla336106734817[[#This Row],[Equity Peak]],"")</f>
        <v>1.3287535026665461E-2</v>
      </c>
      <c r="V17" s="209">
        <f t="shared" ref="V17" si="7">IF(B17="FX",N17,0)</f>
        <v>-0.15</v>
      </c>
      <c r="W17" s="209">
        <f t="shared" ref="W17" si="8">IF(D17="O",IF(V17&lt;0,V17,0),0)</f>
        <v>0</v>
      </c>
      <c r="X17" s="209">
        <f t="shared" ref="X17" si="9">IF(B17="COM",N17,0)</f>
        <v>0</v>
      </c>
      <c r="Y17" s="209">
        <f t="shared" ref="Y17" si="10">IF(D17="O",IF(X17&lt;0,X17,0),0)</f>
        <v>0</v>
      </c>
      <c r="Z17" s="209">
        <f t="shared" ref="Z17" si="11">IF(B17="IND",N17,0)</f>
        <v>0</v>
      </c>
      <c r="AA17" s="205">
        <f t="shared" ref="AA17" si="12">IF(D17="O",IF(Z17&lt;0,Z17,0),0)</f>
        <v>0</v>
      </c>
      <c r="AB17" s="209">
        <f t="shared" ref="AB17" si="13">IF(B17="CRYPTO",N17,0)</f>
        <v>0</v>
      </c>
      <c r="AC17" s="205">
        <f t="shared" ref="AC17" si="14">IF(D17="O",IF(AB17&lt;0,AB17,0),0)</f>
        <v>0</v>
      </c>
      <c r="AD17" s="210">
        <f t="shared" ref="AD17" si="15">IF(K17&lt;&gt;"",K17-E17,0)</f>
        <v>2.4958333333343035</v>
      </c>
      <c r="AE17" s="210">
        <f t="shared" ref="AE17" si="16">IF(N17&gt;0,AD17,0)</f>
        <v>0</v>
      </c>
      <c r="AF17" s="210">
        <f t="shared" ref="AF17" si="17">IF(N17&lt;0,AD17,0)</f>
        <v>2.4958333333343035</v>
      </c>
      <c r="AG17" s="210">
        <f t="shared" ref="AG17" si="18">IF(N17=0,AD17,0)</f>
        <v>0</v>
      </c>
    </row>
    <row r="18" spans="2:33" ht="15" customHeight="1" x14ac:dyDescent="0.3">
      <c r="B18" s="196" t="s">
        <v>7</v>
      </c>
      <c r="C18" s="197" t="s">
        <v>13</v>
      </c>
      <c r="D18" s="198" t="str">
        <f t="shared" ref="D18:D35" si="19">IF(E18&lt;&gt;"",IF(K18&lt;&gt;"","C","O"),"")</f>
        <v>C</v>
      </c>
      <c r="E18" s="199">
        <v>44167.5</v>
      </c>
      <c r="F18" s="200" t="s">
        <v>116</v>
      </c>
      <c r="G18" s="201">
        <v>1.8076399999999999</v>
      </c>
      <c r="H18" s="201">
        <v>1.8250999999999999</v>
      </c>
      <c r="I18" s="202">
        <f t="shared" ref="I18:I35" si="20">ABS(G18-H18)</f>
        <v>1.7460000000000031E-2</v>
      </c>
      <c r="J18" s="201">
        <v>1.7494400000000001</v>
      </c>
      <c r="K18" s="199">
        <v>44168.54791666667</v>
      </c>
      <c r="L18" s="201">
        <v>1.81013</v>
      </c>
      <c r="M18" s="203">
        <f t="shared" ref="M18:M35" si="21">ROUND(IF(C18="L",(L18-G18),(G18-L18)),4)</f>
        <v>-2.5000000000000001E-3</v>
      </c>
      <c r="N18" s="204">
        <f t="shared" ref="N18:N35" si="22">IFERROR(ROUND((M18/I18),2),"")</f>
        <v>-0.14000000000000001</v>
      </c>
      <c r="O18" s="205">
        <f t="shared" ref="O18:O35" si="23">IF(D18="O",IF(N18&lt;0,N18,0),0)</f>
        <v>0</v>
      </c>
      <c r="P18" s="206">
        <f t="shared" ref="P18:P35" si="24">IF(N18&gt;= 0,N18,0)</f>
        <v>0</v>
      </c>
      <c r="Q18" s="206">
        <f t="shared" ref="Q18:Q35" si="25">IF(N18&lt;0,N18,0)</f>
        <v>-0.14000000000000001</v>
      </c>
      <c r="R18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18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109310</v>
      </c>
      <c r="T18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110630</v>
      </c>
      <c r="U18" s="208">
        <f ca="1">IF(Tabla336106734817[[#This Row],[Equity]]&lt;Tabla336106734817[[#This Row],[Equity Peak]],(Tabla336106734817[[#This Row],[Equity Peak]]-Tabla336106734817[[#This Row],[Equity]])/Tabla336106734817[[#This Row],[Equity Peak]],"")</f>
        <v>1.1931664105577149E-2</v>
      </c>
      <c r="V18" s="209">
        <f t="shared" ref="V18:V35" si="26">IF(B18="FX",N18,0)</f>
        <v>-0.14000000000000001</v>
      </c>
      <c r="W18" s="209">
        <f t="shared" ref="W18:W35" si="27">IF(D18="O",IF(V18&lt;0,V18,0),0)</f>
        <v>0</v>
      </c>
      <c r="X18" s="209">
        <f t="shared" ref="X18:X35" si="28">IF(B18="COM",N18,0)</f>
        <v>0</v>
      </c>
      <c r="Y18" s="209">
        <f t="shared" ref="Y18:Y35" si="29">IF(D18="O",IF(X18&lt;0,X18,0),0)</f>
        <v>0</v>
      </c>
      <c r="Z18" s="209">
        <f t="shared" ref="Z18:Z35" si="30">IF(B18="IND",N18,0)</f>
        <v>0</v>
      </c>
      <c r="AA18" s="205">
        <f t="shared" ref="AA18:AA35" si="31">IF(D18="O",IF(Z18&lt;0,Z18,0),0)</f>
        <v>0</v>
      </c>
      <c r="AB18" s="209">
        <f t="shared" ref="AB18:AB35" si="32">IF(B18="CRYPTO",N18,0)</f>
        <v>0</v>
      </c>
      <c r="AC18" s="205">
        <f t="shared" ref="AC18:AC35" si="33">IF(D18="O",IF(AB18&lt;0,AB18,0),0)</f>
        <v>0</v>
      </c>
      <c r="AD18" s="210">
        <f t="shared" ref="AD18:AD35" si="34">IF(K18&lt;&gt;"",K18-E18,0)</f>
        <v>1.0479166666700621</v>
      </c>
      <c r="AE18" s="210">
        <f t="shared" ref="AE18:AE35" si="35">IF(N18&gt;0,AD18,0)</f>
        <v>0</v>
      </c>
      <c r="AF18" s="210">
        <f t="shared" ref="AF18:AF35" si="36">IF(N18&lt;0,AD18,0)</f>
        <v>1.0479166666700621</v>
      </c>
      <c r="AG18" s="210">
        <f t="shared" ref="AG18:AG35" si="37">IF(N18=0,AD18,0)</f>
        <v>0</v>
      </c>
    </row>
    <row r="19" spans="2:33" ht="15" customHeight="1" x14ac:dyDescent="0.3">
      <c r="B19" s="196" t="s">
        <v>7</v>
      </c>
      <c r="C19" s="197" t="s">
        <v>13</v>
      </c>
      <c r="D19" s="198" t="str">
        <f t="shared" si="19"/>
        <v>C</v>
      </c>
      <c r="E19" s="199">
        <v>44161.666666666664</v>
      </c>
      <c r="F19" s="200" t="s">
        <v>116</v>
      </c>
      <c r="G19" s="201">
        <v>1.8125599999999999</v>
      </c>
      <c r="H19" s="201">
        <v>1.83124</v>
      </c>
      <c r="I19" s="202">
        <f t="shared" si="20"/>
        <v>1.868000000000003E-2</v>
      </c>
      <c r="J19" s="201">
        <v>1.7502899999999999</v>
      </c>
      <c r="K19" s="199">
        <v>44165.708333333336</v>
      </c>
      <c r="L19" s="201">
        <v>1.81325</v>
      </c>
      <c r="M19" s="203">
        <f t="shared" si="21"/>
        <v>-6.9999999999999999E-4</v>
      </c>
      <c r="N19" s="204">
        <f t="shared" si="22"/>
        <v>-0.04</v>
      </c>
      <c r="O19" s="205">
        <f t="shared" si="23"/>
        <v>0</v>
      </c>
      <c r="P19" s="206">
        <f t="shared" si="24"/>
        <v>0</v>
      </c>
      <c r="Q19" s="206">
        <f t="shared" si="25"/>
        <v>-0.04</v>
      </c>
      <c r="R19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19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109450</v>
      </c>
      <c r="T19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110630</v>
      </c>
      <c r="U19" s="208">
        <f ca="1">IF(Tabla336106734817[[#This Row],[Equity]]&lt;Tabla336106734817[[#This Row],[Equity Peak]],(Tabla336106734817[[#This Row],[Equity Peak]]-Tabla336106734817[[#This Row],[Equity]])/Tabla336106734817[[#This Row],[Equity Peak]],"")</f>
        <v>1.0666184579228058E-2</v>
      </c>
      <c r="V19" s="209">
        <f t="shared" si="26"/>
        <v>-0.04</v>
      </c>
      <c r="W19" s="209">
        <f t="shared" si="27"/>
        <v>0</v>
      </c>
      <c r="X19" s="209">
        <f t="shared" si="28"/>
        <v>0</v>
      </c>
      <c r="Y19" s="209">
        <f t="shared" si="29"/>
        <v>0</v>
      </c>
      <c r="Z19" s="209">
        <f t="shared" si="30"/>
        <v>0</v>
      </c>
      <c r="AA19" s="205">
        <f t="shared" si="31"/>
        <v>0</v>
      </c>
      <c r="AB19" s="209">
        <f t="shared" si="32"/>
        <v>0</v>
      </c>
      <c r="AC19" s="205">
        <f t="shared" si="33"/>
        <v>0</v>
      </c>
      <c r="AD19" s="210">
        <f t="shared" si="34"/>
        <v>4.0416666666715173</v>
      </c>
      <c r="AE19" s="210">
        <f t="shared" si="35"/>
        <v>0</v>
      </c>
      <c r="AF19" s="210">
        <f t="shared" si="36"/>
        <v>4.0416666666715173</v>
      </c>
      <c r="AG19" s="210">
        <f t="shared" si="37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19"/>
        <v>C</v>
      </c>
      <c r="E20" s="199">
        <v>44138.666666666664</v>
      </c>
      <c r="F20" s="200" t="s">
        <v>116</v>
      </c>
      <c r="G20" s="201">
        <v>1.8246199999999999</v>
      </c>
      <c r="H20" s="201">
        <v>1.84375</v>
      </c>
      <c r="I20" s="202">
        <f t="shared" si="20"/>
        <v>1.9130000000000091E-2</v>
      </c>
      <c r="J20" s="201">
        <v>1.76084</v>
      </c>
      <c r="K20" s="199">
        <v>44139.179861111108</v>
      </c>
      <c r="L20" s="201">
        <v>1.8308899999999999</v>
      </c>
      <c r="M20" s="203">
        <f t="shared" si="21"/>
        <v>-6.3E-3</v>
      </c>
      <c r="N20" s="204">
        <f t="shared" si="22"/>
        <v>-0.33</v>
      </c>
      <c r="O20" s="205">
        <f t="shared" si="23"/>
        <v>0</v>
      </c>
      <c r="P20" s="206">
        <f t="shared" si="24"/>
        <v>0</v>
      </c>
      <c r="Q20" s="206">
        <f t="shared" si="25"/>
        <v>-0.33</v>
      </c>
      <c r="R20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0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109490</v>
      </c>
      <c r="T20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110630</v>
      </c>
      <c r="U20" s="208">
        <f ca="1">IF(Tabla336106734817[[#This Row],[Equity]]&lt;Tabla336106734817[[#This Row],[Equity Peak]],(Tabla336106734817[[#This Row],[Equity Peak]]-Tabla336106734817[[#This Row],[Equity]])/Tabla336106734817[[#This Row],[Equity Peak]],"")</f>
        <v>1.0304619000271175E-2</v>
      </c>
      <c r="V20" s="209">
        <f t="shared" si="26"/>
        <v>-0.33</v>
      </c>
      <c r="W20" s="209">
        <f t="shared" si="27"/>
        <v>0</v>
      </c>
      <c r="X20" s="209">
        <f t="shared" si="28"/>
        <v>0</v>
      </c>
      <c r="Y20" s="209">
        <f t="shared" si="29"/>
        <v>0</v>
      </c>
      <c r="Z20" s="209">
        <f t="shared" si="30"/>
        <v>0</v>
      </c>
      <c r="AA20" s="205">
        <f t="shared" si="31"/>
        <v>0</v>
      </c>
      <c r="AB20" s="209">
        <f t="shared" si="32"/>
        <v>0</v>
      </c>
      <c r="AC20" s="205">
        <f t="shared" si="33"/>
        <v>0</v>
      </c>
      <c r="AD20" s="210">
        <f t="shared" si="34"/>
        <v>0.51319444444379769</v>
      </c>
      <c r="AE20" s="210">
        <f t="shared" si="35"/>
        <v>0</v>
      </c>
      <c r="AF20" s="210">
        <f t="shared" si="36"/>
        <v>0.51319444444379769</v>
      </c>
      <c r="AG20" s="210">
        <f t="shared" si="37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19"/>
        <v>C</v>
      </c>
      <c r="E21" s="199">
        <v>44132.833333333336</v>
      </c>
      <c r="F21" s="200" t="s">
        <v>116</v>
      </c>
      <c r="G21" s="201">
        <v>1.8386800000000001</v>
      </c>
      <c r="H21" s="201">
        <v>1.8192999999999999</v>
      </c>
      <c r="I21" s="202">
        <f t="shared" si="20"/>
        <v>1.9380000000000175E-2</v>
      </c>
      <c r="J21" s="201">
        <v>1.9032899999999999</v>
      </c>
      <c r="K21" s="199">
        <v>44134.193055555559</v>
      </c>
      <c r="L21" s="201">
        <v>1.8334299999999999</v>
      </c>
      <c r="M21" s="203">
        <f t="shared" si="21"/>
        <v>-5.3E-3</v>
      </c>
      <c r="N21" s="204">
        <f t="shared" si="22"/>
        <v>-0.27</v>
      </c>
      <c r="O21" s="205">
        <f t="shared" si="23"/>
        <v>0</v>
      </c>
      <c r="P21" s="206">
        <f t="shared" si="24"/>
        <v>0</v>
      </c>
      <c r="Q21" s="206">
        <f t="shared" si="25"/>
        <v>-0.27</v>
      </c>
      <c r="R21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1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109820</v>
      </c>
      <c r="T21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110630</v>
      </c>
      <c r="U21" s="208">
        <f ca="1">IF(Tabla336106734817[[#This Row],[Equity]]&lt;Tabla336106734817[[#This Row],[Equity Peak]],(Tabla336106734817[[#This Row],[Equity Peak]]-Tabla336106734817[[#This Row],[Equity]])/Tabla336106734817[[#This Row],[Equity Peak]],"")</f>
        <v>7.3217029738768865E-3</v>
      </c>
      <c r="V21" s="209">
        <f t="shared" si="26"/>
        <v>-0.27</v>
      </c>
      <c r="W21" s="209">
        <f t="shared" si="27"/>
        <v>0</v>
      </c>
      <c r="X21" s="209">
        <f t="shared" si="28"/>
        <v>0</v>
      </c>
      <c r="Y21" s="209">
        <f t="shared" si="29"/>
        <v>0</v>
      </c>
      <c r="Z21" s="209">
        <f t="shared" si="30"/>
        <v>0</v>
      </c>
      <c r="AA21" s="205">
        <f t="shared" si="31"/>
        <v>0</v>
      </c>
      <c r="AB21" s="209">
        <f t="shared" si="32"/>
        <v>0</v>
      </c>
      <c r="AC21" s="205">
        <f t="shared" si="33"/>
        <v>0</v>
      </c>
      <c r="AD21" s="210">
        <f t="shared" si="34"/>
        <v>1.359722222223354</v>
      </c>
      <c r="AE21" s="210">
        <f t="shared" si="35"/>
        <v>0</v>
      </c>
      <c r="AF21" s="210">
        <f t="shared" si="36"/>
        <v>1.359722222223354</v>
      </c>
      <c r="AG21" s="210">
        <f t="shared" si="37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19"/>
        <v>C</v>
      </c>
      <c r="E22" s="199">
        <v>44116.017361111109</v>
      </c>
      <c r="F22" s="200" t="s">
        <v>116</v>
      </c>
      <c r="G22" s="201">
        <v>1.8000499999999999</v>
      </c>
      <c r="H22" s="201">
        <v>1.8206100000000001</v>
      </c>
      <c r="I22" s="202">
        <f t="shared" si="20"/>
        <v>2.0560000000000134E-2</v>
      </c>
      <c r="J22" s="201">
        <v>1.7315199999999999</v>
      </c>
      <c r="K22" s="199">
        <v>44116.744444444441</v>
      </c>
      <c r="L22" s="201">
        <v>1.81111</v>
      </c>
      <c r="M22" s="203">
        <f t="shared" si="21"/>
        <v>-1.11E-2</v>
      </c>
      <c r="N22" s="204">
        <f t="shared" si="22"/>
        <v>-0.54</v>
      </c>
      <c r="O22" s="205">
        <f t="shared" si="23"/>
        <v>0</v>
      </c>
      <c r="P22" s="206">
        <f t="shared" si="24"/>
        <v>0</v>
      </c>
      <c r="Q22" s="206">
        <f t="shared" si="25"/>
        <v>-0.54</v>
      </c>
      <c r="R22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2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110090</v>
      </c>
      <c r="T22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110630</v>
      </c>
      <c r="U22" s="208">
        <f ca="1">IF(Tabla336106734817[[#This Row],[Equity]]&lt;Tabla336106734817[[#This Row],[Equity Peak]],(Tabla336106734817[[#This Row],[Equity Peak]]-Tabla336106734817[[#This Row],[Equity]])/Tabla336106734817[[#This Row],[Equity Peak]],"")</f>
        <v>4.8811353159179246E-3</v>
      </c>
      <c r="V22" s="209">
        <f t="shared" si="26"/>
        <v>-0.54</v>
      </c>
      <c r="W22" s="209">
        <f t="shared" si="27"/>
        <v>0</v>
      </c>
      <c r="X22" s="209">
        <f t="shared" si="28"/>
        <v>0</v>
      </c>
      <c r="Y22" s="209">
        <f t="shared" si="29"/>
        <v>0</v>
      </c>
      <c r="Z22" s="209">
        <f t="shared" si="30"/>
        <v>0</v>
      </c>
      <c r="AA22" s="205">
        <f t="shared" si="31"/>
        <v>0</v>
      </c>
      <c r="AB22" s="209">
        <f t="shared" si="32"/>
        <v>0</v>
      </c>
      <c r="AC22" s="205">
        <f t="shared" si="33"/>
        <v>0</v>
      </c>
      <c r="AD22" s="210">
        <f t="shared" si="34"/>
        <v>0.72708333333139308</v>
      </c>
      <c r="AE22" s="210">
        <f t="shared" si="35"/>
        <v>0</v>
      </c>
      <c r="AF22" s="210">
        <f t="shared" si="36"/>
        <v>0.72708333333139308</v>
      </c>
      <c r="AG22" s="210">
        <f t="shared" si="37"/>
        <v>0</v>
      </c>
    </row>
    <row r="23" spans="2:33" ht="15" customHeight="1" x14ac:dyDescent="0.3">
      <c r="B23" s="196" t="s">
        <v>7</v>
      </c>
      <c r="C23" s="197" t="s">
        <v>13</v>
      </c>
      <c r="D23" s="198" t="str">
        <f t="shared" si="19"/>
        <v>C</v>
      </c>
      <c r="E23" s="199">
        <v>44081.5</v>
      </c>
      <c r="F23" s="200" t="s">
        <v>116</v>
      </c>
      <c r="G23" s="201">
        <v>1.8115600000000001</v>
      </c>
      <c r="H23" s="201">
        <v>1.8272600000000001</v>
      </c>
      <c r="I23" s="202">
        <f t="shared" si="20"/>
        <v>1.5700000000000047E-2</v>
      </c>
      <c r="J23" s="201">
        <v>1.7592300000000001</v>
      </c>
      <c r="K23" s="199">
        <v>44084.79791666667</v>
      </c>
      <c r="L23" s="201">
        <v>1.7592300000000001</v>
      </c>
      <c r="M23" s="203">
        <f t="shared" si="21"/>
        <v>5.2299999999999999E-2</v>
      </c>
      <c r="N23" s="204">
        <f t="shared" si="22"/>
        <v>3.33</v>
      </c>
      <c r="O23" s="205">
        <f t="shared" si="23"/>
        <v>0</v>
      </c>
      <c r="P23" s="206">
        <f t="shared" si="24"/>
        <v>3.33</v>
      </c>
      <c r="Q23" s="206">
        <f t="shared" si="25"/>
        <v>0</v>
      </c>
      <c r="R23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3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110630</v>
      </c>
      <c r="T23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110630</v>
      </c>
      <c r="U23" s="208" t="str">
        <f ca="1">IF(Tabla336106734817[[#This Row],[Equity]]&lt;Tabla336106734817[[#This Row],[Equity Peak]],(Tabla336106734817[[#This Row],[Equity Peak]]-Tabla336106734817[[#This Row],[Equity]])/Tabla336106734817[[#This Row],[Equity Peak]],"")</f>
        <v/>
      </c>
      <c r="V23" s="209">
        <f t="shared" si="26"/>
        <v>3.33</v>
      </c>
      <c r="W23" s="209">
        <f t="shared" si="27"/>
        <v>0</v>
      </c>
      <c r="X23" s="209">
        <f t="shared" si="28"/>
        <v>0</v>
      </c>
      <c r="Y23" s="209">
        <f t="shared" si="29"/>
        <v>0</v>
      </c>
      <c r="Z23" s="209">
        <f t="shared" si="30"/>
        <v>0</v>
      </c>
      <c r="AA23" s="205">
        <f t="shared" si="31"/>
        <v>0</v>
      </c>
      <c r="AB23" s="209">
        <f t="shared" si="32"/>
        <v>0</v>
      </c>
      <c r="AC23" s="205">
        <f t="shared" si="33"/>
        <v>0</v>
      </c>
      <c r="AD23" s="210">
        <f t="shared" si="34"/>
        <v>3.2979166666700621</v>
      </c>
      <c r="AE23" s="210">
        <f t="shared" si="35"/>
        <v>3.2979166666700621</v>
      </c>
      <c r="AF23" s="210">
        <f t="shared" si="36"/>
        <v>0</v>
      </c>
      <c r="AG23" s="210">
        <f t="shared" si="37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19"/>
        <v>C</v>
      </c>
      <c r="E24" s="199">
        <v>44070.333333333336</v>
      </c>
      <c r="F24" s="200" t="s">
        <v>116</v>
      </c>
      <c r="G24" s="201">
        <v>1.82483</v>
      </c>
      <c r="H24" s="201">
        <v>1.8411599999999999</v>
      </c>
      <c r="I24" s="202">
        <f t="shared" si="20"/>
        <v>1.6329999999999956E-2</v>
      </c>
      <c r="J24" s="201">
        <v>1.7703899999999999</v>
      </c>
      <c r="K24" s="199">
        <v>44075.589583333334</v>
      </c>
      <c r="L24" s="201">
        <v>1.82487</v>
      </c>
      <c r="M24" s="203">
        <f t="shared" si="21"/>
        <v>0</v>
      </c>
      <c r="N24" s="204">
        <f t="shared" si="22"/>
        <v>0</v>
      </c>
      <c r="O24" s="205">
        <f t="shared" si="23"/>
        <v>0</v>
      </c>
      <c r="P24" s="206">
        <f t="shared" si="24"/>
        <v>0</v>
      </c>
      <c r="Q24" s="206">
        <f t="shared" si="25"/>
        <v>0</v>
      </c>
      <c r="R24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4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107300</v>
      </c>
      <c r="T24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109140</v>
      </c>
      <c r="U24" s="208">
        <f ca="1">IF(Tabla336106734817[[#This Row],[Equity]]&lt;Tabla336106734817[[#This Row],[Equity Peak]],(Tabla336106734817[[#This Row],[Equity Peak]]-Tabla336106734817[[#This Row],[Equity]])/Tabla336106734817[[#This Row],[Equity Peak]],"")</f>
        <v>1.6859080080630383E-2</v>
      </c>
      <c r="V24" s="209">
        <f t="shared" si="26"/>
        <v>0</v>
      </c>
      <c r="W24" s="209">
        <f t="shared" si="27"/>
        <v>0</v>
      </c>
      <c r="X24" s="209">
        <f t="shared" si="28"/>
        <v>0</v>
      </c>
      <c r="Y24" s="209">
        <f t="shared" si="29"/>
        <v>0</v>
      </c>
      <c r="Z24" s="209">
        <f t="shared" si="30"/>
        <v>0</v>
      </c>
      <c r="AA24" s="205">
        <f t="shared" si="31"/>
        <v>0</v>
      </c>
      <c r="AB24" s="209">
        <f t="shared" si="32"/>
        <v>0</v>
      </c>
      <c r="AC24" s="205">
        <f t="shared" si="33"/>
        <v>0</v>
      </c>
      <c r="AD24" s="210">
        <f t="shared" si="34"/>
        <v>5.2562499999985448</v>
      </c>
      <c r="AE24" s="210">
        <f t="shared" si="35"/>
        <v>0</v>
      </c>
      <c r="AF24" s="210">
        <f t="shared" si="36"/>
        <v>0</v>
      </c>
      <c r="AG24" s="210">
        <f t="shared" si="37"/>
        <v>5.2562499999985448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19"/>
        <v>C</v>
      </c>
      <c r="E25" s="199">
        <v>44062.666666666664</v>
      </c>
      <c r="F25" s="200" t="s">
        <v>116</v>
      </c>
      <c r="G25" s="201">
        <v>1.8195600000000001</v>
      </c>
      <c r="H25" s="201">
        <v>1.83619</v>
      </c>
      <c r="I25" s="202">
        <f t="shared" si="20"/>
        <v>1.6629999999999923E-2</v>
      </c>
      <c r="J25" s="201">
        <v>1.76413</v>
      </c>
      <c r="K25" s="199">
        <v>44063.464583333334</v>
      </c>
      <c r="L25" s="201">
        <v>1.82786</v>
      </c>
      <c r="M25" s="203">
        <f t="shared" si="21"/>
        <v>-8.3000000000000001E-3</v>
      </c>
      <c r="N25" s="204">
        <f t="shared" si="22"/>
        <v>-0.5</v>
      </c>
      <c r="O25" s="205">
        <f t="shared" si="23"/>
        <v>0</v>
      </c>
      <c r="P25" s="206">
        <f t="shared" si="24"/>
        <v>0</v>
      </c>
      <c r="Q25" s="206">
        <f t="shared" si="25"/>
        <v>-0.5</v>
      </c>
      <c r="R25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5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107300</v>
      </c>
      <c r="T25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109140</v>
      </c>
      <c r="U25" s="208">
        <f ca="1">IF(Tabla336106734817[[#This Row],[Equity]]&lt;Tabla336106734817[[#This Row],[Equity Peak]],(Tabla336106734817[[#This Row],[Equity Peak]]-Tabla336106734817[[#This Row],[Equity]])/Tabla336106734817[[#This Row],[Equity Peak]],"")</f>
        <v>1.6859080080630383E-2</v>
      </c>
      <c r="V25" s="209">
        <f t="shared" si="26"/>
        <v>-0.5</v>
      </c>
      <c r="W25" s="209">
        <f t="shared" si="27"/>
        <v>0</v>
      </c>
      <c r="X25" s="209">
        <f t="shared" si="28"/>
        <v>0</v>
      </c>
      <c r="Y25" s="209">
        <f t="shared" si="29"/>
        <v>0</v>
      </c>
      <c r="Z25" s="209">
        <f t="shared" si="30"/>
        <v>0</v>
      </c>
      <c r="AA25" s="205">
        <f t="shared" si="31"/>
        <v>0</v>
      </c>
      <c r="AB25" s="209">
        <f t="shared" si="32"/>
        <v>0</v>
      </c>
      <c r="AC25" s="205">
        <f t="shared" si="33"/>
        <v>0</v>
      </c>
      <c r="AD25" s="210">
        <f t="shared" si="34"/>
        <v>0.79791666667006211</v>
      </c>
      <c r="AE25" s="210">
        <f t="shared" si="35"/>
        <v>0</v>
      </c>
      <c r="AF25" s="210">
        <f t="shared" si="36"/>
        <v>0.79791666667006211</v>
      </c>
      <c r="AG25" s="210">
        <f t="shared" si="37"/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19"/>
        <v>C</v>
      </c>
      <c r="E26" s="199">
        <v>44061.017361111109</v>
      </c>
      <c r="F26" s="200" t="s">
        <v>116</v>
      </c>
      <c r="G26" s="201">
        <v>1.81348</v>
      </c>
      <c r="H26" s="201">
        <v>1.8303400000000001</v>
      </c>
      <c r="I26" s="202">
        <f t="shared" si="20"/>
        <v>1.6860000000000097E-2</v>
      </c>
      <c r="J26" s="201">
        <v>1.7572700000000001</v>
      </c>
      <c r="K26" s="199">
        <v>44061.711111111108</v>
      </c>
      <c r="L26" s="201">
        <v>1.8245</v>
      </c>
      <c r="M26" s="203">
        <f t="shared" si="21"/>
        <v>-1.0999999999999999E-2</v>
      </c>
      <c r="N26" s="204">
        <f t="shared" si="22"/>
        <v>-0.65</v>
      </c>
      <c r="O26" s="205">
        <f t="shared" si="23"/>
        <v>0</v>
      </c>
      <c r="P26" s="206">
        <f t="shared" si="24"/>
        <v>0</v>
      </c>
      <c r="Q26" s="206">
        <f t="shared" si="25"/>
        <v>-0.65</v>
      </c>
      <c r="R26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6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107800</v>
      </c>
      <c r="T26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109140</v>
      </c>
      <c r="U26" s="208">
        <f ca="1">IF(Tabla336106734817[[#This Row],[Equity]]&lt;Tabla336106734817[[#This Row],[Equity Peak]],(Tabla336106734817[[#This Row],[Equity Peak]]-Tabla336106734817[[#This Row],[Equity]])/Tabla336106734817[[#This Row],[Equity Peak]],"")</f>
        <v>1.2277808319589517E-2</v>
      </c>
      <c r="V26" s="209">
        <f t="shared" si="26"/>
        <v>-0.65</v>
      </c>
      <c r="W26" s="209">
        <f t="shared" si="27"/>
        <v>0</v>
      </c>
      <c r="X26" s="209">
        <f t="shared" si="28"/>
        <v>0</v>
      </c>
      <c r="Y26" s="209">
        <f t="shared" si="29"/>
        <v>0</v>
      </c>
      <c r="Z26" s="209">
        <f t="shared" si="30"/>
        <v>0</v>
      </c>
      <c r="AA26" s="205">
        <f t="shared" si="31"/>
        <v>0</v>
      </c>
      <c r="AB26" s="209">
        <f t="shared" si="32"/>
        <v>0</v>
      </c>
      <c r="AC26" s="205">
        <f t="shared" si="33"/>
        <v>0</v>
      </c>
      <c r="AD26" s="210">
        <f t="shared" si="34"/>
        <v>0.69374999999854481</v>
      </c>
      <c r="AE26" s="210">
        <f t="shared" si="35"/>
        <v>0</v>
      </c>
      <c r="AF26" s="210">
        <f t="shared" si="36"/>
        <v>0.69374999999854481</v>
      </c>
      <c r="AG26" s="210">
        <f t="shared" si="37"/>
        <v>0</v>
      </c>
    </row>
    <row r="27" spans="2:33" ht="15" customHeight="1" x14ac:dyDescent="0.3">
      <c r="B27" s="196" t="s">
        <v>7</v>
      </c>
      <c r="C27" s="197" t="s">
        <v>13</v>
      </c>
      <c r="D27" s="198" t="str">
        <f t="shared" si="19"/>
        <v>C</v>
      </c>
      <c r="E27" s="199">
        <v>44027.333333333336</v>
      </c>
      <c r="F27" s="200" t="s">
        <v>116</v>
      </c>
      <c r="G27" s="201">
        <v>1.7972699999999999</v>
      </c>
      <c r="H27" s="201">
        <v>1.8136000000000001</v>
      </c>
      <c r="I27" s="202">
        <f t="shared" si="20"/>
        <v>1.6330000000000178E-2</v>
      </c>
      <c r="J27" s="201">
        <v>1.7428399999999999</v>
      </c>
      <c r="K27" s="199">
        <v>44032.542361111111</v>
      </c>
      <c r="L27" s="201">
        <v>1.80036</v>
      </c>
      <c r="M27" s="203">
        <f t="shared" si="21"/>
        <v>-3.0999999999999999E-3</v>
      </c>
      <c r="N27" s="204">
        <f t="shared" si="22"/>
        <v>-0.19</v>
      </c>
      <c r="O27" s="205">
        <f t="shared" si="23"/>
        <v>0</v>
      </c>
      <c r="P27" s="206">
        <f t="shared" si="24"/>
        <v>0</v>
      </c>
      <c r="Q27" s="206">
        <f t="shared" si="25"/>
        <v>-0.19</v>
      </c>
      <c r="R27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7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108450</v>
      </c>
      <c r="T27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109140</v>
      </c>
      <c r="U27" s="208">
        <f ca="1">IF(Tabla336106734817[[#This Row],[Equity]]&lt;Tabla336106734817[[#This Row],[Equity Peak]],(Tabla336106734817[[#This Row],[Equity Peak]]-Tabla336106734817[[#This Row],[Equity]])/Tabla336106734817[[#This Row],[Equity Peak]],"")</f>
        <v>6.3221550302363936E-3</v>
      </c>
      <c r="V27" s="209">
        <f t="shared" si="26"/>
        <v>-0.19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0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5.2090277777751908</v>
      </c>
      <c r="AE27" s="210">
        <f t="shared" si="35"/>
        <v>0</v>
      </c>
      <c r="AF27" s="210">
        <f t="shared" si="36"/>
        <v>5.2090277777751908</v>
      </c>
      <c r="AG27" s="210">
        <f t="shared" si="37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19"/>
        <v>C</v>
      </c>
      <c r="E28" s="199">
        <v>43998.333333333336</v>
      </c>
      <c r="F28" s="200" t="s">
        <v>116</v>
      </c>
      <c r="G28" s="201">
        <v>1.8214699999999999</v>
      </c>
      <c r="H28" s="201">
        <v>1.8435900000000001</v>
      </c>
      <c r="I28" s="202">
        <f t="shared" si="20"/>
        <v>2.212000000000014E-2</v>
      </c>
      <c r="J28" s="201">
        <v>1.7477400000000001</v>
      </c>
      <c r="K28" s="199">
        <v>43998.738888888889</v>
      </c>
      <c r="L28" s="201">
        <v>1.83253</v>
      </c>
      <c r="M28" s="203">
        <f t="shared" si="21"/>
        <v>-1.11E-2</v>
      </c>
      <c r="N28" s="204">
        <f t="shared" si="22"/>
        <v>-0.5</v>
      </c>
      <c r="O28" s="205">
        <f t="shared" si="23"/>
        <v>0</v>
      </c>
      <c r="P28" s="206">
        <f t="shared" si="24"/>
        <v>0</v>
      </c>
      <c r="Q28" s="206">
        <f t="shared" si="25"/>
        <v>-0.5</v>
      </c>
      <c r="R28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8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108640</v>
      </c>
      <c r="T28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109140</v>
      </c>
      <c r="U28" s="208">
        <f ca="1">IF(Tabla336106734817[[#This Row],[Equity]]&lt;Tabla336106734817[[#This Row],[Equity Peak]],(Tabla336106734817[[#This Row],[Equity Peak]]-Tabla336106734817[[#This Row],[Equity]])/Tabla336106734817[[#This Row],[Equity Peak]],"")</f>
        <v>4.5812717610408654E-3</v>
      </c>
      <c r="V28" s="209">
        <f t="shared" si="26"/>
        <v>-0.5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0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0.40555555555329192</v>
      </c>
      <c r="AE28" s="210">
        <f t="shared" si="35"/>
        <v>0</v>
      </c>
      <c r="AF28" s="210">
        <f t="shared" si="36"/>
        <v>0.40555555555329192</v>
      </c>
      <c r="AG28" s="210">
        <f t="shared" si="37"/>
        <v>0</v>
      </c>
    </row>
    <row r="29" spans="2:33" ht="15" customHeight="1" x14ac:dyDescent="0.3">
      <c r="B29" s="196" t="s">
        <v>7</v>
      </c>
      <c r="C29" s="197" t="s">
        <v>13</v>
      </c>
      <c r="D29" s="198" t="str">
        <f t="shared" si="19"/>
        <v>C</v>
      </c>
      <c r="E29" s="199">
        <v>43957.5</v>
      </c>
      <c r="F29" s="200" t="s">
        <v>116</v>
      </c>
      <c r="G29" s="201">
        <v>1.92567</v>
      </c>
      <c r="H29" s="201">
        <v>1.9503699999999999</v>
      </c>
      <c r="I29" s="202">
        <f t="shared" si="20"/>
        <v>2.4699999999999944E-2</v>
      </c>
      <c r="J29" s="201">
        <v>1.84335</v>
      </c>
      <c r="K29" s="199">
        <v>43983.197222222225</v>
      </c>
      <c r="L29" s="201">
        <v>1.84335</v>
      </c>
      <c r="M29" s="203">
        <f t="shared" si="21"/>
        <v>8.2299999999999998E-2</v>
      </c>
      <c r="N29" s="204">
        <f t="shared" si="22"/>
        <v>3.33</v>
      </c>
      <c r="O29" s="205">
        <f t="shared" si="23"/>
        <v>0</v>
      </c>
      <c r="P29" s="206">
        <f t="shared" si="24"/>
        <v>3.33</v>
      </c>
      <c r="Q29" s="206">
        <f t="shared" si="25"/>
        <v>0</v>
      </c>
      <c r="R29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9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109140</v>
      </c>
      <c r="T29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109140</v>
      </c>
      <c r="U29" s="208" t="str">
        <f ca="1">IF(Tabla336106734817[[#This Row],[Equity]]&lt;Tabla336106734817[[#This Row],[Equity Peak]],(Tabla336106734817[[#This Row],[Equity Peak]]-Tabla336106734817[[#This Row],[Equity]])/Tabla336106734817[[#This Row],[Equity Peak]],"")</f>
        <v/>
      </c>
      <c r="V29" s="209">
        <f t="shared" si="26"/>
        <v>3.33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0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25.697222222224809</v>
      </c>
      <c r="AE29" s="210">
        <f t="shared" si="35"/>
        <v>25.697222222224809</v>
      </c>
      <c r="AF29" s="210">
        <f t="shared" si="36"/>
        <v>0</v>
      </c>
      <c r="AG29" s="210">
        <f t="shared" si="37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19"/>
        <v>C</v>
      </c>
      <c r="E30" s="199">
        <v>43955.333333333336</v>
      </c>
      <c r="F30" s="200" t="s">
        <v>116</v>
      </c>
      <c r="G30" s="201">
        <v>1.9476899999999999</v>
      </c>
      <c r="H30" s="201">
        <v>1.9214500000000001</v>
      </c>
      <c r="I30" s="202">
        <f t="shared" si="20"/>
        <v>2.6239999999999819E-2</v>
      </c>
      <c r="J30" s="201">
        <v>2.0351499999999998</v>
      </c>
      <c r="K30" s="199">
        <v>43955.513194444444</v>
      </c>
      <c r="L30" s="201">
        <v>1.9346099999999999</v>
      </c>
      <c r="M30" s="203">
        <f t="shared" si="21"/>
        <v>-1.3100000000000001E-2</v>
      </c>
      <c r="N30" s="204">
        <f t="shared" si="22"/>
        <v>-0.5</v>
      </c>
      <c r="O30" s="205">
        <f t="shared" si="23"/>
        <v>0</v>
      </c>
      <c r="P30" s="206">
        <f t="shared" si="24"/>
        <v>0</v>
      </c>
      <c r="Q30" s="206">
        <f t="shared" si="25"/>
        <v>-0.5</v>
      </c>
      <c r="R30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30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105810</v>
      </c>
      <c r="T30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106450</v>
      </c>
      <c r="U30" s="208">
        <f ca="1">IF(Tabla336106734817[[#This Row],[Equity]]&lt;Tabla336106734817[[#This Row],[Equity Peak]],(Tabla336106734817[[#This Row],[Equity Peak]]-Tabla336106734817[[#This Row],[Equity]])/Tabla336106734817[[#This Row],[Equity Peak]],"")</f>
        <v>6.0122123062470645E-3</v>
      </c>
      <c r="V30" s="209">
        <f t="shared" si="26"/>
        <v>-0.5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0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0.17986111110803904</v>
      </c>
      <c r="AE30" s="210">
        <f t="shared" si="35"/>
        <v>0</v>
      </c>
      <c r="AF30" s="210">
        <f t="shared" si="36"/>
        <v>0.17986111110803904</v>
      </c>
      <c r="AG30" s="210">
        <f t="shared" si="37"/>
        <v>0</v>
      </c>
    </row>
    <row r="31" spans="2:33" ht="15" customHeight="1" x14ac:dyDescent="0.3">
      <c r="B31" s="196" t="s">
        <v>7</v>
      </c>
      <c r="C31" s="197" t="s">
        <v>15</v>
      </c>
      <c r="D31" s="198" t="str">
        <f t="shared" si="19"/>
        <v>C</v>
      </c>
      <c r="E31" s="199">
        <v>43917.166666666664</v>
      </c>
      <c r="F31" s="200" t="s">
        <v>116</v>
      </c>
      <c r="G31" s="201">
        <v>2.0107300000000001</v>
      </c>
      <c r="H31" s="201">
        <v>1.9496199999999999</v>
      </c>
      <c r="I31" s="202">
        <f t="shared" si="20"/>
        <v>6.111000000000022E-2</v>
      </c>
      <c r="J31" s="201">
        <v>2.2144300000000001</v>
      </c>
      <c r="K31" s="199">
        <v>43921.101388888892</v>
      </c>
      <c r="L31" s="201">
        <v>2.0024000000000002</v>
      </c>
      <c r="M31" s="203">
        <f t="shared" si="21"/>
        <v>-8.3000000000000001E-3</v>
      </c>
      <c r="N31" s="204">
        <f t="shared" si="22"/>
        <v>-0.14000000000000001</v>
      </c>
      <c r="O31" s="205">
        <f t="shared" si="23"/>
        <v>0</v>
      </c>
      <c r="P31" s="206">
        <f t="shared" si="24"/>
        <v>0</v>
      </c>
      <c r="Q31" s="206">
        <f t="shared" si="25"/>
        <v>-0.14000000000000001</v>
      </c>
      <c r="R31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31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106310</v>
      </c>
      <c r="T31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106450</v>
      </c>
      <c r="U31" s="208">
        <f ca="1">IF(Tabla336106734817[[#This Row],[Equity]]&lt;Tabla336106734817[[#This Row],[Equity Peak]],(Tabla336106734817[[#This Row],[Equity Peak]]-Tabla336106734817[[#This Row],[Equity]])/Tabla336106734817[[#This Row],[Equity Peak]],"")</f>
        <v>1.3151714419915453E-3</v>
      </c>
      <c r="V31" s="209">
        <f t="shared" si="26"/>
        <v>-0.14000000000000001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3.9347222222277196</v>
      </c>
      <c r="AE31" s="210">
        <f t="shared" si="35"/>
        <v>0</v>
      </c>
      <c r="AF31" s="210">
        <f t="shared" si="36"/>
        <v>3.9347222222277196</v>
      </c>
      <c r="AG31" s="210">
        <f t="shared" si="37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19"/>
        <v>C</v>
      </c>
      <c r="E32" s="199">
        <v>43896.833333333336</v>
      </c>
      <c r="F32" s="200" t="s">
        <v>116</v>
      </c>
      <c r="G32" s="201">
        <v>1.9606399999999999</v>
      </c>
      <c r="H32" s="201">
        <v>1.93855</v>
      </c>
      <c r="I32" s="202">
        <f t="shared" si="20"/>
        <v>2.2089999999999943E-2</v>
      </c>
      <c r="J32" s="201">
        <v>2.0342600000000002</v>
      </c>
      <c r="K32" s="199">
        <v>43899.243750000001</v>
      </c>
      <c r="L32" s="201">
        <v>2.0342600000000002</v>
      </c>
      <c r="M32" s="203">
        <f t="shared" si="21"/>
        <v>7.3599999999999999E-2</v>
      </c>
      <c r="N32" s="204">
        <f t="shared" si="22"/>
        <v>3.33</v>
      </c>
      <c r="O32" s="205">
        <f t="shared" si="23"/>
        <v>0</v>
      </c>
      <c r="P32" s="206">
        <f t="shared" si="24"/>
        <v>3.33</v>
      </c>
      <c r="Q32" s="206">
        <f t="shared" si="25"/>
        <v>0</v>
      </c>
      <c r="R32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32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106450</v>
      </c>
      <c r="T32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106450</v>
      </c>
      <c r="U32" s="208" t="str">
        <f ca="1">IF(Tabla336106734817[[#This Row],[Equity]]&lt;Tabla336106734817[[#This Row],[Equity Peak]],(Tabla336106734817[[#This Row],[Equity Peak]]-Tabla336106734817[[#This Row],[Equity]])/Tabla336106734817[[#This Row],[Equity Peak]],"")</f>
        <v/>
      </c>
      <c r="V32" s="209">
        <f t="shared" si="26"/>
        <v>3.33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2.4104166666656965</v>
      </c>
      <c r="AE32" s="210">
        <f t="shared" si="35"/>
        <v>2.4104166666656965</v>
      </c>
      <c r="AF32" s="210">
        <f t="shared" si="36"/>
        <v>0</v>
      </c>
      <c r="AG32" s="210">
        <f t="shared" si="37"/>
        <v>0</v>
      </c>
    </row>
    <row r="33" spans="2:33" ht="15" customHeight="1" x14ac:dyDescent="0.3">
      <c r="B33" s="196" t="s">
        <v>7</v>
      </c>
      <c r="C33" s="197" t="s">
        <v>15</v>
      </c>
      <c r="D33" s="198" t="str">
        <f t="shared" si="19"/>
        <v>C</v>
      </c>
      <c r="E33" s="199">
        <v>43875.017361111109</v>
      </c>
      <c r="F33" s="200" t="s">
        <v>116</v>
      </c>
      <c r="G33" s="201">
        <v>1.94001</v>
      </c>
      <c r="H33" s="201">
        <v>1.9216800000000001</v>
      </c>
      <c r="I33" s="202">
        <f t="shared" si="20"/>
        <v>1.8329999999999957E-2</v>
      </c>
      <c r="J33" s="201">
        <v>2.0011100000000002</v>
      </c>
      <c r="K33" s="199">
        <v>43880.436111111114</v>
      </c>
      <c r="L33" s="201">
        <v>1.9371</v>
      </c>
      <c r="M33" s="203">
        <f t="shared" si="21"/>
        <v>-2.8999999999999998E-3</v>
      </c>
      <c r="N33" s="204">
        <f t="shared" si="22"/>
        <v>-0.16</v>
      </c>
      <c r="O33" s="205">
        <f t="shared" si="23"/>
        <v>0</v>
      </c>
      <c r="P33" s="206">
        <f t="shared" si="24"/>
        <v>0</v>
      </c>
      <c r="Q33" s="206">
        <f t="shared" si="25"/>
        <v>-0.16</v>
      </c>
      <c r="R33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33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103120</v>
      </c>
      <c r="T33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103280</v>
      </c>
      <c r="U33" s="208">
        <f ca="1">IF(Tabla336106734817[[#This Row],[Equity]]&lt;Tabla336106734817[[#This Row],[Equity Peak]],(Tabla336106734817[[#This Row],[Equity Peak]]-Tabla336106734817[[#This Row],[Equity]])/Tabla336106734817[[#This Row],[Equity Peak]],"")</f>
        <v>1.5491866769945779E-3</v>
      </c>
      <c r="V33" s="209">
        <f t="shared" si="26"/>
        <v>-0.16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5.4187500000043656</v>
      </c>
      <c r="AE33" s="210">
        <f t="shared" si="35"/>
        <v>0</v>
      </c>
      <c r="AF33" s="210">
        <f t="shared" si="36"/>
        <v>5.4187500000043656</v>
      </c>
      <c r="AG33" s="210">
        <f t="shared" si="37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19"/>
        <v>C</v>
      </c>
      <c r="E34" s="199">
        <v>43851.017361111109</v>
      </c>
      <c r="F34" s="200" t="s">
        <v>116</v>
      </c>
      <c r="G34" s="201">
        <v>1.8903099999999999</v>
      </c>
      <c r="H34" s="201">
        <v>1.87351</v>
      </c>
      <c r="I34" s="202">
        <f t="shared" si="20"/>
        <v>1.6799999999999926E-2</v>
      </c>
      <c r="J34" s="201">
        <v>1.9462999999999999</v>
      </c>
      <c r="K34" s="199">
        <v>43860.602083333331</v>
      </c>
      <c r="L34" s="201">
        <v>1.9462999999999999</v>
      </c>
      <c r="M34" s="203">
        <f t="shared" si="21"/>
        <v>5.6000000000000001E-2</v>
      </c>
      <c r="N34" s="204">
        <f t="shared" si="22"/>
        <v>3.33</v>
      </c>
      <c r="O34" s="205">
        <f t="shared" si="23"/>
        <v>0</v>
      </c>
      <c r="P34" s="206">
        <f t="shared" si="24"/>
        <v>3.33</v>
      </c>
      <c r="Q34" s="206">
        <f t="shared" si="25"/>
        <v>0</v>
      </c>
      <c r="R34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34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103280</v>
      </c>
      <c r="T34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103280</v>
      </c>
      <c r="U34" s="208" t="str">
        <f ca="1">IF(Tabla336106734817[[#This Row],[Equity]]&lt;Tabla336106734817[[#This Row],[Equity Peak]],(Tabla336106734817[[#This Row],[Equity Peak]]-Tabla336106734817[[#This Row],[Equity]])/Tabla336106734817[[#This Row],[Equity Peak]],"")</f>
        <v/>
      </c>
      <c r="V34" s="209">
        <f t="shared" si="26"/>
        <v>3.33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9.5847222222218988</v>
      </c>
      <c r="AE34" s="210">
        <f t="shared" si="35"/>
        <v>9.5847222222218988</v>
      </c>
      <c r="AF34" s="210">
        <f t="shared" si="36"/>
        <v>0</v>
      </c>
      <c r="AG34" s="210">
        <f t="shared" si="37"/>
        <v>0</v>
      </c>
    </row>
    <row r="35" spans="2:33" ht="15" customHeight="1" x14ac:dyDescent="0.3">
      <c r="B35" s="196" t="s">
        <v>7</v>
      </c>
      <c r="C35" s="197" t="s">
        <v>15</v>
      </c>
      <c r="D35" s="198" t="str">
        <f t="shared" si="19"/>
        <v>C</v>
      </c>
      <c r="E35" s="199">
        <v>43836.666666666664</v>
      </c>
      <c r="F35" s="200" t="s">
        <v>116</v>
      </c>
      <c r="G35" s="201">
        <v>1.8922399999999999</v>
      </c>
      <c r="H35" s="201">
        <v>1.87225</v>
      </c>
      <c r="I35" s="202">
        <f t="shared" si="20"/>
        <v>1.9989999999999952E-2</v>
      </c>
      <c r="J35" s="201">
        <v>1.9588699999999999</v>
      </c>
      <c r="K35" s="199">
        <v>43840.772222222222</v>
      </c>
      <c r="L35" s="201">
        <v>1.8913800000000001</v>
      </c>
      <c r="M35" s="203">
        <f t="shared" si="21"/>
        <v>-8.9999999999999998E-4</v>
      </c>
      <c r="N35" s="204">
        <f t="shared" si="22"/>
        <v>-0.05</v>
      </c>
      <c r="O35" s="205">
        <f t="shared" si="23"/>
        <v>0</v>
      </c>
      <c r="P35" s="206">
        <f t="shared" si="24"/>
        <v>0</v>
      </c>
      <c r="Q35" s="206">
        <f t="shared" si="25"/>
        <v>-0.05</v>
      </c>
      <c r="R35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Yes</v>
      </c>
      <c r="S35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99950</v>
      </c>
      <c r="T35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100000</v>
      </c>
      <c r="U35" s="208">
        <f ca="1">IF(Tabla336106734817[[#This Row],[Equity]]&lt;Tabla336106734817[[#This Row],[Equity Peak]],(Tabla336106734817[[#This Row],[Equity Peak]]-Tabla336106734817[[#This Row],[Equity]])/Tabla336106734817[[#This Row],[Equity Peak]],"")</f>
        <v>5.0000000000000001E-4</v>
      </c>
      <c r="V35" s="209">
        <f t="shared" si="26"/>
        <v>-0.05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4.1055555555576575</v>
      </c>
      <c r="AE35" s="210">
        <f t="shared" si="35"/>
        <v>0</v>
      </c>
      <c r="AF35" s="210">
        <f t="shared" si="36"/>
        <v>4.1055555555576575</v>
      </c>
      <c r="AG35" s="210">
        <f t="shared" si="37"/>
        <v>0</v>
      </c>
    </row>
  </sheetData>
  <sheetProtection algorithmName="SHA-512" hashValue="8WJh4V3fYOtDZidm0u46KUd8mulEggwldPORBgq7fFyRPsDXl6C7B14HjvC4olbZJAq88ud3bMYdzMeqpXJ0wQ==" saltValue="KsXg5zdrG++uewzFfbSgL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629" priority="3" operator="equal">
      <formula>"OK"</formula>
    </cfRule>
    <cfRule type="cellIs" dxfId="628" priority="4" operator="equal">
      <formula>"warning"</formula>
    </cfRule>
  </conditionalFormatting>
  <conditionalFormatting sqref="F13">
    <cfRule type="cellIs" dxfId="627" priority="1" operator="equal">
      <formula>"OK"</formula>
    </cfRule>
    <cfRule type="cellIs" dxfId="626" priority="2" operator="equal">
      <formula>"Error!!"</formula>
    </cfRule>
  </conditionalFormatting>
  <conditionalFormatting sqref="E15:H15 K15:L15">
    <cfRule type="expression" dxfId="625" priority="5">
      <formula>+$D15=#REF!</formula>
    </cfRule>
    <cfRule type="expression" dxfId="624" priority="6">
      <formula>+$D15=#REF!</formula>
    </cfRule>
  </conditionalFormatting>
  <conditionalFormatting sqref="D15 K16:L16 D16:H35 J17:L35">
    <cfRule type="expression" dxfId="623" priority="7">
      <formula>+$D15=$AG$8</formula>
    </cfRule>
    <cfRule type="expression" dxfId="62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2A568864-2EE3-4A1C-A34D-492E5A030AFD}">
      <formula1>$AE$4:$AE$6</formula1>
    </dataValidation>
    <dataValidation type="list" allowBlank="1" showInputMessage="1" showErrorMessage="1" promptTitle="Trade Direction" prompt="Select from List" sqref="C15:C16" xr:uid="{8A02DE07-3E5D-430E-9D38-340A608EF1BB}">
      <formula1>$AG$4:$AG$5</formula1>
    </dataValidation>
    <dataValidation type="list" allowBlank="1" showInputMessage="1" showErrorMessage="1" promptTitle="Instrument Type" prompt="Select Type from List_x000a_" sqref="B17:B35" xr:uid="{32C0367F-6EE6-4BA7-8D9D-D78FD0C0EA7C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79B3-5CCC-43EF-A509-19C994233E82}">
  <sheetPr codeName="Hoja13">
    <pageSetUpPr fitToPage="1"/>
  </sheetPr>
  <dimension ref="A1:AX38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COUNTA(Tabla33610673486[Inst])</f>
        <v>22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4.9399999999999986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4.9399999999999986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COUNTIF(Tabla33610673486[No. of Rs],"&gt;0")</f>
        <v>6</v>
      </c>
      <c r="G7" s="24">
        <f>IFERROR((F7/$F$6),"")</f>
        <v>0.27272727272727271</v>
      </c>
      <c r="H7" s="78">
        <f>IFERROR((+P13/F7),"")</f>
        <v>2.3983333333333334</v>
      </c>
      <c r="I7" s="227">
        <f>H7/H9</f>
        <v>4.0606701940035279</v>
      </c>
      <c r="J7" s="227">
        <f>AVERAGE(Tabla33610673486[No. of Rs])</f>
        <v>0.22454545454545449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COUNTIF(Tabla33610673486[No.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OFFSET(Tabla33610673486[[#Headers],[Equity]],1,0)</f>
        <v>104940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COUNTIF(Tabla33610673486[No. of Rs],"&lt;0")</f>
        <v>16</v>
      </c>
      <c r="G9" s="32">
        <f>IFERROR((F9/$F$6),"")</f>
        <v>0.72727272727272729</v>
      </c>
      <c r="H9" s="79">
        <f>IFERROR((-Q13/F9),"")</f>
        <v>0.59062499999999996</v>
      </c>
      <c r="I9" s="229"/>
      <c r="J9" s="229"/>
      <c r="K9" s="149"/>
      <c r="L9" s="230" t="s">
        <v>106</v>
      </c>
      <c r="M9" s="231"/>
      <c r="N9" s="125">
        <f ca="1">MAX(Tabla33610673486[Drawdown])</f>
        <v>3.8130155820348302E-2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OFFSET(Tabla33610673486[[#Headers],[Drawdown]],1,0)</f>
        <v>3.8130155820348302E-2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COUNTIF(Tabla33610673486[Heat],"&lt;0")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IF(COUNTIFS(Tabla33610673486[O/C],"O")&lt;1,"None",COUNTIFS(Tabla33610673486[O/C],"O"))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SUM(Tabla33610673486[No. of Rs])</f>
        <v>4.9399999999999986</v>
      </c>
      <c r="O13" s="42">
        <f>SUM(Tabla33610673486[Heat])</f>
        <v>0</v>
      </c>
      <c r="P13" s="43">
        <f>SUM(Tabla33610673486[[ TR WIN]])</f>
        <v>14.39</v>
      </c>
      <c r="Q13" s="43">
        <f>SUM(Tabla33610673486[[ TR LOSS]])</f>
        <v>-9.4499999999999993</v>
      </c>
      <c r="R13" s="114"/>
      <c r="S13" s="115"/>
      <c r="T13" s="115"/>
      <c r="U13" s="121"/>
      <c r="V13" s="44">
        <f>SUM(Tabla33610673486[Currency])</f>
        <v>4.9399999999999986</v>
      </c>
      <c r="W13" s="44">
        <f>SUM(Tabla33610673486[Heat3])</f>
        <v>0</v>
      </c>
      <c r="X13" s="44">
        <f>SUM(Tabla33610673486[Commodities])</f>
        <v>0</v>
      </c>
      <c r="Y13" s="44">
        <f>SUM(Tabla33610673486[Heat4])</f>
        <v>0</v>
      </c>
      <c r="Z13" s="44">
        <f>SUM(Tabla33610673486[Index])</f>
        <v>0</v>
      </c>
      <c r="AA13" s="44">
        <f>SUM(Tabla33610673486[Heat5])</f>
        <v>0</v>
      </c>
      <c r="AB13" s="44">
        <f>SUM(Tabla33610673486[Cryptocurrency])</f>
        <v>0</v>
      </c>
      <c r="AC13" s="44">
        <f>SUM(Tabla33610673486[Heat6])</f>
        <v>0</v>
      </c>
      <c r="AD13" s="75">
        <f>AVERAGEIF(Tabla33610673486[Length of 
Trade],"&lt;&gt;0")</f>
        <v>4.9599431818182476</v>
      </c>
      <c r="AE13" s="75">
        <f>AVERAGEIF(Tabla33610673486[Win],"&lt;&gt;0")</f>
        <v>7.3704861111121618</v>
      </c>
      <c r="AF13" s="75">
        <f>AVERAGEIF(Tabla33610673486[Loss],"&lt;&gt;0")</f>
        <v>4.0559895833330302</v>
      </c>
      <c r="AG13" s="76" t="e">
        <f>AVERAGEIF(Tabla33610673486[Breakeven],"&lt;&gt;0")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13</v>
      </c>
      <c r="D17" s="198" t="str">
        <f t="shared" ref="D17:D38" si="0">IF(E17&lt;&gt;"",IF(K17&lt;&gt;"","C","O"),"")</f>
        <v>C</v>
      </c>
      <c r="E17" s="199">
        <v>44187.333333333336</v>
      </c>
      <c r="F17" s="200" t="s">
        <v>115</v>
      </c>
      <c r="G17" s="201">
        <v>138.517</v>
      </c>
      <c r="H17" s="201">
        <v>140.46799999999999</v>
      </c>
      <c r="I17" s="202">
        <f t="shared" ref="I17:I38" si="1">ABS(G17-H17)</f>
        <v>1.9509999999999934</v>
      </c>
      <c r="J17" s="201">
        <v>127.59399999999999</v>
      </c>
      <c r="K17" s="199">
        <v>44188.833333333336</v>
      </c>
      <c r="L17" s="201">
        <v>139.69</v>
      </c>
      <c r="M17" s="203">
        <f t="shared" ref="M17:M38" si="2">ROUND(IF(C17="L",(L17-G17),(G17-L17)),4)</f>
        <v>-1.173</v>
      </c>
      <c r="N17" s="204">
        <f t="shared" ref="N17:N38" si="3">IFERROR(ROUND((M17/I17),2),"")</f>
        <v>-0.6</v>
      </c>
      <c r="O17" s="205">
        <f t="shared" ref="O17:O38" si="4">IF(D17="O",IF(N17&lt;0,N17,0),0)</f>
        <v>0</v>
      </c>
      <c r="P17" s="206">
        <f t="shared" ref="P17:P38" si="5">IF(N17&gt;= 0,N17,0)</f>
        <v>0</v>
      </c>
      <c r="Q17" s="206">
        <f t="shared" ref="Q17:Q38" si="6">IF(N17&lt;0,N17,0)</f>
        <v>-0.6</v>
      </c>
      <c r="R1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104940</v>
      </c>
      <c r="T1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109100</v>
      </c>
      <c r="U17" s="208">
        <f ca="1">IF(Tabla33610673486[[#This Row],[Equity]]&lt;Tabla33610673486[[#This Row],[Equity Peak]],(Tabla33610673486[[#This Row],[Equity Peak]]-Tabla33610673486[[#This Row],[Equity]])/Tabla33610673486[[#This Row],[Equity Peak]],"")</f>
        <v>3.8130155820348302E-2</v>
      </c>
      <c r="V17" s="209">
        <f t="shared" ref="V17:V38" si="7">IF(B17="FX",N17,0)</f>
        <v>-0.6</v>
      </c>
      <c r="W17" s="209">
        <f t="shared" ref="W17:W38" si="8">IF(D17="O",IF(V17&lt;0,V17,0),0)</f>
        <v>0</v>
      </c>
      <c r="X17" s="209">
        <f t="shared" ref="X17:X38" si="9">IF(B17="COM",N17,0)</f>
        <v>0</v>
      </c>
      <c r="Y17" s="209">
        <f t="shared" ref="Y17:Y38" si="10">IF(D17="O",IF(X17&lt;0,X17,0),0)</f>
        <v>0</v>
      </c>
      <c r="Z17" s="209">
        <f t="shared" ref="Z17:Z38" si="11">IF(B17="IND",N17,0)</f>
        <v>0</v>
      </c>
      <c r="AA17" s="205">
        <f t="shared" ref="AA17:AA38" si="12">IF(D17="O",IF(Z17&lt;0,Z17,0),0)</f>
        <v>0</v>
      </c>
      <c r="AB17" s="209">
        <f t="shared" ref="AB17:AB38" si="13">IF(B17="CRYPTO",N17,0)</f>
        <v>0</v>
      </c>
      <c r="AC17" s="205">
        <f t="shared" ref="AC17:AC38" si="14">IF(D17="O",IF(AB17&lt;0,AB17,0),0)</f>
        <v>0</v>
      </c>
      <c r="AD17" s="210">
        <f t="shared" ref="AD17:AD38" si="15">IF(K17&lt;&gt;"",K17-E17,0)</f>
        <v>1.5</v>
      </c>
      <c r="AE17" s="210">
        <f t="shared" ref="AE17:AE38" si="16">IF(N17&gt;0,AD17,0)</f>
        <v>0</v>
      </c>
      <c r="AF17" s="210">
        <f t="shared" ref="AF17:AF38" si="17">IF(N17&lt;0,AD17,0)</f>
        <v>1.5</v>
      </c>
      <c r="AG17" s="210">
        <f t="shared" ref="AG17:AG38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44180.833333333336</v>
      </c>
      <c r="F18" s="200" t="s">
        <v>115</v>
      </c>
      <c r="G18" s="201">
        <v>139.32400000000001</v>
      </c>
      <c r="H18" s="201">
        <v>138.005</v>
      </c>
      <c r="I18" s="202">
        <f t="shared" si="1"/>
        <v>1.3190000000000168</v>
      </c>
      <c r="J18" s="201">
        <v>146.709</v>
      </c>
      <c r="K18" s="199">
        <v>44186</v>
      </c>
      <c r="L18" s="201">
        <v>138.95400000000001</v>
      </c>
      <c r="M18" s="203">
        <f t="shared" si="2"/>
        <v>-0.37</v>
      </c>
      <c r="N18" s="204">
        <f t="shared" si="3"/>
        <v>-0.28000000000000003</v>
      </c>
      <c r="O18" s="205">
        <f t="shared" si="4"/>
        <v>0</v>
      </c>
      <c r="P18" s="206">
        <f t="shared" si="5"/>
        <v>0</v>
      </c>
      <c r="Q18" s="206">
        <f t="shared" si="6"/>
        <v>-0.28000000000000003</v>
      </c>
      <c r="R1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105540</v>
      </c>
      <c r="T1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109100</v>
      </c>
      <c r="U18" s="208">
        <f ca="1">IF(Tabla33610673486[[#This Row],[Equity]]&lt;Tabla33610673486[[#This Row],[Equity Peak]],(Tabla33610673486[[#This Row],[Equity Peak]]-Tabla33610673486[[#This Row],[Equity]])/Tabla33610673486[[#This Row],[Equity Peak]],"")</f>
        <v>3.2630614115490376E-2</v>
      </c>
      <c r="V18" s="209">
        <f t="shared" si="7"/>
        <v>-0.28000000000000003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5.1666666666642413</v>
      </c>
      <c r="AE18" s="210">
        <f t="shared" si="16"/>
        <v>0</v>
      </c>
      <c r="AF18" s="210">
        <f t="shared" si="17"/>
        <v>5.1666666666642413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13</v>
      </c>
      <c r="D19" s="198" t="str">
        <f t="shared" si="0"/>
        <v>C</v>
      </c>
      <c r="E19" s="199">
        <v>44176.833333333336</v>
      </c>
      <c r="F19" s="200" t="s">
        <v>115</v>
      </c>
      <c r="G19" s="201">
        <v>137.44499999999999</v>
      </c>
      <c r="H19" s="201">
        <v>138.965</v>
      </c>
      <c r="I19" s="202">
        <f t="shared" si="1"/>
        <v>1.5200000000000102</v>
      </c>
      <c r="J19" s="201">
        <v>128.93600000000001</v>
      </c>
      <c r="K19" s="199">
        <v>44179.002083333333</v>
      </c>
      <c r="L19" s="201">
        <v>138.965</v>
      </c>
      <c r="M19" s="203">
        <f t="shared" si="2"/>
        <v>-1.52</v>
      </c>
      <c r="N19" s="204">
        <f t="shared" si="3"/>
        <v>-1</v>
      </c>
      <c r="O19" s="205">
        <f t="shared" si="4"/>
        <v>0</v>
      </c>
      <c r="P19" s="206">
        <f t="shared" si="5"/>
        <v>0</v>
      </c>
      <c r="Q19" s="206">
        <f t="shared" si="6"/>
        <v>-1</v>
      </c>
      <c r="R1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105820</v>
      </c>
      <c r="T1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109100</v>
      </c>
      <c r="U19" s="208">
        <f ca="1">IF(Tabla33610673486[[#This Row],[Equity]]&lt;Tabla33610673486[[#This Row],[Equity Peak]],(Tabla33610673486[[#This Row],[Equity Peak]]-Tabla33610673486[[#This Row],[Equity]])/Tabla33610673486[[#This Row],[Equity Peak]],"")</f>
        <v>3.0064161319890009E-2</v>
      </c>
      <c r="V19" s="209">
        <f t="shared" si="7"/>
        <v>-1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2.1687499999970896</v>
      </c>
      <c r="AE19" s="210">
        <f t="shared" si="16"/>
        <v>0</v>
      </c>
      <c r="AF19" s="210">
        <f t="shared" si="17"/>
        <v>2.1687499999970896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15</v>
      </c>
      <c r="D20" s="198" t="str">
        <f t="shared" si="0"/>
        <v>C</v>
      </c>
      <c r="E20" s="199">
        <v>44144.833333333336</v>
      </c>
      <c r="F20" s="200" t="s">
        <v>115</v>
      </c>
      <c r="G20" s="201">
        <v>138.59899999999999</v>
      </c>
      <c r="H20" s="201">
        <v>137.00399999999999</v>
      </c>
      <c r="I20" s="202">
        <f t="shared" si="1"/>
        <v>1.5949999999999989</v>
      </c>
      <c r="J20" s="201">
        <v>147.53</v>
      </c>
      <c r="K20" s="199">
        <v>44147.73541666667</v>
      </c>
      <c r="L20" s="201">
        <v>138.191</v>
      </c>
      <c r="M20" s="203">
        <f t="shared" si="2"/>
        <v>-0.40799999999999997</v>
      </c>
      <c r="N20" s="204">
        <f t="shared" si="3"/>
        <v>-0.26</v>
      </c>
      <c r="O20" s="205">
        <f t="shared" si="4"/>
        <v>0</v>
      </c>
      <c r="P20" s="206">
        <f t="shared" si="5"/>
        <v>0</v>
      </c>
      <c r="Q20" s="206">
        <f t="shared" si="6"/>
        <v>-0.26</v>
      </c>
      <c r="R2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106820</v>
      </c>
      <c r="T2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109100</v>
      </c>
      <c r="U20" s="208">
        <f ca="1">IF(Tabla33610673486[[#This Row],[Equity]]&lt;Tabla33610673486[[#This Row],[Equity Peak]],(Tabla33610673486[[#This Row],[Equity Peak]]-Tabla33610673486[[#This Row],[Equity]])/Tabla33610673486[[#This Row],[Equity Peak]],"")</f>
        <v>2.0898258478460129E-2</v>
      </c>
      <c r="V20" s="209">
        <f t="shared" si="7"/>
        <v>-0.26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2.9020833333343035</v>
      </c>
      <c r="AE20" s="210">
        <f t="shared" si="16"/>
        <v>0</v>
      </c>
      <c r="AF20" s="210">
        <f t="shared" si="17"/>
        <v>2.9020833333343035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13</v>
      </c>
      <c r="D21" s="198" t="str">
        <f t="shared" si="0"/>
        <v>C</v>
      </c>
      <c r="E21" s="199">
        <v>44131.666666666664</v>
      </c>
      <c r="F21" s="200" t="s">
        <v>115</v>
      </c>
      <c r="G21" s="201">
        <v>136.37</v>
      </c>
      <c r="H21" s="201">
        <v>137.18100000000001</v>
      </c>
      <c r="I21" s="202">
        <f t="shared" si="1"/>
        <v>0.81100000000000705</v>
      </c>
      <c r="J21" s="201">
        <v>131.83000000000001</v>
      </c>
      <c r="K21" s="199">
        <v>44138.492361111108</v>
      </c>
      <c r="L21" s="201">
        <v>136.017</v>
      </c>
      <c r="M21" s="203">
        <f t="shared" si="2"/>
        <v>0.35299999999999998</v>
      </c>
      <c r="N21" s="204">
        <f t="shared" si="3"/>
        <v>0.44</v>
      </c>
      <c r="O21" s="205">
        <f t="shared" si="4"/>
        <v>0</v>
      </c>
      <c r="P21" s="206">
        <f t="shared" si="5"/>
        <v>0.44</v>
      </c>
      <c r="Q21" s="206">
        <f t="shared" si="6"/>
        <v>0</v>
      </c>
      <c r="R2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107080</v>
      </c>
      <c r="T2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109100</v>
      </c>
      <c r="U21" s="208">
        <f ca="1">IF(Tabla33610673486[[#This Row],[Equity]]&lt;Tabla33610673486[[#This Row],[Equity Peak]],(Tabla33610673486[[#This Row],[Equity Peak]]-Tabla33610673486[[#This Row],[Equity]])/Tabla33610673486[[#This Row],[Equity Peak]],"")</f>
        <v>1.8515123739688361E-2</v>
      </c>
      <c r="V21" s="209">
        <f t="shared" si="7"/>
        <v>0.44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6.8256944444437977</v>
      </c>
      <c r="AE21" s="210">
        <f t="shared" si="16"/>
        <v>6.8256944444437977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15</v>
      </c>
      <c r="D22" s="198" t="str">
        <f t="shared" si="0"/>
        <v>C</v>
      </c>
      <c r="E22" s="199">
        <v>44125.5</v>
      </c>
      <c r="F22" s="200" t="s">
        <v>115</v>
      </c>
      <c r="G22" s="201">
        <v>136.863</v>
      </c>
      <c r="H22" s="201">
        <v>135.816</v>
      </c>
      <c r="I22" s="202">
        <f t="shared" si="1"/>
        <v>1.046999999999997</v>
      </c>
      <c r="J22" s="201">
        <v>142.726</v>
      </c>
      <c r="K22" s="199">
        <v>44130.433333333334</v>
      </c>
      <c r="L22" s="201">
        <v>136.322</v>
      </c>
      <c r="M22" s="203">
        <f t="shared" si="2"/>
        <v>-0.54100000000000004</v>
      </c>
      <c r="N22" s="204">
        <f t="shared" si="3"/>
        <v>-0.52</v>
      </c>
      <c r="O22" s="205">
        <f t="shared" si="4"/>
        <v>0</v>
      </c>
      <c r="P22" s="206">
        <f t="shared" si="5"/>
        <v>0</v>
      </c>
      <c r="Q22" s="206">
        <f t="shared" si="6"/>
        <v>-0.52</v>
      </c>
      <c r="R2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106640</v>
      </c>
      <c r="T2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109100</v>
      </c>
      <c r="U22" s="208">
        <f ca="1">IF(Tabla33610673486[[#This Row],[Equity]]&lt;Tabla33610673486[[#This Row],[Equity Peak]],(Tabla33610673486[[#This Row],[Equity Peak]]-Tabla33610673486[[#This Row],[Equity]])/Tabla33610673486[[#This Row],[Equity Peak]],"")</f>
        <v>2.2548120989917507E-2</v>
      </c>
      <c r="V22" s="209">
        <f t="shared" si="7"/>
        <v>-0.52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4.9333333333343035</v>
      </c>
      <c r="AE22" s="210">
        <f t="shared" si="16"/>
        <v>0</v>
      </c>
      <c r="AF22" s="210">
        <f t="shared" si="17"/>
        <v>4.9333333333343035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13</v>
      </c>
      <c r="D23" s="198" t="str">
        <f t="shared" si="0"/>
        <v>C</v>
      </c>
      <c r="E23" s="199">
        <v>44120.333333333336</v>
      </c>
      <c r="F23" s="200" t="s">
        <v>115</v>
      </c>
      <c r="G23" s="201">
        <v>135.65</v>
      </c>
      <c r="H23" s="201">
        <v>136.845</v>
      </c>
      <c r="I23" s="202">
        <f t="shared" si="1"/>
        <v>1.1949999999999932</v>
      </c>
      <c r="J23" s="201">
        <v>128.959</v>
      </c>
      <c r="K23" s="199">
        <v>44123.431944444441</v>
      </c>
      <c r="L23" s="201">
        <v>136.845</v>
      </c>
      <c r="M23" s="203">
        <f t="shared" si="2"/>
        <v>-1.1950000000000001</v>
      </c>
      <c r="N23" s="204">
        <f t="shared" si="3"/>
        <v>-1</v>
      </c>
      <c r="O23" s="205">
        <f t="shared" si="4"/>
        <v>0</v>
      </c>
      <c r="P23" s="206">
        <f t="shared" si="5"/>
        <v>0</v>
      </c>
      <c r="Q23" s="206">
        <f t="shared" si="6"/>
        <v>-1</v>
      </c>
      <c r="R2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107160</v>
      </c>
      <c r="T2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109100</v>
      </c>
      <c r="U23" s="208">
        <f ca="1">IF(Tabla33610673486[[#This Row],[Equity]]&lt;Tabla33610673486[[#This Row],[Equity Peak]],(Tabla33610673486[[#This Row],[Equity Peak]]-Tabla33610673486[[#This Row],[Equity]])/Tabla33610673486[[#This Row],[Equity Peak]],"")</f>
        <v>1.7781851512373967E-2</v>
      </c>
      <c r="V23" s="209">
        <f t="shared" si="7"/>
        <v>-1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3.0986111111051287</v>
      </c>
      <c r="AE23" s="210">
        <f t="shared" si="16"/>
        <v>0</v>
      </c>
      <c r="AF23" s="210">
        <f t="shared" si="17"/>
        <v>3.0986111111051287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44109.833333333336</v>
      </c>
      <c r="F24" s="200" t="s">
        <v>115</v>
      </c>
      <c r="G24" s="201">
        <v>137.27099999999999</v>
      </c>
      <c r="H24" s="201">
        <v>135.78899999999999</v>
      </c>
      <c r="I24" s="202">
        <f t="shared" si="1"/>
        <v>1.4819999999999993</v>
      </c>
      <c r="J24" s="201">
        <v>145.57</v>
      </c>
      <c r="K24" s="199">
        <v>44111.004861111112</v>
      </c>
      <c r="L24" s="201">
        <v>135.875</v>
      </c>
      <c r="M24" s="203">
        <f t="shared" si="2"/>
        <v>-1.3959999999999999</v>
      </c>
      <c r="N24" s="204">
        <f t="shared" si="3"/>
        <v>-0.94</v>
      </c>
      <c r="O24" s="205">
        <f t="shared" si="4"/>
        <v>0</v>
      </c>
      <c r="P24" s="206">
        <f t="shared" si="5"/>
        <v>0</v>
      </c>
      <c r="Q24" s="206">
        <f t="shared" si="6"/>
        <v>-0.94</v>
      </c>
      <c r="R2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108160</v>
      </c>
      <c r="T2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109100</v>
      </c>
      <c r="U24" s="208">
        <f ca="1">IF(Tabla33610673486[[#This Row],[Equity]]&lt;Tabla33610673486[[#This Row],[Equity Peak]],(Tabla33610673486[[#This Row],[Equity Peak]]-Tabla33610673486[[#This Row],[Equity]])/Tabla33610673486[[#This Row],[Equity Peak]],"")</f>
        <v>8.6159486709440885E-3</v>
      </c>
      <c r="V24" s="209">
        <f t="shared" si="7"/>
        <v>-0.94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1.171527777776646</v>
      </c>
      <c r="AE24" s="210">
        <f t="shared" si="16"/>
        <v>0</v>
      </c>
      <c r="AF24" s="210">
        <f t="shared" si="17"/>
        <v>1.171527777776646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0"/>
        <v>C</v>
      </c>
      <c r="E25" s="199">
        <v>44083.166666666664</v>
      </c>
      <c r="F25" s="200" t="s">
        <v>115</v>
      </c>
      <c r="G25" s="201">
        <v>137.42599999999999</v>
      </c>
      <c r="H25" s="201">
        <v>138.77699999999999</v>
      </c>
      <c r="I25" s="202">
        <f t="shared" si="1"/>
        <v>1.3509999999999991</v>
      </c>
      <c r="J25" s="201">
        <v>129.863</v>
      </c>
      <c r="K25" s="199">
        <v>44091.73541666667</v>
      </c>
      <c r="L25" s="201">
        <v>135.97800000000001</v>
      </c>
      <c r="M25" s="203">
        <f t="shared" si="2"/>
        <v>1.448</v>
      </c>
      <c r="N25" s="204">
        <f t="shared" si="3"/>
        <v>1.07</v>
      </c>
      <c r="O25" s="205">
        <f t="shared" si="4"/>
        <v>0</v>
      </c>
      <c r="P25" s="206">
        <f t="shared" si="5"/>
        <v>1.07</v>
      </c>
      <c r="Q25" s="206">
        <f t="shared" si="6"/>
        <v>0</v>
      </c>
      <c r="R2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109100</v>
      </c>
      <c r="T2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109100</v>
      </c>
      <c r="U25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25" s="209">
        <f t="shared" si="7"/>
        <v>1.07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8.5687500000058208</v>
      </c>
      <c r="AE25" s="210">
        <f t="shared" si="16"/>
        <v>8.5687500000058208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15</v>
      </c>
      <c r="D26" s="198" t="str">
        <f t="shared" si="0"/>
        <v>C</v>
      </c>
      <c r="E26" s="199">
        <v>44015.833333333336</v>
      </c>
      <c r="F26" s="200" t="s">
        <v>115</v>
      </c>
      <c r="G26" s="201">
        <v>134.06700000000001</v>
      </c>
      <c r="H26" s="201">
        <v>133.268</v>
      </c>
      <c r="I26" s="202">
        <f t="shared" si="1"/>
        <v>0.79900000000000659</v>
      </c>
      <c r="J26" s="201">
        <v>138.53899999999999</v>
      </c>
      <c r="K26" s="199">
        <v>44022.161111111112</v>
      </c>
      <c r="L26" s="201">
        <v>134.81899999999999</v>
      </c>
      <c r="M26" s="203">
        <f t="shared" si="2"/>
        <v>0.752</v>
      </c>
      <c r="N26" s="204">
        <f t="shared" si="3"/>
        <v>0.94</v>
      </c>
      <c r="O26" s="205">
        <f t="shared" si="4"/>
        <v>0</v>
      </c>
      <c r="P26" s="206">
        <f t="shared" si="5"/>
        <v>0.94</v>
      </c>
      <c r="Q26" s="206">
        <f t="shared" si="6"/>
        <v>0</v>
      </c>
      <c r="R2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108030</v>
      </c>
      <c r="T2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108030</v>
      </c>
      <c r="U26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26" s="209">
        <f t="shared" si="7"/>
        <v>0.94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6.327777777776646</v>
      </c>
      <c r="AE26" s="210">
        <f t="shared" si="16"/>
        <v>6.327777777776646</v>
      </c>
      <c r="AF26" s="210">
        <f t="shared" si="17"/>
        <v>0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13</v>
      </c>
      <c r="D27" s="198" t="str">
        <f t="shared" si="0"/>
        <v>C</v>
      </c>
      <c r="E27" s="199">
        <v>44000.666666666664</v>
      </c>
      <c r="F27" s="200" t="s">
        <v>115</v>
      </c>
      <c r="G27" s="201">
        <v>132.93100000000001</v>
      </c>
      <c r="H27" s="201">
        <v>134.608</v>
      </c>
      <c r="I27" s="202">
        <f t="shared" si="1"/>
        <v>1.6769999999999925</v>
      </c>
      <c r="J27" s="201">
        <v>123.541</v>
      </c>
      <c r="K27" s="199">
        <v>44005.09652777778</v>
      </c>
      <c r="L27" s="201">
        <v>133.614</v>
      </c>
      <c r="M27" s="203">
        <f t="shared" si="2"/>
        <v>-0.68300000000000005</v>
      </c>
      <c r="N27" s="204">
        <f t="shared" si="3"/>
        <v>-0.41</v>
      </c>
      <c r="O27" s="205">
        <f t="shared" si="4"/>
        <v>0</v>
      </c>
      <c r="P27" s="206">
        <f t="shared" si="5"/>
        <v>0</v>
      </c>
      <c r="Q27" s="206">
        <f t="shared" si="6"/>
        <v>-0.41</v>
      </c>
      <c r="R2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107090</v>
      </c>
      <c r="T2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107500</v>
      </c>
      <c r="U27" s="208">
        <f ca="1">IF(Tabla33610673486[[#This Row],[Equity]]&lt;Tabla33610673486[[#This Row],[Equity Peak]],(Tabla33610673486[[#This Row],[Equity Peak]]-Tabla33610673486[[#This Row],[Equity]])/Tabla33610673486[[#This Row],[Equity Peak]],"")</f>
        <v>3.8139534883720929E-3</v>
      </c>
      <c r="V27" s="209">
        <f t="shared" si="7"/>
        <v>-0.41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4.429861111115315</v>
      </c>
      <c r="AE27" s="210">
        <f t="shared" si="16"/>
        <v>0</v>
      </c>
      <c r="AF27" s="210">
        <f t="shared" si="17"/>
        <v>4.429861111115315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15</v>
      </c>
      <c r="D28" s="198" t="str">
        <f t="shared" si="0"/>
        <v>C</v>
      </c>
      <c r="E28" s="199">
        <v>43979.166666666664</v>
      </c>
      <c r="F28" s="200" t="s">
        <v>115</v>
      </c>
      <c r="G28" s="201">
        <v>132.33000000000001</v>
      </c>
      <c r="H28" s="201">
        <v>131.10400000000001</v>
      </c>
      <c r="I28" s="202">
        <f t="shared" si="1"/>
        <v>1.2259999999999991</v>
      </c>
      <c r="J28" s="201">
        <v>139.197</v>
      </c>
      <c r="K28" s="199">
        <v>43987.679166666669</v>
      </c>
      <c r="L28" s="201">
        <v>139.197</v>
      </c>
      <c r="M28" s="203">
        <f t="shared" si="2"/>
        <v>6.867</v>
      </c>
      <c r="N28" s="204">
        <f t="shared" si="3"/>
        <v>5.6</v>
      </c>
      <c r="O28" s="205">
        <f t="shared" si="4"/>
        <v>0</v>
      </c>
      <c r="P28" s="206">
        <f t="shared" si="5"/>
        <v>5.6</v>
      </c>
      <c r="Q28" s="206">
        <f t="shared" si="6"/>
        <v>0</v>
      </c>
      <c r="R2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107500</v>
      </c>
      <c r="T2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107500</v>
      </c>
      <c r="U28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28" s="209">
        <f t="shared" si="7"/>
        <v>5.6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8.5125000000043656</v>
      </c>
      <c r="AE28" s="210">
        <f t="shared" si="16"/>
        <v>8.5125000000043656</v>
      </c>
      <c r="AF28" s="210">
        <f t="shared" si="17"/>
        <v>0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13</v>
      </c>
      <c r="D29" s="198" t="str">
        <f t="shared" si="0"/>
        <v>C</v>
      </c>
      <c r="E29" s="199">
        <v>43955.017361111109</v>
      </c>
      <c r="F29" s="200" t="s">
        <v>115</v>
      </c>
      <c r="G29" s="201">
        <v>133.24700000000001</v>
      </c>
      <c r="H29" s="201">
        <v>135.101</v>
      </c>
      <c r="I29" s="202">
        <f t="shared" si="1"/>
        <v>1.853999999999985</v>
      </c>
      <c r="J29" s="201">
        <v>122.863</v>
      </c>
      <c r="K29" s="199">
        <v>43958.436805555553</v>
      </c>
      <c r="L29" s="201">
        <v>131.881</v>
      </c>
      <c r="M29" s="203">
        <f t="shared" si="2"/>
        <v>1.3660000000000001</v>
      </c>
      <c r="N29" s="204">
        <f t="shared" si="3"/>
        <v>0.74</v>
      </c>
      <c r="O29" s="205">
        <f t="shared" si="4"/>
        <v>0</v>
      </c>
      <c r="P29" s="206">
        <f t="shared" si="5"/>
        <v>0.74</v>
      </c>
      <c r="Q29" s="206">
        <f t="shared" si="6"/>
        <v>0</v>
      </c>
      <c r="R2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101900</v>
      </c>
      <c r="T2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102440</v>
      </c>
      <c r="U29" s="208">
        <f ca="1">IF(Tabla33610673486[[#This Row],[Equity]]&lt;Tabla33610673486[[#This Row],[Equity Peak]],(Tabla33610673486[[#This Row],[Equity Peak]]-Tabla33610673486[[#This Row],[Equity]])/Tabla33610673486[[#This Row],[Equity Peak]],"")</f>
        <v>5.2713783678250683E-3</v>
      </c>
      <c r="V29" s="209">
        <f t="shared" si="7"/>
        <v>0.74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3.4194444444437977</v>
      </c>
      <c r="AE29" s="210">
        <f t="shared" si="16"/>
        <v>3.4194444444437977</v>
      </c>
      <c r="AF29" s="210">
        <f t="shared" si="17"/>
        <v>0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43952.666666666664</v>
      </c>
      <c r="F30" s="200" t="s">
        <v>115</v>
      </c>
      <c r="G30" s="201">
        <v>133.66399999999999</v>
      </c>
      <c r="H30" s="201">
        <v>131.90100000000001</v>
      </c>
      <c r="I30" s="202">
        <f t="shared" si="1"/>
        <v>1.7629999999999768</v>
      </c>
      <c r="J30" s="201">
        <v>143.53800000000001</v>
      </c>
      <c r="K30" s="199">
        <v>43955.017361111109</v>
      </c>
      <c r="L30" s="201">
        <v>133.24700000000001</v>
      </c>
      <c r="M30" s="203">
        <f t="shared" si="2"/>
        <v>-0.41699999999999998</v>
      </c>
      <c r="N30" s="204">
        <f t="shared" si="3"/>
        <v>-0.24</v>
      </c>
      <c r="O30" s="205">
        <f t="shared" si="4"/>
        <v>0</v>
      </c>
      <c r="P30" s="206">
        <f t="shared" si="5"/>
        <v>0</v>
      </c>
      <c r="Q30" s="206">
        <f t="shared" si="6"/>
        <v>-0.24</v>
      </c>
      <c r="R3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101160</v>
      </c>
      <c r="T3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102440</v>
      </c>
      <c r="U30" s="208">
        <f ca="1">IF(Tabla33610673486[[#This Row],[Equity]]&lt;Tabla33610673486[[#This Row],[Equity Peak]],(Tabla33610673486[[#This Row],[Equity Peak]]-Tabla33610673486[[#This Row],[Equity]])/Tabla33610673486[[#This Row],[Equity Peak]],"")</f>
        <v>1.2495119094103866E-2</v>
      </c>
      <c r="V30" s="209">
        <f t="shared" si="7"/>
        <v>-0.24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2.3506944444452529</v>
      </c>
      <c r="AE30" s="210">
        <f t="shared" si="16"/>
        <v>0</v>
      </c>
      <c r="AF30" s="210">
        <f t="shared" si="17"/>
        <v>2.3506944444452529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0"/>
        <v>C</v>
      </c>
      <c r="E31" s="199">
        <v>43942.666666666664</v>
      </c>
      <c r="F31" s="200" t="s">
        <v>115</v>
      </c>
      <c r="G31" s="201">
        <v>132.03299999999999</v>
      </c>
      <c r="H31" s="201">
        <v>133.43</v>
      </c>
      <c r="I31" s="202">
        <f t="shared" si="1"/>
        <v>1.3970000000000198</v>
      </c>
      <c r="J31" s="201">
        <v>124.21299999999999</v>
      </c>
      <c r="K31" s="199">
        <v>43944.384027777778</v>
      </c>
      <c r="L31" s="201">
        <v>133.43</v>
      </c>
      <c r="M31" s="203">
        <f t="shared" si="2"/>
        <v>-1.397</v>
      </c>
      <c r="N31" s="204">
        <f t="shared" si="3"/>
        <v>-1</v>
      </c>
      <c r="O31" s="205">
        <f t="shared" si="4"/>
        <v>0</v>
      </c>
      <c r="P31" s="206">
        <f t="shared" si="5"/>
        <v>0</v>
      </c>
      <c r="Q31" s="206">
        <f t="shared" si="6"/>
        <v>-1</v>
      </c>
      <c r="R3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101400</v>
      </c>
      <c r="T3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102440</v>
      </c>
      <c r="U31" s="208">
        <f ca="1">IF(Tabla33610673486[[#This Row],[Equity]]&lt;Tabla33610673486[[#This Row],[Equity Peak]],(Tabla33610673486[[#This Row],[Equity Peak]]-Tabla33610673486[[#This Row],[Equity]])/Tabla33610673486[[#This Row],[Equity Peak]],"")</f>
        <v>1.015228426395939E-2</v>
      </c>
      <c r="V31" s="209">
        <f t="shared" si="7"/>
        <v>-1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1.7173611111138598</v>
      </c>
      <c r="AE31" s="210">
        <f t="shared" si="16"/>
        <v>0</v>
      </c>
      <c r="AF31" s="210">
        <f t="shared" si="17"/>
        <v>1.7173611111138598</v>
      </c>
      <c r="AG31" s="210">
        <f t="shared" si="18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0"/>
        <v>C</v>
      </c>
      <c r="E32" s="199">
        <v>43927.833333333336</v>
      </c>
      <c r="F32" s="200" t="s">
        <v>115</v>
      </c>
      <c r="G32" s="201">
        <v>134.16300000000001</v>
      </c>
      <c r="H32" s="201">
        <v>132.232</v>
      </c>
      <c r="I32" s="202">
        <f t="shared" si="1"/>
        <v>1.9310000000000116</v>
      </c>
      <c r="J32" s="201">
        <v>144.97800000000001</v>
      </c>
      <c r="K32" s="199">
        <v>43936.567361111112</v>
      </c>
      <c r="L32" s="201">
        <v>134.08600000000001</v>
      </c>
      <c r="M32" s="203">
        <f t="shared" si="2"/>
        <v>-7.6999999999999999E-2</v>
      </c>
      <c r="N32" s="204">
        <f t="shared" si="3"/>
        <v>-0.04</v>
      </c>
      <c r="O32" s="205">
        <f t="shared" si="4"/>
        <v>0</v>
      </c>
      <c r="P32" s="206">
        <f t="shared" si="5"/>
        <v>0</v>
      </c>
      <c r="Q32" s="206">
        <f t="shared" si="6"/>
        <v>-0.04</v>
      </c>
      <c r="R3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102400</v>
      </c>
      <c r="T3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102440</v>
      </c>
      <c r="U32" s="208">
        <f ca="1">IF(Tabla33610673486[[#This Row],[Equity]]&lt;Tabla33610673486[[#This Row],[Equity Peak]],(Tabla33610673486[[#This Row],[Equity Peak]]-Tabla33610673486[[#This Row],[Equity]])/Tabla33610673486[[#This Row],[Equity Peak]],"")</f>
        <v>3.9047247169074581E-4</v>
      </c>
      <c r="V32" s="209">
        <f t="shared" si="7"/>
        <v>-0.04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8.734027777776646</v>
      </c>
      <c r="AE32" s="210">
        <f t="shared" si="16"/>
        <v>0</v>
      </c>
      <c r="AF32" s="210">
        <f t="shared" si="17"/>
        <v>8.734027777776646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0"/>
        <v>C</v>
      </c>
      <c r="E33" s="199">
        <v>43888.5</v>
      </c>
      <c r="F33" s="200" t="s">
        <v>115</v>
      </c>
      <c r="G33" s="201">
        <v>142.14400000000001</v>
      </c>
      <c r="H33" s="201">
        <v>143.29499999999999</v>
      </c>
      <c r="I33" s="202">
        <f t="shared" si="1"/>
        <v>1.150999999999982</v>
      </c>
      <c r="J33" s="201">
        <v>135.697</v>
      </c>
      <c r="K33" s="199">
        <v>43899.068749999999</v>
      </c>
      <c r="L33" s="201">
        <v>135.697</v>
      </c>
      <c r="M33" s="203">
        <f t="shared" si="2"/>
        <v>6.4470000000000001</v>
      </c>
      <c r="N33" s="204">
        <f t="shared" si="3"/>
        <v>5.6</v>
      </c>
      <c r="O33" s="205">
        <f t="shared" si="4"/>
        <v>0</v>
      </c>
      <c r="P33" s="206">
        <f t="shared" si="5"/>
        <v>5.6</v>
      </c>
      <c r="Q33" s="206">
        <f t="shared" si="6"/>
        <v>0</v>
      </c>
      <c r="R3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102440</v>
      </c>
      <c r="T3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102440</v>
      </c>
      <c r="U33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33" s="209">
        <f t="shared" si="7"/>
        <v>5.6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10.568749999998545</v>
      </c>
      <c r="AE33" s="210">
        <f t="shared" si="16"/>
        <v>10.568749999998545</v>
      </c>
      <c r="AF33" s="210">
        <f t="shared" si="17"/>
        <v>0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0"/>
        <v>C</v>
      </c>
      <c r="E34" s="199">
        <v>43875.017361111109</v>
      </c>
      <c r="F34" s="200" t="s">
        <v>115</v>
      </c>
      <c r="G34" s="201">
        <v>143.209</v>
      </c>
      <c r="H34" s="201">
        <v>142.17099999999999</v>
      </c>
      <c r="I34" s="202">
        <f t="shared" si="1"/>
        <v>1.0380000000000109</v>
      </c>
      <c r="J34" s="201">
        <v>149.023</v>
      </c>
      <c r="K34" s="199">
        <v>43879.4375</v>
      </c>
      <c r="L34" s="201">
        <v>142.41499999999999</v>
      </c>
      <c r="M34" s="203">
        <f t="shared" si="2"/>
        <v>-0.79400000000000004</v>
      </c>
      <c r="N34" s="204">
        <f t="shared" si="3"/>
        <v>-0.76</v>
      </c>
      <c r="O34" s="205">
        <f t="shared" si="4"/>
        <v>0</v>
      </c>
      <c r="P34" s="206">
        <f t="shared" si="5"/>
        <v>0</v>
      </c>
      <c r="Q34" s="206">
        <f t="shared" si="6"/>
        <v>-0.76</v>
      </c>
      <c r="R3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Yes</v>
      </c>
      <c r="S3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96840</v>
      </c>
      <c r="T3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100000</v>
      </c>
      <c r="U34" s="208">
        <f ca="1">IF(Tabla33610673486[[#This Row],[Equity]]&lt;Tabla33610673486[[#This Row],[Equity Peak]],(Tabla33610673486[[#This Row],[Equity Peak]]-Tabla33610673486[[#This Row],[Equity]])/Tabla33610673486[[#This Row],[Equity Peak]],"")</f>
        <v>3.1600000000000003E-2</v>
      </c>
      <c r="V34" s="209">
        <f t="shared" si="7"/>
        <v>-0.76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4.4201388888905058</v>
      </c>
      <c r="AE34" s="210">
        <f t="shared" si="16"/>
        <v>0</v>
      </c>
      <c r="AF34" s="210">
        <f t="shared" si="17"/>
        <v>4.4201388888905058</v>
      </c>
      <c r="AG34" s="210">
        <f t="shared" si="18"/>
        <v>0</v>
      </c>
    </row>
    <row r="35" spans="2:33" ht="15" customHeight="1" x14ac:dyDescent="0.3">
      <c r="B35" s="196" t="s">
        <v>7</v>
      </c>
      <c r="C35" s="197" t="s">
        <v>13</v>
      </c>
      <c r="D35" s="198" t="str">
        <f t="shared" si="0"/>
        <v>C</v>
      </c>
      <c r="E35" s="199">
        <v>43858.017361111109</v>
      </c>
      <c r="F35" s="200" t="s">
        <v>115</v>
      </c>
      <c r="G35" s="201">
        <v>142.126</v>
      </c>
      <c r="H35" s="201">
        <v>143.417</v>
      </c>
      <c r="I35" s="202">
        <f t="shared" si="1"/>
        <v>1.2909999999999968</v>
      </c>
      <c r="J35" s="201">
        <v>134.89599999999999</v>
      </c>
      <c r="K35" s="199">
        <v>43860.609027777777</v>
      </c>
      <c r="L35" s="201">
        <v>142.679</v>
      </c>
      <c r="M35" s="203">
        <f t="shared" si="2"/>
        <v>-0.55300000000000005</v>
      </c>
      <c r="N35" s="204">
        <f t="shared" si="3"/>
        <v>-0.43</v>
      </c>
      <c r="O35" s="205">
        <f t="shared" si="4"/>
        <v>0</v>
      </c>
      <c r="P35" s="206">
        <f t="shared" si="5"/>
        <v>0</v>
      </c>
      <c r="Q35" s="206">
        <f t="shared" si="6"/>
        <v>-0.43</v>
      </c>
      <c r="R3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Yes</v>
      </c>
      <c r="S3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97600</v>
      </c>
      <c r="T3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100000</v>
      </c>
      <c r="U35" s="208">
        <f ca="1">IF(Tabla33610673486[[#This Row],[Equity]]&lt;Tabla33610673486[[#This Row],[Equity Peak]],(Tabla33610673486[[#This Row],[Equity Peak]]-Tabla33610673486[[#This Row],[Equity]])/Tabla33610673486[[#This Row],[Equity Peak]],"")</f>
        <v>2.4E-2</v>
      </c>
      <c r="V35" s="209">
        <f t="shared" si="7"/>
        <v>-0.43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2.5916666666671517</v>
      </c>
      <c r="AE35" s="210">
        <f t="shared" si="16"/>
        <v>0</v>
      </c>
      <c r="AF35" s="210">
        <f t="shared" si="17"/>
        <v>2.5916666666671517</v>
      </c>
      <c r="AG35" s="210">
        <f t="shared" si="18"/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0"/>
        <v>C</v>
      </c>
      <c r="E36" s="199">
        <v>43839.333333333336</v>
      </c>
      <c r="F36" s="200" t="s">
        <v>115</v>
      </c>
      <c r="G36" s="201">
        <v>143.34899999999999</v>
      </c>
      <c r="H36" s="201">
        <v>141.71799999999999</v>
      </c>
      <c r="I36" s="202">
        <f t="shared" si="1"/>
        <v>1.6310000000000002</v>
      </c>
      <c r="J36" s="201">
        <v>152.48400000000001</v>
      </c>
      <c r="K36" s="199">
        <v>43850</v>
      </c>
      <c r="L36" s="201">
        <v>143.07300000000001</v>
      </c>
      <c r="M36" s="203">
        <f t="shared" si="2"/>
        <v>-0.27600000000000002</v>
      </c>
      <c r="N36" s="204">
        <f t="shared" si="3"/>
        <v>-0.17</v>
      </c>
      <c r="O36" s="205">
        <f t="shared" si="4"/>
        <v>0</v>
      </c>
      <c r="P36" s="206">
        <f t="shared" si="5"/>
        <v>0</v>
      </c>
      <c r="Q36" s="206">
        <f t="shared" si="6"/>
        <v>-0.17</v>
      </c>
      <c r="R3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Yes</v>
      </c>
      <c r="S3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98030</v>
      </c>
      <c r="T3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100000</v>
      </c>
      <c r="U36" s="208">
        <f ca="1">IF(Tabla33610673486[[#This Row],[Equity]]&lt;Tabla33610673486[[#This Row],[Equity Peak]],(Tabla33610673486[[#This Row],[Equity Peak]]-Tabla33610673486[[#This Row],[Equity]])/Tabla33610673486[[#This Row],[Equity Peak]],"")</f>
        <v>1.9699999999999999E-2</v>
      </c>
      <c r="V36" s="209">
        <f t="shared" si="7"/>
        <v>-0.17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10.666666666664241</v>
      </c>
      <c r="AE36" s="210">
        <f t="shared" si="16"/>
        <v>0</v>
      </c>
      <c r="AF36" s="210">
        <f t="shared" si="17"/>
        <v>10.666666666664241</v>
      </c>
      <c r="AG36" s="210">
        <f t="shared" si="18"/>
        <v>0</v>
      </c>
    </row>
    <row r="37" spans="2:33" ht="15" customHeight="1" x14ac:dyDescent="0.3">
      <c r="B37" s="196" t="s">
        <v>7</v>
      </c>
      <c r="C37" s="197" t="s">
        <v>13</v>
      </c>
      <c r="D37" s="198" t="str">
        <f t="shared" si="0"/>
        <v>C</v>
      </c>
      <c r="E37" s="199">
        <v>43833.833333333336</v>
      </c>
      <c r="F37" s="200" t="s">
        <v>115</v>
      </c>
      <c r="G37" s="201">
        <v>141.30799999999999</v>
      </c>
      <c r="H37" s="201">
        <v>142.78899999999999</v>
      </c>
      <c r="I37" s="202">
        <f t="shared" si="1"/>
        <v>1.4809999999999945</v>
      </c>
      <c r="J37" s="201">
        <v>133.01300000000001</v>
      </c>
      <c r="K37" s="199">
        <v>43836.942361111112</v>
      </c>
      <c r="L37" s="201">
        <v>142.78899999999999</v>
      </c>
      <c r="M37" s="203">
        <f t="shared" si="2"/>
        <v>-1.4810000000000001</v>
      </c>
      <c r="N37" s="204">
        <f t="shared" si="3"/>
        <v>-1</v>
      </c>
      <c r="O37" s="205">
        <f t="shared" si="4"/>
        <v>0</v>
      </c>
      <c r="P37" s="206">
        <f t="shared" si="5"/>
        <v>0</v>
      </c>
      <c r="Q37" s="206">
        <f t="shared" si="6"/>
        <v>-1</v>
      </c>
      <c r="R3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Yes</v>
      </c>
      <c r="S3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98200</v>
      </c>
      <c r="T3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100000</v>
      </c>
      <c r="U37" s="208">
        <f ca="1">IF(Tabla33610673486[[#This Row],[Equity]]&lt;Tabla33610673486[[#This Row],[Equity Peak]],(Tabla33610673486[[#This Row],[Equity Peak]]-Tabla33610673486[[#This Row],[Equity]])/Tabla33610673486[[#This Row],[Equity Peak]],"")</f>
        <v>1.7999999999999999E-2</v>
      </c>
      <c r="V37" s="209">
        <f t="shared" si="7"/>
        <v>-1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3.109027777776646</v>
      </c>
      <c r="AE37" s="210">
        <f t="shared" si="16"/>
        <v>0</v>
      </c>
      <c r="AF37" s="210">
        <f t="shared" si="17"/>
        <v>3.109027777776646</v>
      </c>
      <c r="AG37" s="210">
        <f t="shared" si="18"/>
        <v>0</v>
      </c>
    </row>
    <row r="38" spans="2:33" ht="15" customHeight="1" x14ac:dyDescent="0.3">
      <c r="B38" s="196" t="s">
        <v>7</v>
      </c>
      <c r="C38" s="197" t="s">
        <v>15</v>
      </c>
      <c r="D38" s="198" t="str">
        <f t="shared" si="0"/>
        <v>C</v>
      </c>
      <c r="E38" s="199">
        <v>43826.833333333336</v>
      </c>
      <c r="F38" s="200" t="s">
        <v>115</v>
      </c>
      <c r="G38" s="201">
        <v>143.38800000000001</v>
      </c>
      <c r="H38" s="201">
        <v>142.35400000000001</v>
      </c>
      <c r="I38" s="202">
        <f t="shared" si="1"/>
        <v>1.0339999999999918</v>
      </c>
      <c r="J38" s="201">
        <v>149.178</v>
      </c>
      <c r="K38" s="199">
        <v>43832.768750000003</v>
      </c>
      <c r="L38" s="201">
        <v>142.55600000000001</v>
      </c>
      <c r="M38" s="203">
        <f t="shared" si="2"/>
        <v>-0.83199999999999996</v>
      </c>
      <c r="N38" s="204">
        <f t="shared" si="3"/>
        <v>-0.8</v>
      </c>
      <c r="O38" s="205">
        <f t="shared" si="4"/>
        <v>0</v>
      </c>
      <c r="P38" s="206">
        <f t="shared" si="5"/>
        <v>0</v>
      </c>
      <c r="Q38" s="206">
        <f t="shared" si="6"/>
        <v>-0.8</v>
      </c>
      <c r="R3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Yes</v>
      </c>
      <c r="S3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99200</v>
      </c>
      <c r="T3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100000</v>
      </c>
      <c r="U38" s="208">
        <f ca="1">IF(Tabla33610673486[[#This Row],[Equity]]&lt;Tabla33610673486[[#This Row],[Equity Peak]],(Tabla33610673486[[#This Row],[Equity Peak]]-Tabla33610673486[[#This Row],[Equity]])/Tabla33610673486[[#This Row],[Equity Peak]],"")</f>
        <v>8.0000000000000002E-3</v>
      </c>
      <c r="V38" s="209">
        <f t="shared" si="7"/>
        <v>-0.8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0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5.9354166666671517</v>
      </c>
      <c r="AE38" s="210">
        <f t="shared" si="16"/>
        <v>0</v>
      </c>
      <c r="AF38" s="210">
        <f t="shared" si="17"/>
        <v>5.9354166666671517</v>
      </c>
      <c r="AG38" s="210">
        <f t="shared" si="18"/>
        <v>0</v>
      </c>
    </row>
  </sheetData>
  <sheetProtection algorithmName="SHA-512" hashValue="q3gphUY3LO0N+yO9KlGmydGsm/TzNViXcokxuNKTpb6gmR+3iM1+cGi9bQX6AXB5W8OB2tJck9x1zeGg2AwY8g==" saltValue="n0oGXkcT1ENlOWR/HPDYp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587" priority="3" operator="equal">
      <formula>"OK"</formula>
    </cfRule>
    <cfRule type="cellIs" dxfId="586" priority="4" operator="equal">
      <formula>"warning"</formula>
    </cfRule>
  </conditionalFormatting>
  <conditionalFormatting sqref="F13">
    <cfRule type="cellIs" dxfId="585" priority="1" operator="equal">
      <formula>"OK"</formula>
    </cfRule>
    <cfRule type="cellIs" dxfId="584" priority="2" operator="equal">
      <formula>"Error!!"</formula>
    </cfRule>
  </conditionalFormatting>
  <conditionalFormatting sqref="E15:H15 K15:L15">
    <cfRule type="expression" dxfId="583" priority="5">
      <formula>+$D15=#REF!</formula>
    </cfRule>
    <cfRule type="expression" dxfId="582" priority="6">
      <formula>+$D15=#REF!</formula>
    </cfRule>
  </conditionalFormatting>
  <conditionalFormatting sqref="D15 K16:L16 D16:H38 J17:L38">
    <cfRule type="expression" dxfId="581" priority="7">
      <formula>+$D15=$AG$8</formula>
    </cfRule>
    <cfRule type="expression" dxfId="58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AB7F42FF-7086-4118-9F61-EE48B144E201}">
      <formula1>$AE$4:$AE$6</formula1>
    </dataValidation>
    <dataValidation type="list" allowBlank="1" showInputMessage="1" showErrorMessage="1" promptTitle="Trade Direction" prompt="Select from List" sqref="C15:C16" xr:uid="{1AE83EB6-FD86-48DD-9F5C-0A4E901AA529}">
      <formula1>$AG$4:$AG$5</formula1>
    </dataValidation>
    <dataValidation type="list" allowBlank="1" showInputMessage="1" showErrorMessage="1" promptTitle="Instrument Type" prompt="Select Type from List_x000a_" sqref="B17:B38" xr:uid="{57BDEC59-C494-4F9E-9F44-5589DAAA689D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5ADB-F431-46BF-AD09-C633174D4314}">
  <sheetPr codeName="Hoja24">
    <pageSetUpPr fitToPage="1"/>
  </sheetPr>
  <dimension ref="A1:AX33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COUNTA(Tabla336106734818[Inst])</f>
        <v>17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2.3699999999999992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2.3699999999999992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COUNTIF(Tabla336106734818[No. of Rs],"&gt;0")</f>
        <v>4</v>
      </c>
      <c r="G7" s="24">
        <f>IFERROR((F7/$F$6),"")</f>
        <v>0.23529411764705882</v>
      </c>
      <c r="H7" s="78">
        <f>IFERROR((+P13/F7),"")</f>
        <v>2.6675</v>
      </c>
      <c r="I7" s="227">
        <f>H7/H9</f>
        <v>4.1780120481927705</v>
      </c>
      <c r="J7" s="227">
        <f>AVERAGE(Tabla336106734818[No. of Rs])</f>
        <v>0.13941176470588232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COUNTIF(Tabla336106734818[No.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OFFSET(Tabla336106734818[[#Headers],[Equity]],1,0)</f>
        <v>102370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COUNTIF(Tabla336106734818[No. of Rs],"&lt;0")</f>
        <v>13</v>
      </c>
      <c r="G9" s="32">
        <f>IFERROR((F9/$F$6),"")</f>
        <v>0.76470588235294112</v>
      </c>
      <c r="H9" s="79">
        <f>IFERROR((-Q13/F9),"")</f>
        <v>0.63846153846153852</v>
      </c>
      <c r="I9" s="229"/>
      <c r="J9" s="229"/>
      <c r="K9" s="149"/>
      <c r="L9" s="230" t="s">
        <v>106</v>
      </c>
      <c r="M9" s="231"/>
      <c r="N9" s="125">
        <f ca="1">MAX(Tabla336106734818[Drawdown])</f>
        <v>4.5199999999999997E-2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OFFSET(Tabla336106734818[[#Headers],[Drawdown]],1,0)</f>
        <v>1.7552413456850316E-3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COUNTIF(Tabla336106734818[Heat],"&lt;0")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IF(COUNTIFS(Tabla336106734818[O/C],"O")&lt;1,"None",COUNTIFS(Tabla336106734818[O/C],"O"))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SUM(Tabla336106734818[No. of Rs])</f>
        <v>2.3699999999999992</v>
      </c>
      <c r="O13" s="42">
        <f>SUM(Tabla336106734818[Heat])</f>
        <v>0</v>
      </c>
      <c r="P13" s="43">
        <f>SUM(Tabla336106734818[[ TR WIN]])</f>
        <v>10.67</v>
      </c>
      <c r="Q13" s="43">
        <f>SUM(Tabla336106734818[[ TR LOSS]])</f>
        <v>-8.3000000000000007</v>
      </c>
      <c r="R13" s="114"/>
      <c r="S13" s="115"/>
      <c r="T13" s="115"/>
      <c r="U13" s="121"/>
      <c r="V13" s="44">
        <f>SUM(Tabla336106734818[Currency])</f>
        <v>2.3699999999999992</v>
      </c>
      <c r="W13" s="44">
        <f>SUM(Tabla336106734818[Heat3])</f>
        <v>0</v>
      </c>
      <c r="X13" s="44">
        <f>SUM(Tabla336106734818[Commodities])</f>
        <v>0</v>
      </c>
      <c r="Y13" s="44">
        <f>SUM(Tabla336106734818[Heat4])</f>
        <v>0</v>
      </c>
      <c r="Z13" s="44">
        <f>SUM(Tabla336106734818[Index])</f>
        <v>0</v>
      </c>
      <c r="AA13" s="44">
        <f>SUM(Tabla336106734818[Heat5])</f>
        <v>0</v>
      </c>
      <c r="AB13" s="44">
        <f>SUM(Tabla336106734818[Cryptocurrency])</f>
        <v>0</v>
      </c>
      <c r="AC13" s="44">
        <f>SUM(Tabla336106734818[Heat6])</f>
        <v>0</v>
      </c>
      <c r="AD13" s="75">
        <f>AVERAGEIF(Tabla336106734818[Length of 
Trade],"&lt;&gt;0")</f>
        <v>6.9711601307186788</v>
      </c>
      <c r="AE13" s="75">
        <f>AVERAGEIF(Tabla336106734818[Win],"&lt;&gt;0")</f>
        <v>16.940277777779556</v>
      </c>
      <c r="AF13" s="75">
        <f>AVERAGEIF(Tabla336106734818[Loss],"&lt;&gt;0")</f>
        <v>3.9037393162384082</v>
      </c>
      <c r="AG13" s="76" t="e">
        <f>AVERAGEIF(Tabla336106734818[Breakeven],"&lt;&gt;0")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21" si="0">IF(E17&lt;&gt;"",IF(K17&lt;&gt;"","C","O"),"")</f>
        <v>C</v>
      </c>
      <c r="E17" s="199">
        <v>44181.166666666664</v>
      </c>
      <c r="F17" s="200" t="s">
        <v>114</v>
      </c>
      <c r="G17" s="201">
        <v>1.3439399999999999</v>
      </c>
      <c r="H17" s="201">
        <v>1.3282400000000001</v>
      </c>
      <c r="I17" s="202">
        <f t="shared" ref="I17:I21" si="1">ABS(G17-H17)</f>
        <v>1.5699999999999825E-2</v>
      </c>
      <c r="J17" s="201">
        <v>1.4067400000000001</v>
      </c>
      <c r="K17" s="199">
        <v>44186</v>
      </c>
      <c r="L17" s="201">
        <v>1.3410200000000001</v>
      </c>
      <c r="M17" s="203">
        <f t="shared" ref="M17:M21" si="2">ROUND(IF(C17="L",(L17-G17),(G17-L17)),4)</f>
        <v>-2.8999999999999998E-3</v>
      </c>
      <c r="N17" s="204">
        <f t="shared" ref="N17:N21" si="3">IFERROR(ROUND((M17/I17),2),"")</f>
        <v>-0.18</v>
      </c>
      <c r="O17" s="205">
        <f t="shared" ref="O17:O21" si="4">IF(D17="O",IF(N17&lt;0,N17,0),0)</f>
        <v>0</v>
      </c>
      <c r="P17" s="206">
        <f t="shared" ref="P17:P21" si="5">IF(N17&gt;= 0,N17,0)</f>
        <v>0</v>
      </c>
      <c r="Q17" s="206">
        <f t="shared" ref="Q17:Q21" si="6">IF(N17&lt;0,N17,0)</f>
        <v>-0.18</v>
      </c>
      <c r="R17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17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102370</v>
      </c>
      <c r="T17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102550</v>
      </c>
      <c r="U17" s="208">
        <f ca="1">IF(Tabla336106734818[[#This Row],[Equity]]&lt;Tabla336106734818[[#This Row],[Equity Peak]],(Tabla336106734818[[#This Row],[Equity Peak]]-Tabla336106734818[[#This Row],[Equity]])/Tabla336106734818[[#This Row],[Equity Peak]],"")</f>
        <v>1.7552413456850316E-3</v>
      </c>
      <c r="V17" s="209">
        <f t="shared" ref="V17:V21" si="7">IF(B17="FX",N17,0)</f>
        <v>-0.18</v>
      </c>
      <c r="W17" s="209">
        <f t="shared" ref="W17:W21" si="8">IF(D17="O",IF(V17&lt;0,V17,0),0)</f>
        <v>0</v>
      </c>
      <c r="X17" s="209">
        <f t="shared" ref="X17:X21" si="9">IF(B17="COM",N17,0)</f>
        <v>0</v>
      </c>
      <c r="Y17" s="209">
        <f t="shared" ref="Y17:Y21" si="10">IF(D17="O",IF(X17&lt;0,X17,0),0)</f>
        <v>0</v>
      </c>
      <c r="Z17" s="209">
        <f t="shared" ref="Z17:Z21" si="11">IF(B17="IND",N17,0)</f>
        <v>0</v>
      </c>
      <c r="AA17" s="205">
        <f t="shared" ref="AA17:AA21" si="12">IF(D17="O",IF(Z17&lt;0,Z17,0),0)</f>
        <v>0</v>
      </c>
      <c r="AB17" s="209">
        <f t="shared" ref="AB17:AB21" si="13">IF(B17="CRYPTO",N17,0)</f>
        <v>0</v>
      </c>
      <c r="AC17" s="205">
        <f t="shared" ref="AC17:AC21" si="14">IF(D17="O",IF(AB17&lt;0,AB17,0),0)</f>
        <v>0</v>
      </c>
      <c r="AD17" s="210">
        <f t="shared" ref="AD17:AD21" si="15">IF(K17&lt;&gt;"",K17-E17,0)</f>
        <v>4.8333333333357587</v>
      </c>
      <c r="AE17" s="210">
        <f t="shared" ref="AE17:AE21" si="16">IF(N17&gt;0,AD17,0)</f>
        <v>0</v>
      </c>
      <c r="AF17" s="210">
        <f t="shared" ref="AF17:AF21" si="17">IF(N17&lt;0,AD17,0)</f>
        <v>4.8333333333357587</v>
      </c>
      <c r="AG17" s="210">
        <f t="shared" ref="AG17:AG21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44140.666666666664</v>
      </c>
      <c r="F18" s="200" t="s">
        <v>114</v>
      </c>
      <c r="G18" s="201">
        <v>1.3087599999999999</v>
      </c>
      <c r="H18" s="201">
        <v>1.2898499999999999</v>
      </c>
      <c r="I18" s="202">
        <f t="shared" si="1"/>
        <v>1.8909999999999982E-2</v>
      </c>
      <c r="J18" s="201">
        <v>1.3844099999999999</v>
      </c>
      <c r="K18" s="199">
        <v>44172.431250000001</v>
      </c>
      <c r="L18" s="201">
        <v>1.329</v>
      </c>
      <c r="M18" s="203">
        <f t="shared" si="2"/>
        <v>2.0199999999999999E-2</v>
      </c>
      <c r="N18" s="204">
        <f t="shared" si="3"/>
        <v>1.07</v>
      </c>
      <c r="O18" s="205">
        <f t="shared" si="4"/>
        <v>0</v>
      </c>
      <c r="P18" s="206">
        <f t="shared" si="5"/>
        <v>1.07</v>
      </c>
      <c r="Q18" s="206">
        <f t="shared" si="6"/>
        <v>0</v>
      </c>
      <c r="R18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18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102550</v>
      </c>
      <c r="T18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102550</v>
      </c>
      <c r="U18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18" s="209">
        <f t="shared" si="7"/>
        <v>1.07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31.764583333337214</v>
      </c>
      <c r="AE18" s="210">
        <f t="shared" si="16"/>
        <v>31.764583333337214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44125.5</v>
      </c>
      <c r="F19" s="200" t="s">
        <v>114</v>
      </c>
      <c r="G19" s="201">
        <v>1.304</v>
      </c>
      <c r="H19" s="201">
        <v>1.2923500000000001</v>
      </c>
      <c r="I19" s="202">
        <f t="shared" si="1"/>
        <v>1.1649999999999938E-2</v>
      </c>
      <c r="J19" s="201">
        <v>1.3506100000000001</v>
      </c>
      <c r="K19" s="199">
        <v>44132.51458333333</v>
      </c>
      <c r="L19" s="201">
        <v>1.2979799999999999</v>
      </c>
      <c r="M19" s="203">
        <f t="shared" si="2"/>
        <v>-6.0000000000000001E-3</v>
      </c>
      <c r="N19" s="204">
        <f t="shared" si="3"/>
        <v>-0.52</v>
      </c>
      <c r="O19" s="205">
        <f t="shared" si="4"/>
        <v>0</v>
      </c>
      <c r="P19" s="206">
        <f t="shared" si="5"/>
        <v>0</v>
      </c>
      <c r="Q19" s="206">
        <f t="shared" si="6"/>
        <v>-0.52</v>
      </c>
      <c r="R19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19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101480</v>
      </c>
      <c r="T19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102460</v>
      </c>
      <c r="U19" s="208">
        <f ca="1">IF(Tabla336106734818[[#This Row],[Equity]]&lt;Tabla336106734818[[#This Row],[Equity Peak]],(Tabla336106734818[[#This Row],[Equity Peak]]-Tabla336106734818[[#This Row],[Equity]])/Tabla336106734818[[#This Row],[Equity Peak]],"")</f>
        <v>9.5647081788014839E-3</v>
      </c>
      <c r="V19" s="209">
        <f t="shared" si="7"/>
        <v>-0.52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7.0145833333299379</v>
      </c>
      <c r="AE19" s="210">
        <f t="shared" si="16"/>
        <v>0</v>
      </c>
      <c r="AF19" s="210">
        <f t="shared" si="17"/>
        <v>7.0145833333299379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15</v>
      </c>
      <c r="D20" s="198" t="str">
        <f t="shared" si="0"/>
        <v>C</v>
      </c>
      <c r="E20" s="199">
        <v>44104.833333333336</v>
      </c>
      <c r="F20" s="200" t="s">
        <v>114</v>
      </c>
      <c r="G20" s="201">
        <v>1.29111</v>
      </c>
      <c r="H20" s="201">
        <v>1.278</v>
      </c>
      <c r="I20" s="202">
        <f t="shared" si="1"/>
        <v>1.3109999999999955E-2</v>
      </c>
      <c r="J20" s="201">
        <v>1.34355</v>
      </c>
      <c r="K20" s="199">
        <v>44111.589583333334</v>
      </c>
      <c r="L20" s="201">
        <v>1.2850900000000001</v>
      </c>
      <c r="M20" s="203">
        <f t="shared" si="2"/>
        <v>-6.0000000000000001E-3</v>
      </c>
      <c r="N20" s="204">
        <f t="shared" si="3"/>
        <v>-0.46</v>
      </c>
      <c r="O20" s="205">
        <f t="shared" si="4"/>
        <v>0</v>
      </c>
      <c r="P20" s="206">
        <f t="shared" si="5"/>
        <v>0</v>
      </c>
      <c r="Q20" s="206">
        <f t="shared" si="6"/>
        <v>-0.46</v>
      </c>
      <c r="R20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0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102000</v>
      </c>
      <c r="T20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102460</v>
      </c>
      <c r="U20" s="208">
        <f ca="1">IF(Tabla336106734818[[#This Row],[Equity]]&lt;Tabla336106734818[[#This Row],[Equity Peak]],(Tabla336106734818[[#This Row],[Equity Peak]]-Tabla336106734818[[#This Row],[Equity]])/Tabla336106734818[[#This Row],[Equity Peak]],"")</f>
        <v>4.4895569002537574E-3</v>
      </c>
      <c r="V20" s="209">
        <f t="shared" si="7"/>
        <v>-0.46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6.7562499999985448</v>
      </c>
      <c r="AE20" s="210">
        <f t="shared" si="16"/>
        <v>0</v>
      </c>
      <c r="AF20" s="210">
        <f t="shared" si="17"/>
        <v>6.7562499999985448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0"/>
        <v>C</v>
      </c>
      <c r="E21" s="199">
        <v>44069.166666666664</v>
      </c>
      <c r="F21" s="200" t="s">
        <v>114</v>
      </c>
      <c r="G21" s="201">
        <v>1.31436</v>
      </c>
      <c r="H21" s="201">
        <v>1.3056700000000001</v>
      </c>
      <c r="I21" s="202">
        <f t="shared" si="1"/>
        <v>8.6899999999998645E-3</v>
      </c>
      <c r="J21" s="201">
        <v>1.3491200000000001</v>
      </c>
      <c r="K21" s="199">
        <v>44077.411111111112</v>
      </c>
      <c r="L21" s="201">
        <v>1.3283</v>
      </c>
      <c r="M21" s="203">
        <f t="shared" si="2"/>
        <v>1.3899999999999999E-2</v>
      </c>
      <c r="N21" s="204">
        <f t="shared" si="3"/>
        <v>1.6</v>
      </c>
      <c r="O21" s="205">
        <f t="shared" si="4"/>
        <v>0</v>
      </c>
      <c r="P21" s="206">
        <f t="shared" si="5"/>
        <v>1.6</v>
      </c>
      <c r="Q21" s="206">
        <f t="shared" si="6"/>
        <v>0</v>
      </c>
      <c r="R21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1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102460</v>
      </c>
      <c r="T21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102460</v>
      </c>
      <c r="U21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21" s="209">
        <f t="shared" si="7"/>
        <v>1.6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8.2444444444481633</v>
      </c>
      <c r="AE21" s="210">
        <f t="shared" si="16"/>
        <v>8.2444444444481633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15</v>
      </c>
      <c r="D22" s="198" t="str">
        <f t="shared" ref="D22:D33" si="19">IF(E22&lt;&gt;"",IF(K22&lt;&gt;"","C","O"),"")</f>
        <v>C</v>
      </c>
      <c r="E22" s="199">
        <v>44039.166666666664</v>
      </c>
      <c r="F22" s="200" t="s">
        <v>114</v>
      </c>
      <c r="G22" s="201">
        <v>1.2816799999999999</v>
      </c>
      <c r="H22" s="201">
        <v>1.2716700000000001</v>
      </c>
      <c r="I22" s="202">
        <f t="shared" ref="I22:I33" si="20">ABS(G22-H22)</f>
        <v>1.0009999999999852E-2</v>
      </c>
      <c r="J22" s="201">
        <v>1.3217099999999999</v>
      </c>
      <c r="K22" s="199">
        <v>44061.691666666666</v>
      </c>
      <c r="L22" s="201">
        <v>1.3217099999999999</v>
      </c>
      <c r="M22" s="203">
        <f t="shared" ref="M22:M33" si="21">ROUND(IF(C22="L",(L22-G22),(G22-L22)),4)</f>
        <v>0.04</v>
      </c>
      <c r="N22" s="204">
        <f t="shared" ref="N22:N33" si="22">IFERROR(ROUND((M22/I22),2),"")</f>
        <v>4</v>
      </c>
      <c r="O22" s="205">
        <f t="shared" ref="O22:O33" si="23">IF(D22="O",IF(N22&lt;0,N22,0),0)</f>
        <v>0</v>
      </c>
      <c r="P22" s="206">
        <f t="shared" ref="P22:P33" si="24">IF(N22&gt;= 0,N22,0)</f>
        <v>4</v>
      </c>
      <c r="Q22" s="206">
        <f t="shared" ref="Q22:Q33" si="25">IF(N22&lt;0,N22,0)</f>
        <v>0</v>
      </c>
      <c r="R22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2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100860</v>
      </c>
      <c r="T22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100860</v>
      </c>
      <c r="U22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22" s="209">
        <f t="shared" ref="V22:V33" si="26">IF(B22="FX",N22,0)</f>
        <v>4</v>
      </c>
      <c r="W22" s="209">
        <f t="shared" ref="W22:W33" si="27">IF(D22="O",IF(V22&lt;0,V22,0),0)</f>
        <v>0</v>
      </c>
      <c r="X22" s="209">
        <f t="shared" ref="X22:X33" si="28">IF(B22="COM",N22,0)</f>
        <v>0</v>
      </c>
      <c r="Y22" s="209">
        <f t="shared" ref="Y22:Y33" si="29">IF(D22="O",IF(X22&lt;0,X22,0),0)</f>
        <v>0</v>
      </c>
      <c r="Z22" s="209">
        <f t="shared" ref="Z22:Z33" si="30">IF(B22="IND",N22,0)</f>
        <v>0</v>
      </c>
      <c r="AA22" s="205">
        <f t="shared" ref="AA22:AA33" si="31">IF(D22="O",IF(Z22&lt;0,Z22,0),0)</f>
        <v>0</v>
      </c>
      <c r="AB22" s="209">
        <f t="shared" ref="AB22:AB33" si="32">IF(B22="CRYPTO",N22,0)</f>
        <v>0</v>
      </c>
      <c r="AC22" s="205">
        <f t="shared" ref="AC22:AC33" si="33">IF(D22="O",IF(AB22&lt;0,AB22,0),0)</f>
        <v>0</v>
      </c>
      <c r="AD22" s="210">
        <f t="shared" ref="AD22:AD33" si="34">IF(K22&lt;&gt;"",K22-E22,0)</f>
        <v>22.525000000001455</v>
      </c>
      <c r="AE22" s="210">
        <f t="shared" ref="AE22:AE33" si="35">IF(N22&gt;0,AD22,0)</f>
        <v>22.525000000001455</v>
      </c>
      <c r="AF22" s="210">
        <f t="shared" ref="AF22:AF33" si="36">IF(N22&lt;0,AD22,0)</f>
        <v>0</v>
      </c>
      <c r="AG22" s="210">
        <f t="shared" ref="AG22:AG33" si="37">IF(N22=0,AD22,0)</f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19"/>
        <v>C</v>
      </c>
      <c r="E23" s="199">
        <v>43998.333333333336</v>
      </c>
      <c r="F23" s="200" t="s">
        <v>114</v>
      </c>
      <c r="G23" s="201">
        <v>1.2661899999999999</v>
      </c>
      <c r="H23" s="201">
        <v>1.2510399999999999</v>
      </c>
      <c r="I23" s="202">
        <f t="shared" si="20"/>
        <v>1.5149999999999997E-2</v>
      </c>
      <c r="J23" s="201">
        <v>1.3267899999999999</v>
      </c>
      <c r="K23" s="199">
        <v>44000.492361111108</v>
      </c>
      <c r="L23" s="201">
        <v>1.2510399999999999</v>
      </c>
      <c r="M23" s="203">
        <f t="shared" si="21"/>
        <v>-1.52E-2</v>
      </c>
      <c r="N23" s="204">
        <f t="shared" si="22"/>
        <v>-1</v>
      </c>
      <c r="O23" s="205">
        <f t="shared" si="23"/>
        <v>0</v>
      </c>
      <c r="P23" s="206">
        <f t="shared" si="24"/>
        <v>0</v>
      </c>
      <c r="Q23" s="206">
        <f t="shared" si="25"/>
        <v>-1</v>
      </c>
      <c r="R23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3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96860</v>
      </c>
      <c r="T23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23" s="208">
        <f ca="1">IF(Tabla336106734818[[#This Row],[Equity]]&lt;Tabla336106734818[[#This Row],[Equity Peak]],(Tabla336106734818[[#This Row],[Equity Peak]]-Tabla336106734818[[#This Row],[Equity]])/Tabla336106734818[[#This Row],[Equity Peak]],"")</f>
        <v>3.1399999999999997E-2</v>
      </c>
      <c r="V23" s="209">
        <f t="shared" si="26"/>
        <v>-1</v>
      </c>
      <c r="W23" s="209">
        <f t="shared" si="27"/>
        <v>0</v>
      </c>
      <c r="X23" s="209">
        <f t="shared" si="28"/>
        <v>0</v>
      </c>
      <c r="Y23" s="209">
        <f t="shared" si="29"/>
        <v>0</v>
      </c>
      <c r="Z23" s="209">
        <f t="shared" si="30"/>
        <v>0</v>
      </c>
      <c r="AA23" s="205">
        <f t="shared" si="31"/>
        <v>0</v>
      </c>
      <c r="AB23" s="209">
        <f t="shared" si="32"/>
        <v>0</v>
      </c>
      <c r="AC23" s="205">
        <f t="shared" si="33"/>
        <v>0</v>
      </c>
      <c r="AD23" s="210">
        <f t="shared" si="34"/>
        <v>2.1590277777722804</v>
      </c>
      <c r="AE23" s="210">
        <f t="shared" si="35"/>
        <v>0</v>
      </c>
      <c r="AF23" s="210">
        <f t="shared" si="36"/>
        <v>2.1590277777722804</v>
      </c>
      <c r="AG23" s="210">
        <f t="shared" si="37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19"/>
        <v>C</v>
      </c>
      <c r="E24" s="199">
        <v>43957.666666666664</v>
      </c>
      <c r="F24" s="200" t="s">
        <v>114</v>
      </c>
      <c r="G24" s="201">
        <v>1.23872</v>
      </c>
      <c r="H24" s="201">
        <v>1.2480899999999999</v>
      </c>
      <c r="I24" s="202">
        <f t="shared" si="20"/>
        <v>9.3699999999998784E-3</v>
      </c>
      <c r="J24" s="201">
        <v>1.20123</v>
      </c>
      <c r="K24" s="199">
        <v>43959.73333333333</v>
      </c>
      <c r="L24" s="201">
        <v>1.24448</v>
      </c>
      <c r="M24" s="203">
        <f t="shared" si="21"/>
        <v>-5.7999999999999996E-3</v>
      </c>
      <c r="N24" s="204">
        <f t="shared" si="22"/>
        <v>-0.62</v>
      </c>
      <c r="O24" s="205">
        <f t="shared" si="23"/>
        <v>0</v>
      </c>
      <c r="P24" s="206">
        <f t="shared" si="24"/>
        <v>0</v>
      </c>
      <c r="Q24" s="206">
        <f t="shared" si="25"/>
        <v>-0.62</v>
      </c>
      <c r="R24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4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97860</v>
      </c>
      <c r="T24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24" s="208">
        <f ca="1">IF(Tabla336106734818[[#This Row],[Equity]]&lt;Tabla336106734818[[#This Row],[Equity Peak]],(Tabla336106734818[[#This Row],[Equity Peak]]-Tabla336106734818[[#This Row],[Equity]])/Tabla336106734818[[#This Row],[Equity Peak]],"")</f>
        <v>2.1399999999999999E-2</v>
      </c>
      <c r="V24" s="209">
        <f t="shared" si="26"/>
        <v>-0.62</v>
      </c>
      <c r="W24" s="209">
        <f t="shared" si="27"/>
        <v>0</v>
      </c>
      <c r="X24" s="209">
        <f t="shared" si="28"/>
        <v>0</v>
      </c>
      <c r="Y24" s="209">
        <f t="shared" si="29"/>
        <v>0</v>
      </c>
      <c r="Z24" s="209">
        <f t="shared" si="30"/>
        <v>0</v>
      </c>
      <c r="AA24" s="205">
        <f t="shared" si="31"/>
        <v>0</v>
      </c>
      <c r="AB24" s="209">
        <f t="shared" si="32"/>
        <v>0</v>
      </c>
      <c r="AC24" s="205">
        <f t="shared" si="33"/>
        <v>0</v>
      </c>
      <c r="AD24" s="210">
        <f t="shared" si="34"/>
        <v>2.0666666666656965</v>
      </c>
      <c r="AE24" s="210">
        <f t="shared" si="35"/>
        <v>0</v>
      </c>
      <c r="AF24" s="210">
        <f t="shared" si="36"/>
        <v>2.0666666666656965</v>
      </c>
      <c r="AG24" s="210">
        <f t="shared" si="37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19"/>
        <v>C</v>
      </c>
      <c r="E25" s="199">
        <v>43942.666666666664</v>
      </c>
      <c r="F25" s="200" t="s">
        <v>114</v>
      </c>
      <c r="G25" s="201">
        <v>1.2276899999999999</v>
      </c>
      <c r="H25" s="201">
        <v>1.2412000000000001</v>
      </c>
      <c r="I25" s="202">
        <f t="shared" si="20"/>
        <v>1.3510000000000133E-2</v>
      </c>
      <c r="J25" s="201">
        <v>1.17364</v>
      </c>
      <c r="K25" s="199">
        <v>43944.73541666667</v>
      </c>
      <c r="L25" s="201">
        <v>1.2412000000000001</v>
      </c>
      <c r="M25" s="203">
        <f t="shared" si="21"/>
        <v>-1.35E-2</v>
      </c>
      <c r="N25" s="204">
        <f t="shared" si="22"/>
        <v>-1</v>
      </c>
      <c r="O25" s="205">
        <f t="shared" si="23"/>
        <v>0</v>
      </c>
      <c r="P25" s="206">
        <f t="shared" si="24"/>
        <v>0</v>
      </c>
      <c r="Q25" s="206">
        <f t="shared" si="25"/>
        <v>-1</v>
      </c>
      <c r="R25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5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98480</v>
      </c>
      <c r="T25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25" s="208">
        <f ca="1">IF(Tabla336106734818[[#This Row],[Equity]]&lt;Tabla336106734818[[#This Row],[Equity Peak]],(Tabla336106734818[[#This Row],[Equity Peak]]-Tabla336106734818[[#This Row],[Equity]])/Tabla336106734818[[#This Row],[Equity Peak]],"")</f>
        <v>1.52E-2</v>
      </c>
      <c r="V25" s="209">
        <f t="shared" si="26"/>
        <v>-1</v>
      </c>
      <c r="W25" s="209">
        <f t="shared" si="27"/>
        <v>0</v>
      </c>
      <c r="X25" s="209">
        <f t="shared" si="28"/>
        <v>0</v>
      </c>
      <c r="Y25" s="209">
        <f t="shared" si="29"/>
        <v>0</v>
      </c>
      <c r="Z25" s="209">
        <f t="shared" si="30"/>
        <v>0</v>
      </c>
      <c r="AA25" s="205">
        <f t="shared" si="31"/>
        <v>0</v>
      </c>
      <c r="AB25" s="209">
        <f t="shared" si="32"/>
        <v>0</v>
      </c>
      <c r="AC25" s="205">
        <f t="shared" si="33"/>
        <v>0</v>
      </c>
      <c r="AD25" s="210">
        <f t="shared" si="34"/>
        <v>2.0687500000058208</v>
      </c>
      <c r="AE25" s="210">
        <f t="shared" si="35"/>
        <v>0</v>
      </c>
      <c r="AF25" s="210">
        <f t="shared" si="36"/>
        <v>2.0687500000058208</v>
      </c>
      <c r="AG25" s="210">
        <f t="shared" si="37"/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19"/>
        <v>C</v>
      </c>
      <c r="E26" s="199">
        <v>43902.333333333336</v>
      </c>
      <c r="F26" s="200" t="s">
        <v>114</v>
      </c>
      <c r="G26" s="201">
        <v>1.2814000000000001</v>
      </c>
      <c r="H26" s="201">
        <v>1.2982100000000001</v>
      </c>
      <c r="I26" s="202">
        <f t="shared" si="20"/>
        <v>1.6809999999999992E-2</v>
      </c>
      <c r="J26" s="201">
        <v>1.21414</v>
      </c>
      <c r="K26" s="199">
        <v>43907.560416666667</v>
      </c>
      <c r="L26" s="201">
        <v>1.21414</v>
      </c>
      <c r="M26" s="203">
        <f t="shared" si="21"/>
        <v>6.7299999999999999E-2</v>
      </c>
      <c r="N26" s="204">
        <f t="shared" si="22"/>
        <v>4</v>
      </c>
      <c r="O26" s="205">
        <f t="shared" si="23"/>
        <v>0</v>
      </c>
      <c r="P26" s="206">
        <f t="shared" si="24"/>
        <v>4</v>
      </c>
      <c r="Q26" s="206">
        <f t="shared" si="25"/>
        <v>0</v>
      </c>
      <c r="R26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6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99480</v>
      </c>
      <c r="T26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26" s="208">
        <f ca="1">IF(Tabla336106734818[[#This Row],[Equity]]&lt;Tabla336106734818[[#This Row],[Equity Peak]],(Tabla336106734818[[#This Row],[Equity Peak]]-Tabla336106734818[[#This Row],[Equity]])/Tabla336106734818[[#This Row],[Equity Peak]],"")</f>
        <v>5.1999999999999998E-3</v>
      </c>
      <c r="V26" s="209">
        <f t="shared" si="26"/>
        <v>4</v>
      </c>
      <c r="W26" s="209">
        <f t="shared" si="27"/>
        <v>0</v>
      </c>
      <c r="X26" s="209">
        <f t="shared" si="28"/>
        <v>0</v>
      </c>
      <c r="Y26" s="209">
        <f t="shared" si="29"/>
        <v>0</v>
      </c>
      <c r="Z26" s="209">
        <f t="shared" si="30"/>
        <v>0</v>
      </c>
      <c r="AA26" s="205">
        <f t="shared" si="31"/>
        <v>0</v>
      </c>
      <c r="AB26" s="209">
        <f t="shared" si="32"/>
        <v>0</v>
      </c>
      <c r="AC26" s="205">
        <f t="shared" si="33"/>
        <v>0</v>
      </c>
      <c r="AD26" s="210">
        <f t="shared" si="34"/>
        <v>5.2270833333313931</v>
      </c>
      <c r="AE26" s="210">
        <f t="shared" si="35"/>
        <v>5.2270833333313931</v>
      </c>
      <c r="AF26" s="210">
        <f t="shared" si="36"/>
        <v>0</v>
      </c>
      <c r="AG26" s="210">
        <f t="shared" si="37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19"/>
        <v>C</v>
      </c>
      <c r="E27" s="199">
        <v>43896.333333333336</v>
      </c>
      <c r="F27" s="200" t="s">
        <v>114</v>
      </c>
      <c r="G27" s="201">
        <v>1.2952699999999999</v>
      </c>
      <c r="H27" s="201">
        <v>1.2867299999999999</v>
      </c>
      <c r="I27" s="202">
        <f t="shared" si="20"/>
        <v>8.539999999999992E-3</v>
      </c>
      <c r="J27" s="201">
        <v>1.32944</v>
      </c>
      <c r="K27" s="199">
        <v>43900.776388888888</v>
      </c>
      <c r="L27" s="201">
        <v>1.29383</v>
      </c>
      <c r="M27" s="203">
        <f t="shared" si="21"/>
        <v>-1.4E-3</v>
      </c>
      <c r="N27" s="204">
        <f t="shared" si="22"/>
        <v>-0.16</v>
      </c>
      <c r="O27" s="205">
        <f t="shared" si="23"/>
        <v>0</v>
      </c>
      <c r="P27" s="206">
        <f t="shared" si="24"/>
        <v>0</v>
      </c>
      <c r="Q27" s="206">
        <f t="shared" si="25"/>
        <v>-0.16</v>
      </c>
      <c r="R27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Yes</v>
      </c>
      <c r="S27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95480</v>
      </c>
      <c r="T27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27" s="208">
        <f ca="1">IF(Tabla336106734818[[#This Row],[Equity]]&lt;Tabla336106734818[[#This Row],[Equity Peak]],(Tabla336106734818[[#This Row],[Equity Peak]]-Tabla336106734818[[#This Row],[Equity]])/Tabla336106734818[[#This Row],[Equity Peak]],"")</f>
        <v>4.5199999999999997E-2</v>
      </c>
      <c r="V27" s="209">
        <f t="shared" si="26"/>
        <v>-0.16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0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4.4430555555518367</v>
      </c>
      <c r="AE27" s="210">
        <f t="shared" si="35"/>
        <v>0</v>
      </c>
      <c r="AF27" s="210">
        <f t="shared" si="36"/>
        <v>4.4430555555518367</v>
      </c>
      <c r="AG27" s="210">
        <f t="shared" si="37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19"/>
        <v>C</v>
      </c>
      <c r="E28" s="199">
        <v>43889.833333333336</v>
      </c>
      <c r="F28" s="200" t="s">
        <v>114</v>
      </c>
      <c r="G28" s="201">
        <v>1.2761</v>
      </c>
      <c r="H28" s="201">
        <v>1.2864100000000001</v>
      </c>
      <c r="I28" s="202">
        <f t="shared" si="20"/>
        <v>1.0310000000000041E-2</v>
      </c>
      <c r="J28" s="201">
        <v>1.2348399999999999</v>
      </c>
      <c r="K28" s="199">
        <v>43894.859027777777</v>
      </c>
      <c r="L28" s="201">
        <v>1.2864100000000001</v>
      </c>
      <c r="M28" s="203">
        <f t="shared" si="21"/>
        <v>-1.03E-2</v>
      </c>
      <c r="N28" s="204">
        <f t="shared" si="22"/>
        <v>-1</v>
      </c>
      <c r="O28" s="205">
        <f t="shared" si="23"/>
        <v>0</v>
      </c>
      <c r="P28" s="206">
        <f t="shared" si="24"/>
        <v>0</v>
      </c>
      <c r="Q28" s="206">
        <f t="shared" si="25"/>
        <v>-1</v>
      </c>
      <c r="R28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Yes</v>
      </c>
      <c r="S28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95640</v>
      </c>
      <c r="T28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28" s="208">
        <f ca="1">IF(Tabla336106734818[[#This Row],[Equity]]&lt;Tabla336106734818[[#This Row],[Equity Peak]],(Tabla336106734818[[#This Row],[Equity Peak]]-Tabla336106734818[[#This Row],[Equity]])/Tabla336106734818[[#This Row],[Equity Peak]],"")</f>
        <v>4.36E-2</v>
      </c>
      <c r="V28" s="209">
        <f t="shared" si="26"/>
        <v>-1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0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5.0256944444408873</v>
      </c>
      <c r="AE28" s="210">
        <f t="shared" si="35"/>
        <v>0</v>
      </c>
      <c r="AF28" s="210">
        <f t="shared" si="36"/>
        <v>5.0256944444408873</v>
      </c>
      <c r="AG28" s="210">
        <f t="shared" si="37"/>
        <v>0</v>
      </c>
    </row>
    <row r="29" spans="2:33" ht="15" customHeight="1" x14ac:dyDescent="0.3">
      <c r="B29" s="196" t="s">
        <v>7</v>
      </c>
      <c r="C29" s="197" t="s">
        <v>13</v>
      </c>
      <c r="D29" s="198" t="str">
        <f t="shared" si="19"/>
        <v>C</v>
      </c>
      <c r="E29" s="199">
        <v>43881.017361111109</v>
      </c>
      <c r="F29" s="200" t="s">
        <v>114</v>
      </c>
      <c r="G29" s="201">
        <v>1.2913699999999999</v>
      </c>
      <c r="H29" s="201">
        <v>1.2981799999999999</v>
      </c>
      <c r="I29" s="202">
        <f t="shared" si="20"/>
        <v>6.8099999999999827E-3</v>
      </c>
      <c r="J29" s="201">
        <v>1.26413</v>
      </c>
      <c r="K29" s="199">
        <v>43882.734722222223</v>
      </c>
      <c r="L29" s="201">
        <v>1.2972900000000001</v>
      </c>
      <c r="M29" s="203">
        <f t="shared" si="21"/>
        <v>-5.8999999999999999E-3</v>
      </c>
      <c r="N29" s="204">
        <f t="shared" si="22"/>
        <v>-0.87</v>
      </c>
      <c r="O29" s="205">
        <f t="shared" si="23"/>
        <v>0</v>
      </c>
      <c r="P29" s="206">
        <f t="shared" si="24"/>
        <v>0</v>
      </c>
      <c r="Q29" s="206">
        <f t="shared" si="25"/>
        <v>-0.87</v>
      </c>
      <c r="R29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Yes</v>
      </c>
      <c r="S29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96640</v>
      </c>
      <c r="T29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29" s="208">
        <f ca="1">IF(Tabla336106734818[[#This Row],[Equity]]&lt;Tabla336106734818[[#This Row],[Equity Peak]],(Tabla336106734818[[#This Row],[Equity Peak]]-Tabla336106734818[[#This Row],[Equity]])/Tabla336106734818[[#This Row],[Equity Peak]],"")</f>
        <v>3.3599999999999998E-2</v>
      </c>
      <c r="V29" s="209">
        <f t="shared" si="26"/>
        <v>-0.87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0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1.7173611111138598</v>
      </c>
      <c r="AE29" s="210">
        <f t="shared" si="35"/>
        <v>0</v>
      </c>
      <c r="AF29" s="210">
        <f t="shared" si="36"/>
        <v>1.7173611111138598</v>
      </c>
      <c r="AG29" s="210">
        <f t="shared" si="37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19"/>
        <v>C</v>
      </c>
      <c r="E30" s="199">
        <v>43875.333333333336</v>
      </c>
      <c r="F30" s="200" t="s">
        <v>114</v>
      </c>
      <c r="G30" s="201">
        <v>1.3045100000000001</v>
      </c>
      <c r="H30" s="201">
        <v>1.2976799999999999</v>
      </c>
      <c r="I30" s="202">
        <f t="shared" si="20"/>
        <v>6.8300000000001138E-3</v>
      </c>
      <c r="J30" s="201">
        <v>1.3318300000000001</v>
      </c>
      <c r="K30" s="199">
        <v>43879.345138888886</v>
      </c>
      <c r="L30" s="201">
        <v>1.2976799999999999</v>
      </c>
      <c r="M30" s="203">
        <f t="shared" si="21"/>
        <v>-6.7999999999999996E-3</v>
      </c>
      <c r="N30" s="204">
        <f t="shared" si="22"/>
        <v>-1</v>
      </c>
      <c r="O30" s="205">
        <f t="shared" si="23"/>
        <v>0</v>
      </c>
      <c r="P30" s="206">
        <f t="shared" si="24"/>
        <v>0</v>
      </c>
      <c r="Q30" s="206">
        <f t="shared" si="25"/>
        <v>-1</v>
      </c>
      <c r="R30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Yes</v>
      </c>
      <c r="S30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97510</v>
      </c>
      <c r="T30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30" s="208">
        <f ca="1">IF(Tabla336106734818[[#This Row],[Equity]]&lt;Tabla336106734818[[#This Row],[Equity Peak]],(Tabla336106734818[[#This Row],[Equity Peak]]-Tabla336106734818[[#This Row],[Equity]])/Tabla336106734818[[#This Row],[Equity Peak]],"")</f>
        <v>2.4899999999999999E-2</v>
      </c>
      <c r="V30" s="209">
        <f t="shared" si="26"/>
        <v>-1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0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4.0118055555503815</v>
      </c>
      <c r="AE30" s="210">
        <f t="shared" si="35"/>
        <v>0</v>
      </c>
      <c r="AF30" s="210">
        <f t="shared" si="36"/>
        <v>4.0118055555503815</v>
      </c>
      <c r="AG30" s="210">
        <f t="shared" si="37"/>
        <v>0</v>
      </c>
    </row>
    <row r="31" spans="2:33" ht="15" customHeight="1" x14ac:dyDescent="0.3">
      <c r="B31" s="196" t="s">
        <v>7</v>
      </c>
      <c r="C31" s="197" t="s">
        <v>15</v>
      </c>
      <c r="D31" s="198" t="str">
        <f t="shared" si="19"/>
        <v>C</v>
      </c>
      <c r="E31" s="199">
        <v>43861.5</v>
      </c>
      <c r="F31" s="200" t="s">
        <v>114</v>
      </c>
      <c r="G31" s="201">
        <v>1.31175</v>
      </c>
      <c r="H31" s="201">
        <v>1.3043400000000001</v>
      </c>
      <c r="I31" s="202">
        <f t="shared" si="20"/>
        <v>7.4099999999999167E-3</v>
      </c>
      <c r="J31" s="201">
        <v>1.34137</v>
      </c>
      <c r="K31" s="199">
        <v>43864.442361111112</v>
      </c>
      <c r="L31" s="201">
        <v>1.3084499999999999</v>
      </c>
      <c r="M31" s="203">
        <f t="shared" si="21"/>
        <v>-3.3E-3</v>
      </c>
      <c r="N31" s="204">
        <f t="shared" si="22"/>
        <v>-0.45</v>
      </c>
      <c r="O31" s="205">
        <f t="shared" si="23"/>
        <v>0</v>
      </c>
      <c r="P31" s="206">
        <f t="shared" si="24"/>
        <v>0</v>
      </c>
      <c r="Q31" s="206">
        <f t="shared" si="25"/>
        <v>-0.45</v>
      </c>
      <c r="R31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Yes</v>
      </c>
      <c r="S31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98510</v>
      </c>
      <c r="T31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31" s="208">
        <f ca="1">IF(Tabla336106734818[[#This Row],[Equity]]&lt;Tabla336106734818[[#This Row],[Equity Peak]],(Tabla336106734818[[#This Row],[Equity Peak]]-Tabla336106734818[[#This Row],[Equity]])/Tabla336106734818[[#This Row],[Equity Peak]],"")</f>
        <v>1.49E-2</v>
      </c>
      <c r="V31" s="209">
        <f t="shared" si="26"/>
        <v>-0.45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2.9423611111124046</v>
      </c>
      <c r="AE31" s="210">
        <f t="shared" si="35"/>
        <v>0</v>
      </c>
      <c r="AF31" s="210">
        <f t="shared" si="36"/>
        <v>2.9423611111124046</v>
      </c>
      <c r="AG31" s="210">
        <f t="shared" si="37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19"/>
        <v>C</v>
      </c>
      <c r="E32" s="199">
        <v>43852.666666666664</v>
      </c>
      <c r="F32" s="200" t="s">
        <v>114</v>
      </c>
      <c r="G32" s="201">
        <v>1.3130599999999999</v>
      </c>
      <c r="H32" s="201">
        <v>1.3049900000000001</v>
      </c>
      <c r="I32" s="202">
        <f t="shared" si="20"/>
        <v>8.0699999999997996E-3</v>
      </c>
      <c r="J32" s="201">
        <v>1.34535</v>
      </c>
      <c r="K32" s="199">
        <v>43857.767361111109</v>
      </c>
      <c r="L32" s="201">
        <v>1.3049900000000001</v>
      </c>
      <c r="M32" s="203">
        <f t="shared" si="21"/>
        <v>-8.0999999999999996E-3</v>
      </c>
      <c r="N32" s="204">
        <f t="shared" si="22"/>
        <v>-1</v>
      </c>
      <c r="O32" s="205">
        <f t="shared" si="23"/>
        <v>0</v>
      </c>
      <c r="P32" s="206">
        <f t="shared" si="24"/>
        <v>0</v>
      </c>
      <c r="Q32" s="206">
        <f t="shared" si="25"/>
        <v>-1</v>
      </c>
      <c r="R32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Yes</v>
      </c>
      <c r="S32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98960</v>
      </c>
      <c r="T32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32" s="208">
        <f ca="1">IF(Tabla336106734818[[#This Row],[Equity]]&lt;Tabla336106734818[[#This Row],[Equity Peak]],(Tabla336106734818[[#This Row],[Equity Peak]]-Tabla336106734818[[#This Row],[Equity]])/Tabla336106734818[[#This Row],[Equity Peak]],"")</f>
        <v>1.04E-2</v>
      </c>
      <c r="V32" s="209">
        <f t="shared" si="26"/>
        <v>-1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5.1006944444452529</v>
      </c>
      <c r="AE32" s="210">
        <f t="shared" si="35"/>
        <v>0</v>
      </c>
      <c r="AF32" s="210">
        <f t="shared" si="36"/>
        <v>5.1006944444452529</v>
      </c>
      <c r="AG32" s="210">
        <f t="shared" si="37"/>
        <v>0</v>
      </c>
    </row>
    <row r="33" spans="2:33" ht="15" customHeight="1" x14ac:dyDescent="0.3">
      <c r="B33" s="196" t="s">
        <v>7</v>
      </c>
      <c r="C33" s="197" t="s">
        <v>15</v>
      </c>
      <c r="D33" s="198" t="str">
        <f t="shared" si="19"/>
        <v>C</v>
      </c>
      <c r="E33" s="199">
        <v>43830.166666666664</v>
      </c>
      <c r="F33" s="200" t="s">
        <v>114</v>
      </c>
      <c r="G33" s="201">
        <v>1.3124199999999999</v>
      </c>
      <c r="H33" s="201">
        <v>1.30331</v>
      </c>
      <c r="I33" s="202">
        <f t="shared" si="20"/>
        <v>9.1099999999999515E-3</v>
      </c>
      <c r="J33" s="201">
        <v>1.3488599999999999</v>
      </c>
      <c r="K33" s="199">
        <v>43832.775694444441</v>
      </c>
      <c r="L33" s="201">
        <v>1.3120000000000001</v>
      </c>
      <c r="M33" s="203">
        <f t="shared" si="21"/>
        <v>-4.0000000000000002E-4</v>
      </c>
      <c r="N33" s="204">
        <f t="shared" si="22"/>
        <v>-0.04</v>
      </c>
      <c r="O33" s="205">
        <f t="shared" si="23"/>
        <v>0</v>
      </c>
      <c r="P33" s="206">
        <f t="shared" si="24"/>
        <v>0</v>
      </c>
      <c r="Q33" s="206">
        <f t="shared" si="25"/>
        <v>-0.04</v>
      </c>
      <c r="R33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Yes</v>
      </c>
      <c r="S33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99960</v>
      </c>
      <c r="T33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33" s="208">
        <f ca="1">IF(Tabla336106734818[[#This Row],[Equity]]&lt;Tabla336106734818[[#This Row],[Equity Peak]],(Tabla336106734818[[#This Row],[Equity Peak]]-Tabla336106734818[[#This Row],[Equity]])/Tabla336106734818[[#This Row],[Equity Peak]],"")</f>
        <v>4.0000000000000002E-4</v>
      </c>
      <c r="V33" s="209">
        <f t="shared" si="26"/>
        <v>-0.04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2.609027777776646</v>
      </c>
      <c r="AE33" s="210">
        <f t="shared" si="35"/>
        <v>0</v>
      </c>
      <c r="AF33" s="210">
        <f t="shared" si="36"/>
        <v>2.609027777776646</v>
      </c>
      <c r="AG33" s="210">
        <f t="shared" si="37"/>
        <v>0</v>
      </c>
    </row>
  </sheetData>
  <sheetProtection algorithmName="SHA-512" hashValue="sCpqaJ0eRmGctIsu1XSaE8MuMj5EAVxHYflHbyEGEqOf1dQwJ2RrfTb/U4c4cTnTHQBZVQoSsLGT9urHzIY0TA==" saltValue="D/WuLFBPN93s+tInrYl3i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545" priority="3" operator="equal">
      <formula>"OK"</formula>
    </cfRule>
    <cfRule type="cellIs" dxfId="544" priority="4" operator="equal">
      <formula>"warning"</formula>
    </cfRule>
  </conditionalFormatting>
  <conditionalFormatting sqref="F13">
    <cfRule type="cellIs" dxfId="543" priority="1" operator="equal">
      <formula>"OK"</formula>
    </cfRule>
    <cfRule type="cellIs" dxfId="542" priority="2" operator="equal">
      <formula>"Error!!"</formula>
    </cfRule>
  </conditionalFormatting>
  <conditionalFormatting sqref="E15:H15 K15:L15">
    <cfRule type="expression" dxfId="541" priority="5">
      <formula>+$D15=#REF!</formula>
    </cfRule>
    <cfRule type="expression" dxfId="540" priority="6">
      <formula>+$D15=#REF!</formula>
    </cfRule>
  </conditionalFormatting>
  <conditionalFormatting sqref="D15 K16:L16 D16:H33 J17:L33">
    <cfRule type="expression" dxfId="539" priority="7">
      <formula>+$D15=$AG$8</formula>
    </cfRule>
    <cfRule type="expression" dxfId="53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74430E19-B7C6-4606-B45D-52259E45DEF7}">
      <formula1>$AE$4:$AE$6</formula1>
    </dataValidation>
    <dataValidation type="list" allowBlank="1" showInputMessage="1" showErrorMessage="1" promptTitle="Trade Direction" prompt="Select from List" sqref="C15:C16" xr:uid="{0F0D2601-24E1-49FC-8168-5936E721E7C3}">
      <formula1>$AG$4:$AG$5</formula1>
    </dataValidation>
    <dataValidation type="list" allowBlank="1" showInputMessage="1" showErrorMessage="1" promptTitle="Instrument Type" prompt="Select Type from List_x000a_" sqref="B17:B33" xr:uid="{310AEE15-7DB6-4357-95BA-9149F5ADF72B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2745-527A-499B-811D-4C52A4FD05B1}">
  <sheetPr codeName="Hoja14">
    <pageSetUpPr fitToPage="1"/>
  </sheetPr>
  <dimension ref="A1:AX62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COUNTA(Tabla33610673487[Inst])</f>
        <v>46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12.129999999999997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12.129999999999997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COUNTIF(Tabla33610673487[No. of Rs],"&gt;0")</f>
        <v>18</v>
      </c>
      <c r="G7" s="24">
        <f>IFERROR((F7/$F$6),"")</f>
        <v>0.39130434782608697</v>
      </c>
      <c r="H7" s="78">
        <f>IFERROR((+P13/F7),"")</f>
        <v>1.1894444444444447</v>
      </c>
      <c r="I7" s="227">
        <f>H7/H9</f>
        <v>3.4606681034482762</v>
      </c>
      <c r="J7" s="227">
        <f>AVERAGE(Tabla33610673487[No. of Rs])</f>
        <v>0.263695652173913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COUNTIF(Tabla33610673487[No. of Rs],"=0")</f>
        <v>1</v>
      </c>
      <c r="G8" s="24">
        <f>IFERROR((F8/$F$6),"")</f>
        <v>2.1739130434782608E-2</v>
      </c>
      <c r="H8" s="78"/>
      <c r="I8" s="228"/>
      <c r="J8" s="228"/>
      <c r="K8" s="163"/>
      <c r="L8" s="212" t="s">
        <v>112</v>
      </c>
      <c r="M8" s="213"/>
      <c r="N8" s="195">
        <f ca="1">OFFSET(Tabla33610673487[[#Headers],[Equity]],1,0)</f>
        <v>112130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COUNTIF(Tabla33610673487[No. of Rs],"&lt;0")</f>
        <v>27</v>
      </c>
      <c r="G9" s="32">
        <f>IFERROR((F9/$F$6),"")</f>
        <v>0.58695652173913049</v>
      </c>
      <c r="H9" s="79">
        <f>IFERROR((-Q13/F9),"")</f>
        <v>0.34370370370370373</v>
      </c>
      <c r="I9" s="229"/>
      <c r="J9" s="229"/>
      <c r="K9" s="149"/>
      <c r="L9" s="230" t="s">
        <v>106</v>
      </c>
      <c r="M9" s="231"/>
      <c r="N9" s="125">
        <f ca="1">MAX(Tabla33610673487[Drawdown])</f>
        <v>2.5116713352007471E-2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OFFSET(Tabla33610673487[[#Headers],[Drawdown]],1,0)</f>
        <v>7.3477337110481582E-3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COUNTIF(Tabla33610673487[Heat],"&lt;0")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IF(COUNTIFS(Tabla33610673487[O/C],"O")&lt;1,"None",COUNTIFS(Tabla33610673487[O/C],"O"))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SUM(Tabla33610673487[No. of Rs])</f>
        <v>12.129999999999997</v>
      </c>
      <c r="O13" s="42">
        <f>SUM(Tabla33610673487[Heat])</f>
        <v>0</v>
      </c>
      <c r="P13" s="43">
        <f>SUM(Tabla33610673487[[ TR WIN]])</f>
        <v>21.410000000000004</v>
      </c>
      <c r="Q13" s="43">
        <f>SUM(Tabla33610673487[[ TR LOSS]])</f>
        <v>-9.2800000000000011</v>
      </c>
      <c r="R13" s="114"/>
      <c r="S13" s="115"/>
      <c r="T13" s="115"/>
      <c r="U13" s="121"/>
      <c r="V13" s="44">
        <f>SUM(Tabla33610673487[Currency])</f>
        <v>12.129999999999997</v>
      </c>
      <c r="W13" s="44">
        <f>SUM(Tabla33610673487[Heat3])</f>
        <v>0</v>
      </c>
      <c r="X13" s="44">
        <f>SUM(Tabla33610673487[Commodities])</f>
        <v>0</v>
      </c>
      <c r="Y13" s="44">
        <f>SUM(Tabla33610673487[Heat4])</f>
        <v>0</v>
      </c>
      <c r="Z13" s="44">
        <f>SUM(Tabla33610673487[Index])</f>
        <v>0</v>
      </c>
      <c r="AA13" s="44">
        <f>SUM(Tabla33610673487[Heat5])</f>
        <v>0</v>
      </c>
      <c r="AB13" s="44">
        <f>SUM(Tabla33610673487[Cryptocurrency])</f>
        <v>0</v>
      </c>
      <c r="AC13" s="44">
        <f>SUM(Tabla33610673487[Heat6])</f>
        <v>0</v>
      </c>
      <c r="AD13" s="75">
        <f>AVERAGEIF(Tabla33610673487[Length of 
Trade],"&lt;&gt;0")</f>
        <v>2.9194142512077752</v>
      </c>
      <c r="AE13" s="75">
        <f>AVERAGEIF(Tabla33610673487[Win],"&lt;&gt;0")</f>
        <v>5.3736111111114342</v>
      </c>
      <c r="AF13" s="75">
        <f>AVERAGEIF(Tabla33610673487[Loss],"&lt;&gt;0")</f>
        <v>1.2597993827159237</v>
      </c>
      <c r="AG13" s="76">
        <f>AVERAGEIF(Tabla33610673487[Breakeven],"&lt;&gt;0")</f>
        <v>3.5534722222218988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196" t="s">
        <v>7</v>
      </c>
      <c r="C17" s="197" t="s">
        <v>15</v>
      </c>
      <c r="D17" s="198" t="str">
        <f t="shared" ref="D17:D37" si="0">IF(E17&lt;&gt;"",IF(K17&lt;&gt;"","C","O"),"")</f>
        <v>C</v>
      </c>
      <c r="E17" s="199">
        <v>44868.833333333336</v>
      </c>
      <c r="F17" s="200" t="s">
        <v>113</v>
      </c>
      <c r="G17" s="201">
        <v>148.238</v>
      </c>
      <c r="H17" s="201">
        <v>145.96799999999999</v>
      </c>
      <c r="I17" s="202">
        <f t="shared" ref="I17:I37" si="1">ABS(G17-H17)</f>
        <v>2.2700000000000102</v>
      </c>
      <c r="J17" s="201">
        <v>158.833</v>
      </c>
      <c r="K17" s="199">
        <v>44869.663194444445</v>
      </c>
      <c r="L17" s="201">
        <v>147.191</v>
      </c>
      <c r="M17" s="203">
        <f t="shared" ref="M17:M37" si="2">ROUND(IF(C17="L",(L17-G17),(G17-L17)),4)</f>
        <v>-1.0469999999999999</v>
      </c>
      <c r="N17" s="204">
        <f t="shared" ref="N17:N37" si="3">IFERROR(ROUND((M17/I17),2),"")</f>
        <v>-0.46</v>
      </c>
      <c r="O17" s="205">
        <f t="shared" ref="O17:O37" si="4">IF(D17="O",IF(N17&lt;0,N17,0),0)</f>
        <v>0</v>
      </c>
      <c r="P17" s="206">
        <f t="shared" ref="P17:P37" si="5">IF(N17&gt;= 0,N17,0)</f>
        <v>0</v>
      </c>
      <c r="Q17" s="206">
        <f t="shared" ref="Q17:Q37" si="6">IF(N17&lt;0,N17,0)</f>
        <v>-0.46</v>
      </c>
      <c r="R1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112130</v>
      </c>
      <c r="T1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112960</v>
      </c>
      <c r="U17" s="208">
        <f ca="1">IF(Tabla33610673487[[#This Row],[Equity]]&lt;Tabla33610673487[[#This Row],[Equity Peak]],(Tabla33610673487[[#This Row],[Equity Peak]]-Tabla33610673487[[#This Row],[Equity]])/Tabla33610673487[[#This Row],[Equity Peak]],"")</f>
        <v>7.3477337110481582E-3</v>
      </c>
      <c r="V17" s="209">
        <f t="shared" ref="V17:V37" si="7">IF(B17="FX",N17,0)</f>
        <v>-0.46</v>
      </c>
      <c r="W17" s="209">
        <f t="shared" ref="W17:W37" si="8">IF(D17="O",IF(V17&lt;0,V17,0),0)</f>
        <v>0</v>
      </c>
      <c r="X17" s="209">
        <f t="shared" ref="X17:X37" si="9">IF(B17="COM",N17,0)</f>
        <v>0</v>
      </c>
      <c r="Y17" s="209">
        <f t="shared" ref="Y17:Y37" si="10">IF(D17="O",IF(X17&lt;0,X17,0),0)</f>
        <v>0</v>
      </c>
      <c r="Z17" s="209">
        <f t="shared" ref="Z17:Z37" si="11">IF(B17="IND",N17,0)</f>
        <v>0</v>
      </c>
      <c r="AA17" s="205">
        <f t="shared" ref="AA17:AA37" si="12">IF(D17="O",IF(Z17&lt;0,Z17,0),0)</f>
        <v>0</v>
      </c>
      <c r="AB17" s="209">
        <f t="shared" ref="AB17:AB37" si="13">IF(B17="CRYPTO",N17,0)</f>
        <v>0</v>
      </c>
      <c r="AC17" s="205">
        <f t="shared" ref="AC17:AC37" si="14">IF(D17="O",IF(AB17&lt;0,AB17,0),0)</f>
        <v>0</v>
      </c>
      <c r="AD17" s="210">
        <f t="shared" ref="AD17:AD37" si="15">IF(K17&lt;&gt;"",K17-E17,0)</f>
        <v>0.82986111110949423</v>
      </c>
      <c r="AE17" s="210">
        <f t="shared" ref="AE17:AE37" si="16">IF(N17&gt;0,AD17,0)</f>
        <v>0</v>
      </c>
      <c r="AF17" s="210">
        <f t="shared" ref="AF17:AF37" si="17">IF(N17&lt;0,AD17,0)</f>
        <v>0.82986111110949423</v>
      </c>
      <c r="AG17" s="210">
        <f t="shared" ref="AG17:AG37" si="18">IF(N17=0,AD17,0)</f>
        <v>0</v>
      </c>
      <c r="AH17" s="176"/>
      <c r="AI17" s="109"/>
    </row>
    <row r="18" spans="1:35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44865.666666666664</v>
      </c>
      <c r="F18" s="200" t="s">
        <v>113</v>
      </c>
      <c r="G18" s="201">
        <v>148.744</v>
      </c>
      <c r="H18" s="201">
        <v>146.64500000000001</v>
      </c>
      <c r="I18" s="202">
        <f t="shared" si="1"/>
        <v>2.0989999999999895</v>
      </c>
      <c r="J18" s="201">
        <v>158.541</v>
      </c>
      <c r="K18" s="199">
        <v>44866.387499999997</v>
      </c>
      <c r="L18" s="201">
        <v>147.97499999999999</v>
      </c>
      <c r="M18" s="203">
        <f t="shared" si="2"/>
        <v>-0.76900000000000002</v>
      </c>
      <c r="N18" s="204">
        <f t="shared" si="3"/>
        <v>-0.37</v>
      </c>
      <c r="O18" s="205">
        <f t="shared" si="4"/>
        <v>0</v>
      </c>
      <c r="P18" s="206">
        <f t="shared" si="5"/>
        <v>0</v>
      </c>
      <c r="Q18" s="206">
        <f t="shared" si="6"/>
        <v>-0.37</v>
      </c>
      <c r="R1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112590</v>
      </c>
      <c r="T1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112960</v>
      </c>
      <c r="U18" s="208">
        <f ca="1">IF(Tabla33610673487[[#This Row],[Equity]]&lt;Tabla33610673487[[#This Row],[Equity Peak]],(Tabla33610673487[[#This Row],[Equity Peak]]-Tabla33610673487[[#This Row],[Equity]])/Tabla33610673487[[#This Row],[Equity Peak]],"")</f>
        <v>3.2754957507082154E-3</v>
      </c>
      <c r="V18" s="209">
        <f t="shared" si="7"/>
        <v>-0.37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0.72083333333284827</v>
      </c>
      <c r="AE18" s="210">
        <f t="shared" si="16"/>
        <v>0</v>
      </c>
      <c r="AF18" s="210">
        <f t="shared" si="17"/>
        <v>0.72083333333284827</v>
      </c>
      <c r="AG18" s="210">
        <f t="shared" si="18"/>
        <v>0</v>
      </c>
    </row>
    <row r="19" spans="1:35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44830.166666666664</v>
      </c>
      <c r="F19" s="200" t="s">
        <v>113</v>
      </c>
      <c r="G19" s="201">
        <v>143.803</v>
      </c>
      <c r="H19" s="201">
        <v>140.84299999999999</v>
      </c>
      <c r="I19" s="202">
        <f t="shared" si="1"/>
        <v>2.960000000000008</v>
      </c>
      <c r="J19" s="201">
        <v>157.61699999999999</v>
      </c>
      <c r="K19" s="199">
        <v>44832.84652777778</v>
      </c>
      <c r="L19" s="201">
        <v>143.99199999999999</v>
      </c>
      <c r="M19" s="203">
        <f t="shared" si="2"/>
        <v>0.189</v>
      </c>
      <c r="N19" s="204">
        <f t="shared" si="3"/>
        <v>0.06</v>
      </c>
      <c r="O19" s="205">
        <f t="shared" si="4"/>
        <v>0</v>
      </c>
      <c r="P19" s="206">
        <f t="shared" si="5"/>
        <v>0.06</v>
      </c>
      <c r="Q19" s="206">
        <f t="shared" si="6"/>
        <v>0</v>
      </c>
      <c r="R1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112960</v>
      </c>
      <c r="T1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112960</v>
      </c>
      <c r="U19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19" s="209">
        <f t="shared" si="7"/>
        <v>0.06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2.679861111115315</v>
      </c>
      <c r="AE19" s="210">
        <f t="shared" si="16"/>
        <v>2.679861111115315</v>
      </c>
      <c r="AF19" s="210">
        <f t="shared" si="17"/>
        <v>0</v>
      </c>
      <c r="AG19" s="210">
        <f t="shared" si="18"/>
        <v>0</v>
      </c>
    </row>
    <row r="20" spans="1:35" ht="15" customHeight="1" x14ac:dyDescent="0.3">
      <c r="B20" s="196" t="s">
        <v>7</v>
      </c>
      <c r="C20" s="197" t="s">
        <v>15</v>
      </c>
      <c r="D20" s="198" t="str">
        <f t="shared" si="0"/>
        <v>C</v>
      </c>
      <c r="E20" s="199">
        <v>44790.166666666664</v>
      </c>
      <c r="F20" s="200" t="s">
        <v>113</v>
      </c>
      <c r="G20" s="201">
        <v>134.13399999999999</v>
      </c>
      <c r="H20" s="201">
        <v>132.60599999999999</v>
      </c>
      <c r="I20" s="202">
        <f t="shared" si="1"/>
        <v>1.5279999999999916</v>
      </c>
      <c r="J20" s="201">
        <v>141.26599999999999</v>
      </c>
      <c r="K20" s="199">
        <v>44796.700694444444</v>
      </c>
      <c r="L20" s="201">
        <v>136.66200000000001</v>
      </c>
      <c r="M20" s="203">
        <f t="shared" si="2"/>
        <v>2.528</v>
      </c>
      <c r="N20" s="204">
        <f t="shared" si="3"/>
        <v>1.65</v>
      </c>
      <c r="O20" s="205">
        <f t="shared" si="4"/>
        <v>0</v>
      </c>
      <c r="P20" s="206">
        <f t="shared" si="5"/>
        <v>1.65</v>
      </c>
      <c r="Q20" s="206">
        <f t="shared" si="6"/>
        <v>0</v>
      </c>
      <c r="R2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112900</v>
      </c>
      <c r="T2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112900</v>
      </c>
      <c r="U20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20" s="209">
        <f t="shared" si="7"/>
        <v>1.65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6.5340277777795563</v>
      </c>
      <c r="AE20" s="210">
        <f t="shared" si="16"/>
        <v>6.5340277777795563</v>
      </c>
      <c r="AF20" s="210">
        <f t="shared" si="17"/>
        <v>0</v>
      </c>
      <c r="AG20" s="210">
        <f t="shared" si="18"/>
        <v>0</v>
      </c>
    </row>
    <row r="21" spans="1:35" ht="15" customHeight="1" x14ac:dyDescent="0.3">
      <c r="B21" s="196" t="s">
        <v>7</v>
      </c>
      <c r="C21" s="197" t="s">
        <v>15</v>
      </c>
      <c r="D21" s="198" t="str">
        <f t="shared" si="0"/>
        <v>C</v>
      </c>
      <c r="E21" s="199">
        <v>44781.333333333336</v>
      </c>
      <c r="F21" s="200" t="s">
        <v>113</v>
      </c>
      <c r="G21" s="201">
        <v>135.255</v>
      </c>
      <c r="H21" s="201">
        <v>133.14500000000001</v>
      </c>
      <c r="I21" s="202">
        <f t="shared" si="1"/>
        <v>2.1099999999999852</v>
      </c>
      <c r="J21" s="201">
        <v>145.1</v>
      </c>
      <c r="K21" s="199">
        <v>44783.645833333336</v>
      </c>
      <c r="L21" s="201">
        <v>134.62299999999999</v>
      </c>
      <c r="M21" s="203">
        <f t="shared" si="2"/>
        <v>-0.63200000000000001</v>
      </c>
      <c r="N21" s="204">
        <f t="shared" si="3"/>
        <v>-0.3</v>
      </c>
      <c r="O21" s="205">
        <f t="shared" si="4"/>
        <v>0</v>
      </c>
      <c r="P21" s="206">
        <f t="shared" si="5"/>
        <v>0</v>
      </c>
      <c r="Q21" s="206">
        <f t="shared" si="6"/>
        <v>-0.3</v>
      </c>
      <c r="R2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111250</v>
      </c>
      <c r="T2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112290</v>
      </c>
      <c r="U21" s="208">
        <f ca="1">IF(Tabla33610673487[[#This Row],[Equity]]&lt;Tabla33610673487[[#This Row],[Equity Peak]],(Tabla33610673487[[#This Row],[Equity Peak]]-Tabla33610673487[[#This Row],[Equity]])/Tabla33610673487[[#This Row],[Equity Peak]],"")</f>
        <v>9.2617330127348838E-3</v>
      </c>
      <c r="V21" s="209">
        <f t="shared" si="7"/>
        <v>-0.3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2.3125</v>
      </c>
      <c r="AE21" s="210">
        <f t="shared" si="16"/>
        <v>0</v>
      </c>
      <c r="AF21" s="210">
        <f t="shared" si="17"/>
        <v>2.3125</v>
      </c>
      <c r="AG21" s="210">
        <f t="shared" si="18"/>
        <v>0</v>
      </c>
    </row>
    <row r="22" spans="1:35" ht="15" customHeight="1" x14ac:dyDescent="0.3">
      <c r="B22" s="196" t="s">
        <v>7</v>
      </c>
      <c r="C22" s="197" t="s">
        <v>15</v>
      </c>
      <c r="D22" s="198" t="str">
        <f t="shared" si="0"/>
        <v>C</v>
      </c>
      <c r="E22" s="199">
        <v>44756.166666666664</v>
      </c>
      <c r="F22" s="200" t="s">
        <v>113</v>
      </c>
      <c r="G22" s="201">
        <v>137.917</v>
      </c>
      <c r="H22" s="201">
        <v>136.49100000000001</v>
      </c>
      <c r="I22" s="202">
        <f t="shared" si="1"/>
        <v>1.4259999999999877</v>
      </c>
      <c r="J22" s="201">
        <v>144.57300000000001</v>
      </c>
      <c r="K22" s="199">
        <v>44760.463194444441</v>
      </c>
      <c r="L22" s="201">
        <v>137.97</v>
      </c>
      <c r="M22" s="203">
        <f t="shared" si="2"/>
        <v>5.2999999999999999E-2</v>
      </c>
      <c r="N22" s="204">
        <f t="shared" si="3"/>
        <v>0.04</v>
      </c>
      <c r="O22" s="205">
        <f t="shared" si="4"/>
        <v>0</v>
      </c>
      <c r="P22" s="206">
        <f t="shared" si="5"/>
        <v>0.04</v>
      </c>
      <c r="Q22" s="206">
        <f t="shared" si="6"/>
        <v>0</v>
      </c>
      <c r="R2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111550</v>
      </c>
      <c r="T2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112290</v>
      </c>
      <c r="U22" s="208">
        <f ca="1">IF(Tabla33610673487[[#This Row],[Equity]]&lt;Tabla33610673487[[#This Row],[Equity Peak]],(Tabla33610673487[[#This Row],[Equity Peak]]-Tabla33610673487[[#This Row],[Equity]])/Tabla33610673487[[#This Row],[Equity Peak]],"")</f>
        <v>6.5900792590613587E-3</v>
      </c>
      <c r="V22" s="209">
        <f t="shared" si="7"/>
        <v>0.04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4.296527777776646</v>
      </c>
      <c r="AE22" s="210">
        <f t="shared" si="16"/>
        <v>4.296527777776646</v>
      </c>
      <c r="AF22" s="210">
        <f t="shared" si="17"/>
        <v>0</v>
      </c>
      <c r="AG22" s="210">
        <f t="shared" si="18"/>
        <v>0</v>
      </c>
    </row>
    <row r="23" spans="1:35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44753.666666666664</v>
      </c>
      <c r="F23" s="200" t="s">
        <v>113</v>
      </c>
      <c r="G23" s="201">
        <v>137.59200000000001</v>
      </c>
      <c r="H23" s="201">
        <v>135.84399999999999</v>
      </c>
      <c r="I23" s="202">
        <f t="shared" si="1"/>
        <v>1.7480000000000189</v>
      </c>
      <c r="J23" s="201">
        <v>145.74799999999999</v>
      </c>
      <c r="K23" s="199">
        <v>44754.595833333333</v>
      </c>
      <c r="L23" s="201">
        <v>136.71899999999999</v>
      </c>
      <c r="M23" s="203">
        <f t="shared" si="2"/>
        <v>-0.873</v>
      </c>
      <c r="N23" s="204">
        <f t="shared" si="3"/>
        <v>-0.5</v>
      </c>
      <c r="O23" s="205">
        <f t="shared" si="4"/>
        <v>0</v>
      </c>
      <c r="P23" s="206">
        <f t="shared" si="5"/>
        <v>0</v>
      </c>
      <c r="Q23" s="206">
        <f t="shared" si="6"/>
        <v>-0.5</v>
      </c>
      <c r="R2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111510</v>
      </c>
      <c r="T2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112290</v>
      </c>
      <c r="U23" s="208">
        <f ca="1">IF(Tabla33610673487[[#This Row],[Equity]]&lt;Tabla33610673487[[#This Row],[Equity Peak]],(Tabla33610673487[[#This Row],[Equity Peak]]-Tabla33610673487[[#This Row],[Equity]])/Tabla33610673487[[#This Row],[Equity Peak]],"")</f>
        <v>6.9462997595511619E-3</v>
      </c>
      <c r="V23" s="209">
        <f t="shared" si="7"/>
        <v>-0.5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0.92916666666860692</v>
      </c>
      <c r="AE23" s="210">
        <f t="shared" si="16"/>
        <v>0</v>
      </c>
      <c r="AF23" s="210">
        <f t="shared" si="17"/>
        <v>0.92916666666860692</v>
      </c>
      <c r="AG23" s="210">
        <f t="shared" si="18"/>
        <v>0</v>
      </c>
    </row>
    <row r="24" spans="1:35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44733.666666666664</v>
      </c>
      <c r="F24" s="200" t="s">
        <v>113</v>
      </c>
      <c r="G24" s="201">
        <v>136.233</v>
      </c>
      <c r="H24" s="201">
        <v>134.84800000000001</v>
      </c>
      <c r="I24" s="202">
        <f t="shared" si="1"/>
        <v>1.3849999999999909</v>
      </c>
      <c r="J24" s="201">
        <v>142.69800000000001</v>
      </c>
      <c r="K24" s="199">
        <v>44734.533333333333</v>
      </c>
      <c r="L24" s="201">
        <v>135.85</v>
      </c>
      <c r="M24" s="203">
        <f t="shared" si="2"/>
        <v>-0.38300000000000001</v>
      </c>
      <c r="N24" s="204">
        <f t="shared" si="3"/>
        <v>-0.28000000000000003</v>
      </c>
      <c r="O24" s="205">
        <f t="shared" si="4"/>
        <v>0</v>
      </c>
      <c r="P24" s="206">
        <f t="shared" si="5"/>
        <v>0</v>
      </c>
      <c r="Q24" s="206">
        <f t="shared" si="6"/>
        <v>-0.28000000000000003</v>
      </c>
      <c r="R2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112010</v>
      </c>
      <c r="T2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112290</v>
      </c>
      <c r="U24" s="208">
        <f ca="1">IF(Tabla33610673487[[#This Row],[Equity]]&lt;Tabla33610673487[[#This Row],[Equity Peak]],(Tabla33610673487[[#This Row],[Equity Peak]]-Tabla33610673487[[#This Row],[Equity]])/Tabla33610673487[[#This Row],[Equity Peak]],"")</f>
        <v>2.4935435034286221E-3</v>
      </c>
      <c r="V24" s="209">
        <f t="shared" si="7"/>
        <v>-0.28000000000000003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0.86666666666860692</v>
      </c>
      <c r="AE24" s="210">
        <f t="shared" si="16"/>
        <v>0</v>
      </c>
      <c r="AF24" s="210">
        <f t="shared" si="17"/>
        <v>0.86666666666860692</v>
      </c>
      <c r="AG24" s="210">
        <f t="shared" si="18"/>
        <v>0</v>
      </c>
    </row>
    <row r="25" spans="1:35" ht="15" customHeight="1" x14ac:dyDescent="0.3">
      <c r="B25" s="196" t="s">
        <v>7</v>
      </c>
      <c r="C25" s="197" t="s">
        <v>15</v>
      </c>
      <c r="D25" s="198" t="str">
        <f t="shared" si="0"/>
        <v>C</v>
      </c>
      <c r="E25" s="199">
        <v>44712.666666666664</v>
      </c>
      <c r="F25" s="200" t="s">
        <v>113</v>
      </c>
      <c r="G25" s="201">
        <v>128.66</v>
      </c>
      <c r="H25" s="201">
        <v>127.28</v>
      </c>
      <c r="I25" s="202">
        <f t="shared" si="1"/>
        <v>1.3799999999999955</v>
      </c>
      <c r="J25" s="201">
        <v>135.101</v>
      </c>
      <c r="K25" s="199">
        <v>44721.570138888892</v>
      </c>
      <c r="L25" s="201">
        <v>133.19900000000001</v>
      </c>
      <c r="M25" s="203">
        <f t="shared" si="2"/>
        <v>4.5389999999999997</v>
      </c>
      <c r="N25" s="204">
        <f t="shared" si="3"/>
        <v>3.29</v>
      </c>
      <c r="O25" s="205">
        <f t="shared" si="4"/>
        <v>0</v>
      </c>
      <c r="P25" s="206">
        <f t="shared" si="5"/>
        <v>3.29</v>
      </c>
      <c r="Q25" s="206">
        <f t="shared" si="6"/>
        <v>0</v>
      </c>
      <c r="R2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112290</v>
      </c>
      <c r="T2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112290</v>
      </c>
      <c r="U25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25" s="209">
        <f t="shared" si="7"/>
        <v>3.29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8.9034722222277196</v>
      </c>
      <c r="AE25" s="210">
        <f t="shared" si="16"/>
        <v>8.9034722222277196</v>
      </c>
      <c r="AF25" s="210">
        <f t="shared" si="17"/>
        <v>0</v>
      </c>
      <c r="AG25" s="210">
        <f t="shared" si="18"/>
        <v>0</v>
      </c>
    </row>
    <row r="26" spans="1:35" ht="15" customHeight="1" x14ac:dyDescent="0.3">
      <c r="B26" s="196" t="s">
        <v>7</v>
      </c>
      <c r="C26" s="197" t="s">
        <v>15</v>
      </c>
      <c r="D26" s="198" t="str">
        <f t="shared" si="0"/>
        <v>C</v>
      </c>
      <c r="E26" s="199">
        <v>44628.166666666664</v>
      </c>
      <c r="F26" s="200" t="s">
        <v>113</v>
      </c>
      <c r="G26" s="201">
        <v>115.48099999999999</v>
      </c>
      <c r="H26" s="201">
        <v>114.65</v>
      </c>
      <c r="I26" s="202">
        <f t="shared" si="1"/>
        <v>0.83099999999998886</v>
      </c>
      <c r="J26" s="201">
        <v>119.36</v>
      </c>
      <c r="K26" s="199">
        <v>44635.473611111112</v>
      </c>
      <c r="L26" s="201">
        <v>117.80800000000001</v>
      </c>
      <c r="M26" s="203">
        <f t="shared" si="2"/>
        <v>2.327</v>
      </c>
      <c r="N26" s="204">
        <f t="shared" si="3"/>
        <v>2.8</v>
      </c>
      <c r="O26" s="205">
        <f t="shared" si="4"/>
        <v>0</v>
      </c>
      <c r="P26" s="206">
        <f t="shared" si="5"/>
        <v>2.8</v>
      </c>
      <c r="Q26" s="206">
        <f t="shared" si="6"/>
        <v>0</v>
      </c>
      <c r="R2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109000</v>
      </c>
      <c r="T2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109000</v>
      </c>
      <c r="U26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26" s="209">
        <f t="shared" si="7"/>
        <v>2.8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7.3069444444481633</v>
      </c>
      <c r="AE26" s="210">
        <f t="shared" si="16"/>
        <v>7.3069444444481633</v>
      </c>
      <c r="AF26" s="210">
        <f t="shared" si="17"/>
        <v>0</v>
      </c>
      <c r="AG26" s="210">
        <f t="shared" si="18"/>
        <v>0</v>
      </c>
    </row>
    <row r="27" spans="1:35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44622.833333333336</v>
      </c>
      <c r="F27" s="200" t="s">
        <v>113</v>
      </c>
      <c r="G27" s="201">
        <v>115.6</v>
      </c>
      <c r="H27" s="201">
        <v>114.831</v>
      </c>
      <c r="I27" s="202">
        <f t="shared" si="1"/>
        <v>0.76899999999999125</v>
      </c>
      <c r="J27" s="201">
        <v>119.19</v>
      </c>
      <c r="K27" s="199">
        <v>44623.856249999997</v>
      </c>
      <c r="L27" s="201">
        <v>115.45399999999999</v>
      </c>
      <c r="M27" s="203">
        <f t="shared" si="2"/>
        <v>-0.14599999999999999</v>
      </c>
      <c r="N27" s="204">
        <f t="shared" si="3"/>
        <v>-0.19</v>
      </c>
      <c r="O27" s="205">
        <f t="shared" si="4"/>
        <v>0</v>
      </c>
      <c r="P27" s="206">
        <f t="shared" si="5"/>
        <v>0</v>
      </c>
      <c r="Q27" s="206">
        <f t="shared" si="6"/>
        <v>-0.19</v>
      </c>
      <c r="R2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106200</v>
      </c>
      <c r="T2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27" s="208">
        <f ca="1">IF(Tabla33610673487[[#This Row],[Equity]]&lt;Tabla33610673487[[#This Row],[Equity Peak]],(Tabla33610673487[[#This Row],[Equity Peak]]-Tabla33610673487[[#This Row],[Equity]])/Tabla33610673487[[#This Row],[Equity Peak]],"")</f>
        <v>8.4033613445378148E-3</v>
      </c>
      <c r="V27" s="209">
        <f t="shared" si="7"/>
        <v>-0.19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1.022916666661331</v>
      </c>
      <c r="AE27" s="210">
        <f t="shared" si="16"/>
        <v>0</v>
      </c>
      <c r="AF27" s="210">
        <f t="shared" si="17"/>
        <v>1.022916666661331</v>
      </c>
      <c r="AG27" s="210">
        <f t="shared" si="18"/>
        <v>0</v>
      </c>
    </row>
    <row r="28" spans="1:35" ht="15" customHeight="1" x14ac:dyDescent="0.3">
      <c r="B28" s="196" t="s">
        <v>7</v>
      </c>
      <c r="C28" s="197" t="s">
        <v>15</v>
      </c>
      <c r="D28" s="198" t="str">
        <f t="shared" si="0"/>
        <v>C</v>
      </c>
      <c r="E28" s="199">
        <v>44617.166666666664</v>
      </c>
      <c r="F28" s="200" t="s">
        <v>113</v>
      </c>
      <c r="G28" s="201">
        <v>115.441</v>
      </c>
      <c r="H28" s="201">
        <v>114.35899999999999</v>
      </c>
      <c r="I28" s="202">
        <f t="shared" si="1"/>
        <v>1.0820000000000078</v>
      </c>
      <c r="J28" s="201">
        <v>120.488</v>
      </c>
      <c r="K28" s="199">
        <v>44620.000694444447</v>
      </c>
      <c r="L28" s="201">
        <v>115.17</v>
      </c>
      <c r="M28" s="203">
        <f t="shared" si="2"/>
        <v>-0.27100000000000002</v>
      </c>
      <c r="N28" s="204">
        <f t="shared" si="3"/>
        <v>-0.25</v>
      </c>
      <c r="O28" s="205">
        <f t="shared" si="4"/>
        <v>0</v>
      </c>
      <c r="P28" s="206">
        <f t="shared" si="5"/>
        <v>0</v>
      </c>
      <c r="Q28" s="206">
        <f t="shared" si="6"/>
        <v>-0.25</v>
      </c>
      <c r="R2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106390</v>
      </c>
      <c r="T2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28" s="208">
        <f ca="1">IF(Tabla33610673487[[#This Row],[Equity]]&lt;Tabla33610673487[[#This Row],[Equity Peak]],(Tabla33610673487[[#This Row],[Equity Peak]]-Tabla33610673487[[#This Row],[Equity]])/Tabla33610673487[[#This Row],[Equity Peak]],"")</f>
        <v>6.6293183940242762E-3</v>
      </c>
      <c r="V28" s="209">
        <f t="shared" si="7"/>
        <v>-0.25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2.8340277777824667</v>
      </c>
      <c r="AE28" s="210">
        <f t="shared" si="16"/>
        <v>0</v>
      </c>
      <c r="AF28" s="210">
        <f t="shared" si="17"/>
        <v>2.8340277777824667</v>
      </c>
      <c r="AG28" s="210">
        <f t="shared" si="18"/>
        <v>0</v>
      </c>
    </row>
    <row r="29" spans="1:35" ht="15" customHeight="1" x14ac:dyDescent="0.3">
      <c r="B29" s="196" t="s">
        <v>7</v>
      </c>
      <c r="C29" s="197" t="s">
        <v>15</v>
      </c>
      <c r="D29" s="198" t="str">
        <f t="shared" si="0"/>
        <v>C</v>
      </c>
      <c r="E29" s="199">
        <v>44596.017361111109</v>
      </c>
      <c r="F29" s="200" t="s">
        <v>113</v>
      </c>
      <c r="G29" s="201">
        <v>114.93300000000001</v>
      </c>
      <c r="H29" s="201">
        <v>114.239</v>
      </c>
      <c r="I29" s="202">
        <f t="shared" si="1"/>
        <v>0.69400000000000261</v>
      </c>
      <c r="J29" s="201">
        <v>118.17100000000001</v>
      </c>
      <c r="K29" s="199">
        <v>44599.570833333331</v>
      </c>
      <c r="L29" s="201">
        <v>114.932</v>
      </c>
      <c r="M29" s="203">
        <f t="shared" si="2"/>
        <v>-1E-3</v>
      </c>
      <c r="N29" s="204">
        <f t="shared" si="3"/>
        <v>0</v>
      </c>
      <c r="O29" s="205">
        <f t="shared" si="4"/>
        <v>0</v>
      </c>
      <c r="P29" s="206">
        <f t="shared" si="5"/>
        <v>0</v>
      </c>
      <c r="Q29" s="206">
        <f t="shared" si="6"/>
        <v>0</v>
      </c>
      <c r="R2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106640</v>
      </c>
      <c r="T2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29" s="208">
        <f ca="1">IF(Tabla33610673487[[#This Row],[Equity]]&lt;Tabla33610673487[[#This Row],[Equity Peak]],(Tabla33610673487[[#This Row],[Equity Peak]]-Tabla33610673487[[#This Row],[Equity]])/Tabla33610673487[[#This Row],[Equity Peak]],"")</f>
        <v>4.2950513538748836E-3</v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3.5534722222218988</v>
      </c>
      <c r="AE29" s="210">
        <f t="shared" si="16"/>
        <v>0</v>
      </c>
      <c r="AF29" s="210">
        <f t="shared" si="17"/>
        <v>0</v>
      </c>
      <c r="AG29" s="210">
        <f t="shared" si="18"/>
        <v>3.5534722222218988</v>
      </c>
    </row>
    <row r="30" spans="1:35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44588.333333333336</v>
      </c>
      <c r="F30" s="200" t="s">
        <v>113</v>
      </c>
      <c r="G30" s="201">
        <v>114.667</v>
      </c>
      <c r="H30" s="201">
        <v>113.996</v>
      </c>
      <c r="I30" s="202">
        <f t="shared" si="1"/>
        <v>0.67100000000000648</v>
      </c>
      <c r="J30" s="201">
        <v>117.79600000000001</v>
      </c>
      <c r="K30" s="199">
        <v>44592.863194444442</v>
      </c>
      <c r="L30" s="201">
        <v>114.991</v>
      </c>
      <c r="M30" s="203">
        <f t="shared" si="2"/>
        <v>0.32400000000000001</v>
      </c>
      <c r="N30" s="204">
        <f t="shared" si="3"/>
        <v>0.48</v>
      </c>
      <c r="O30" s="205">
        <f t="shared" si="4"/>
        <v>0</v>
      </c>
      <c r="P30" s="206">
        <f t="shared" si="5"/>
        <v>0.48</v>
      </c>
      <c r="Q30" s="206">
        <f t="shared" si="6"/>
        <v>0</v>
      </c>
      <c r="R3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106640</v>
      </c>
      <c r="T3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30" s="208">
        <f ca="1">IF(Tabla33610673487[[#This Row],[Equity]]&lt;Tabla33610673487[[#This Row],[Equity Peak]],(Tabla33610673487[[#This Row],[Equity Peak]]-Tabla33610673487[[#This Row],[Equity]])/Tabla33610673487[[#This Row],[Equity Peak]],"")</f>
        <v>4.2950513538748836E-3</v>
      </c>
      <c r="V30" s="209">
        <f t="shared" si="7"/>
        <v>0.48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4.5298611111065838</v>
      </c>
      <c r="AE30" s="210">
        <f t="shared" si="16"/>
        <v>4.5298611111065838</v>
      </c>
      <c r="AF30" s="210">
        <f t="shared" si="17"/>
        <v>0</v>
      </c>
      <c r="AG30" s="210">
        <f t="shared" si="18"/>
        <v>0</v>
      </c>
    </row>
    <row r="31" spans="1:35" ht="15" customHeight="1" x14ac:dyDescent="0.3">
      <c r="B31" s="196" t="s">
        <v>7</v>
      </c>
      <c r="C31" s="197" t="s">
        <v>15</v>
      </c>
      <c r="D31" s="198" t="str">
        <f t="shared" si="0"/>
        <v>C</v>
      </c>
      <c r="E31" s="199">
        <v>44551.666666666664</v>
      </c>
      <c r="F31" s="200" t="s">
        <v>113</v>
      </c>
      <c r="G31" s="201">
        <v>113.767</v>
      </c>
      <c r="H31" s="201">
        <v>113.181</v>
      </c>
      <c r="I31" s="202">
        <f t="shared" si="1"/>
        <v>0.58599999999999852</v>
      </c>
      <c r="J31" s="201">
        <v>116.503</v>
      </c>
      <c r="K31" s="199">
        <v>44559.719444444447</v>
      </c>
      <c r="L31" s="201">
        <v>114.709</v>
      </c>
      <c r="M31" s="203">
        <f t="shared" si="2"/>
        <v>0.94199999999999995</v>
      </c>
      <c r="N31" s="204">
        <f t="shared" si="3"/>
        <v>1.61</v>
      </c>
      <c r="O31" s="205">
        <f t="shared" si="4"/>
        <v>0</v>
      </c>
      <c r="P31" s="206">
        <f t="shared" si="5"/>
        <v>1.61</v>
      </c>
      <c r="Q31" s="206">
        <f t="shared" si="6"/>
        <v>0</v>
      </c>
      <c r="R3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106160</v>
      </c>
      <c r="T3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31" s="208">
        <f ca="1">IF(Tabla33610673487[[#This Row],[Equity]]&lt;Tabla33610673487[[#This Row],[Equity Peak]],(Tabla33610673487[[#This Row],[Equity Peak]]-Tabla33610673487[[#This Row],[Equity]])/Tabla33610673487[[#This Row],[Equity Peak]],"")</f>
        <v>8.7768440709617181E-3</v>
      </c>
      <c r="V31" s="209">
        <f t="shared" si="7"/>
        <v>1.61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8.0527777777824667</v>
      </c>
      <c r="AE31" s="210">
        <f t="shared" si="16"/>
        <v>8.0527777777824667</v>
      </c>
      <c r="AF31" s="210">
        <f t="shared" si="17"/>
        <v>0</v>
      </c>
      <c r="AG31" s="210">
        <f t="shared" si="18"/>
        <v>0</v>
      </c>
    </row>
    <row r="32" spans="1:35" ht="15" customHeight="1" x14ac:dyDescent="0.3">
      <c r="B32" s="196" t="s">
        <v>7</v>
      </c>
      <c r="C32" s="197" t="s">
        <v>15</v>
      </c>
      <c r="D32" s="198" t="str">
        <f t="shared" si="0"/>
        <v>C</v>
      </c>
      <c r="E32" s="199">
        <v>44544.833333333336</v>
      </c>
      <c r="F32" s="200" t="s">
        <v>113</v>
      </c>
      <c r="G32" s="201">
        <v>113.664</v>
      </c>
      <c r="H32" s="201">
        <v>113.066</v>
      </c>
      <c r="I32" s="202">
        <f t="shared" si="1"/>
        <v>0.59799999999999898</v>
      </c>
      <c r="J32" s="201">
        <v>116.45399999999999</v>
      </c>
      <c r="K32" s="199">
        <v>44546.695833333331</v>
      </c>
      <c r="L32" s="201">
        <v>113.75</v>
      </c>
      <c r="M32" s="203">
        <f t="shared" si="2"/>
        <v>8.5999999999999993E-2</v>
      </c>
      <c r="N32" s="204">
        <f t="shared" si="3"/>
        <v>0.14000000000000001</v>
      </c>
      <c r="O32" s="205">
        <f t="shared" si="4"/>
        <v>0</v>
      </c>
      <c r="P32" s="206">
        <f t="shared" si="5"/>
        <v>0.14000000000000001</v>
      </c>
      <c r="Q32" s="206">
        <f t="shared" si="6"/>
        <v>0</v>
      </c>
      <c r="R3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104550</v>
      </c>
      <c r="T3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32" s="208">
        <f ca="1">IF(Tabla33610673487[[#This Row],[Equity]]&lt;Tabla33610673487[[#This Row],[Equity Peak]],(Tabla33610673487[[#This Row],[Equity Peak]]-Tabla33610673487[[#This Row],[Equity]])/Tabla33610673487[[#This Row],[Equity Peak]],"")</f>
        <v>2.3809523809523808E-2</v>
      </c>
      <c r="V32" s="209">
        <f t="shared" si="7"/>
        <v>0.14000000000000001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1.8624999999956344</v>
      </c>
      <c r="AE32" s="210">
        <f t="shared" si="16"/>
        <v>1.8624999999956344</v>
      </c>
      <c r="AF32" s="210">
        <f t="shared" si="17"/>
        <v>0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15</v>
      </c>
      <c r="D33" s="198" t="str">
        <f t="shared" si="0"/>
        <v>C</v>
      </c>
      <c r="E33" s="199">
        <v>44538.833333333336</v>
      </c>
      <c r="F33" s="200" t="s">
        <v>113</v>
      </c>
      <c r="G33" s="201">
        <v>113.663</v>
      </c>
      <c r="H33" s="201">
        <v>112.81100000000001</v>
      </c>
      <c r="I33" s="202">
        <f t="shared" si="1"/>
        <v>0.85199999999998965</v>
      </c>
      <c r="J33" s="201">
        <v>117.639</v>
      </c>
      <c r="K33" s="199">
        <v>44539.640972222223</v>
      </c>
      <c r="L33" s="201">
        <v>113.297</v>
      </c>
      <c r="M33" s="203">
        <f t="shared" si="2"/>
        <v>-0.36599999999999999</v>
      </c>
      <c r="N33" s="204">
        <f t="shared" si="3"/>
        <v>-0.43</v>
      </c>
      <c r="O33" s="205">
        <f t="shared" si="4"/>
        <v>0</v>
      </c>
      <c r="P33" s="206">
        <f t="shared" si="5"/>
        <v>0</v>
      </c>
      <c r="Q33" s="206">
        <f t="shared" si="6"/>
        <v>-0.43</v>
      </c>
      <c r="R3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104410</v>
      </c>
      <c r="T3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33" s="208">
        <f ca="1">IF(Tabla33610673487[[#This Row],[Equity]]&lt;Tabla33610673487[[#This Row],[Equity Peak]],(Tabla33610673487[[#This Row],[Equity Peak]]-Tabla33610673487[[#This Row],[Equity]])/Tabla33610673487[[#This Row],[Equity Peak]],"")</f>
        <v>2.5116713352007471E-2</v>
      </c>
      <c r="V33" s="209">
        <f t="shared" si="7"/>
        <v>-0.43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0.80763888888759539</v>
      </c>
      <c r="AE33" s="210">
        <f t="shared" si="16"/>
        <v>0</v>
      </c>
      <c r="AF33" s="210">
        <f t="shared" si="17"/>
        <v>0.80763888888759539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0"/>
        <v>C</v>
      </c>
      <c r="E34" s="199">
        <v>44524.833333333336</v>
      </c>
      <c r="F34" s="200" t="s">
        <v>113</v>
      </c>
      <c r="G34" s="201">
        <v>115.44799999999999</v>
      </c>
      <c r="H34" s="201">
        <v>114.49299999999999</v>
      </c>
      <c r="I34" s="202">
        <f t="shared" si="1"/>
        <v>0.95499999999999829</v>
      </c>
      <c r="J34" s="201">
        <v>119.90600000000001</v>
      </c>
      <c r="K34" s="199">
        <v>44526.081250000003</v>
      </c>
      <c r="L34" s="201">
        <v>115.06699999999999</v>
      </c>
      <c r="M34" s="203">
        <f t="shared" si="2"/>
        <v>-0.38100000000000001</v>
      </c>
      <c r="N34" s="204">
        <f t="shared" si="3"/>
        <v>-0.4</v>
      </c>
      <c r="O34" s="205">
        <f t="shared" si="4"/>
        <v>0</v>
      </c>
      <c r="P34" s="206">
        <f t="shared" si="5"/>
        <v>0</v>
      </c>
      <c r="Q34" s="206">
        <f t="shared" si="6"/>
        <v>-0.4</v>
      </c>
      <c r="R3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104840</v>
      </c>
      <c r="T3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34" s="208">
        <f ca="1">IF(Tabla33610673487[[#This Row],[Equity]]&lt;Tabla33610673487[[#This Row],[Equity Peak]],(Tabla33610673487[[#This Row],[Equity Peak]]-Tabla33610673487[[#This Row],[Equity]])/Tabla33610673487[[#This Row],[Equity Peak]],"")</f>
        <v>2.1101774042950515E-2</v>
      </c>
      <c r="V34" s="209">
        <f t="shared" si="7"/>
        <v>-0.4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1.2479166666671517</v>
      </c>
      <c r="AE34" s="210">
        <f t="shared" si="16"/>
        <v>0</v>
      </c>
      <c r="AF34" s="210">
        <f t="shared" si="17"/>
        <v>1.2479166666671517</v>
      </c>
      <c r="AG34" s="210">
        <f t="shared" si="18"/>
        <v>0</v>
      </c>
    </row>
    <row r="35" spans="2:33" ht="15" customHeight="1" x14ac:dyDescent="0.3">
      <c r="B35" s="196" t="s">
        <v>7</v>
      </c>
      <c r="C35" s="197" t="s">
        <v>15</v>
      </c>
      <c r="D35" s="198" t="str">
        <f t="shared" si="0"/>
        <v>C</v>
      </c>
      <c r="E35" s="199">
        <v>44523.333333333336</v>
      </c>
      <c r="F35" s="200" t="s">
        <v>113</v>
      </c>
      <c r="G35" s="201">
        <v>115.113</v>
      </c>
      <c r="H35" s="201">
        <v>114.306</v>
      </c>
      <c r="I35" s="202">
        <f t="shared" si="1"/>
        <v>0.80700000000000216</v>
      </c>
      <c r="J35" s="201">
        <v>118.878</v>
      </c>
      <c r="K35" s="199">
        <v>44523.393055555556</v>
      </c>
      <c r="L35" s="201">
        <v>114.712</v>
      </c>
      <c r="M35" s="203">
        <f t="shared" si="2"/>
        <v>-0.40100000000000002</v>
      </c>
      <c r="N35" s="204">
        <f t="shared" si="3"/>
        <v>-0.5</v>
      </c>
      <c r="O35" s="205">
        <f t="shared" si="4"/>
        <v>0</v>
      </c>
      <c r="P35" s="206">
        <f t="shared" si="5"/>
        <v>0</v>
      </c>
      <c r="Q35" s="206">
        <f t="shared" si="6"/>
        <v>-0.5</v>
      </c>
      <c r="R3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105240</v>
      </c>
      <c r="T3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35" s="208">
        <f ca="1">IF(Tabla33610673487[[#This Row],[Equity]]&lt;Tabla33610673487[[#This Row],[Equity Peak]],(Tabla33610673487[[#This Row],[Equity Peak]]-Tabla33610673487[[#This Row],[Equity]])/Tabla33610673487[[#This Row],[Equity Peak]],"")</f>
        <v>1.7366946778711485E-2</v>
      </c>
      <c r="V35" s="209">
        <f t="shared" si="7"/>
        <v>-0.5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5.9722222220443655E-2</v>
      </c>
      <c r="AE35" s="210">
        <f t="shared" si="16"/>
        <v>0</v>
      </c>
      <c r="AF35" s="210">
        <f t="shared" si="17"/>
        <v>5.9722222220443655E-2</v>
      </c>
      <c r="AG35" s="210">
        <f t="shared" si="18"/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0"/>
        <v>C</v>
      </c>
      <c r="E36" s="199">
        <v>44517.017361111109</v>
      </c>
      <c r="F36" s="200" t="s">
        <v>113</v>
      </c>
      <c r="G36" s="201">
        <v>114.79300000000001</v>
      </c>
      <c r="H36" s="201">
        <v>114.169</v>
      </c>
      <c r="I36" s="202">
        <f t="shared" si="1"/>
        <v>0.62400000000000944</v>
      </c>
      <c r="J36" s="201">
        <v>117.706</v>
      </c>
      <c r="K36" s="199">
        <v>44517.647916666669</v>
      </c>
      <c r="L36" s="201">
        <v>114.58</v>
      </c>
      <c r="M36" s="203">
        <f t="shared" si="2"/>
        <v>-0.21299999999999999</v>
      </c>
      <c r="N36" s="204">
        <f t="shared" si="3"/>
        <v>-0.34</v>
      </c>
      <c r="O36" s="205">
        <f t="shared" si="4"/>
        <v>0</v>
      </c>
      <c r="P36" s="206">
        <f t="shared" si="5"/>
        <v>0</v>
      </c>
      <c r="Q36" s="206">
        <f t="shared" si="6"/>
        <v>-0.34</v>
      </c>
      <c r="R3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105740</v>
      </c>
      <c r="T3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36" s="208">
        <f ca="1">IF(Tabla33610673487[[#This Row],[Equity]]&lt;Tabla33610673487[[#This Row],[Equity Peak]],(Tabla33610673487[[#This Row],[Equity Peak]]-Tabla33610673487[[#This Row],[Equity]])/Tabla33610673487[[#This Row],[Equity Peak]],"")</f>
        <v>1.2698412698412698E-2</v>
      </c>
      <c r="V36" s="209">
        <f t="shared" si="7"/>
        <v>-0.34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0.63055555555911269</v>
      </c>
      <c r="AE36" s="210">
        <f t="shared" si="16"/>
        <v>0</v>
      </c>
      <c r="AF36" s="210">
        <f t="shared" si="17"/>
        <v>0.63055555555911269</v>
      </c>
      <c r="AG36" s="210">
        <f t="shared" si="18"/>
        <v>0</v>
      </c>
    </row>
    <row r="37" spans="2:33" ht="15" customHeight="1" x14ac:dyDescent="0.3">
      <c r="B37" s="196" t="s">
        <v>7</v>
      </c>
      <c r="C37" s="197" t="s">
        <v>15</v>
      </c>
      <c r="D37" s="198" t="str">
        <f t="shared" si="0"/>
        <v>C</v>
      </c>
      <c r="E37" s="199">
        <v>44511.333333333336</v>
      </c>
      <c r="F37" s="200" t="s">
        <v>113</v>
      </c>
      <c r="G37" s="201">
        <v>113.946</v>
      </c>
      <c r="H37" s="201">
        <v>113.104</v>
      </c>
      <c r="I37" s="202">
        <f t="shared" si="1"/>
        <v>0.84199999999999875</v>
      </c>
      <c r="J37" s="201">
        <v>117.877</v>
      </c>
      <c r="K37" s="199">
        <v>44512.710416666669</v>
      </c>
      <c r="L37" s="201">
        <v>113.84699999999999</v>
      </c>
      <c r="M37" s="203">
        <f t="shared" si="2"/>
        <v>-9.9000000000000005E-2</v>
      </c>
      <c r="N37" s="204">
        <f t="shared" si="3"/>
        <v>-0.12</v>
      </c>
      <c r="O37" s="205">
        <f t="shared" si="4"/>
        <v>0</v>
      </c>
      <c r="P37" s="206">
        <f t="shared" si="5"/>
        <v>0</v>
      </c>
      <c r="Q37" s="206">
        <f t="shared" si="6"/>
        <v>-0.12</v>
      </c>
      <c r="R3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106080</v>
      </c>
      <c r="T3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37" s="208">
        <f ca="1">IF(Tabla33610673487[[#This Row],[Equity]]&lt;Tabla33610673487[[#This Row],[Equity Peak]],(Tabla33610673487[[#This Row],[Equity Peak]]-Tabla33610673487[[#This Row],[Equity]])/Tabla33610673487[[#This Row],[Equity Peak]],"")</f>
        <v>9.5238095238095247E-3</v>
      </c>
      <c r="V37" s="209">
        <f t="shared" si="7"/>
        <v>-0.12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1.3770833333328483</v>
      </c>
      <c r="AE37" s="210">
        <f t="shared" si="16"/>
        <v>0</v>
      </c>
      <c r="AF37" s="210">
        <f t="shared" si="17"/>
        <v>1.3770833333328483</v>
      </c>
      <c r="AG37" s="210">
        <f t="shared" si="18"/>
        <v>0</v>
      </c>
    </row>
    <row r="38" spans="2:33" ht="15" customHeight="1" x14ac:dyDescent="0.3">
      <c r="B38" s="196" t="s">
        <v>7</v>
      </c>
      <c r="C38" s="197" t="s">
        <v>13</v>
      </c>
      <c r="D38" s="198" t="str">
        <f t="shared" ref="D38:D55" si="19">IF(E38&lt;&gt;"",IF(K38&lt;&gt;"","C","O"),"")</f>
        <v>C</v>
      </c>
      <c r="E38" s="199">
        <v>44176.333333333336</v>
      </c>
      <c r="F38" s="200" t="s">
        <v>113</v>
      </c>
      <c r="G38" s="201">
        <v>104.006</v>
      </c>
      <c r="H38" s="201">
        <v>104.649</v>
      </c>
      <c r="I38" s="202">
        <f t="shared" ref="I38:I55" si="20">ABS(G38-H38)</f>
        <v>0.64300000000000068</v>
      </c>
      <c r="J38" s="201">
        <v>101.004</v>
      </c>
      <c r="K38" s="199">
        <v>44179.714583333334</v>
      </c>
      <c r="L38" s="201">
        <v>103.982</v>
      </c>
      <c r="M38" s="203">
        <f t="shared" ref="M38:M55" si="21">ROUND(IF(C38="L",(L38-G38),(G38-L38)),4)</f>
        <v>2.4E-2</v>
      </c>
      <c r="N38" s="204">
        <f t="shared" ref="N38:N55" si="22">IFERROR(ROUND((M38/I38),2),"")</f>
        <v>0.04</v>
      </c>
      <c r="O38" s="205">
        <f t="shared" ref="O38:O55" si="23">IF(D38="O",IF(N38&lt;0,N38,0),0)</f>
        <v>0</v>
      </c>
      <c r="P38" s="206">
        <f t="shared" ref="P38:P55" si="24">IF(N38&gt;= 0,N38,0)</f>
        <v>0.04</v>
      </c>
      <c r="Q38" s="206">
        <f t="shared" ref="Q38:Q55" si="25">IF(N38&lt;0,N38,0)</f>
        <v>0</v>
      </c>
      <c r="R3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106200</v>
      </c>
      <c r="T3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38" s="208">
        <f ca="1">IF(Tabla33610673487[[#This Row],[Equity]]&lt;Tabla33610673487[[#This Row],[Equity Peak]],(Tabla33610673487[[#This Row],[Equity Peak]]-Tabla33610673487[[#This Row],[Equity]])/Tabla33610673487[[#This Row],[Equity Peak]],"")</f>
        <v>8.4033613445378148E-3</v>
      </c>
      <c r="V38" s="209">
        <f t="shared" ref="V38:V55" si="26">IF(B38="FX",N38,0)</f>
        <v>0.04</v>
      </c>
      <c r="W38" s="209">
        <f t="shared" ref="W38:W55" si="27">IF(D38="O",IF(V38&lt;0,V38,0),0)</f>
        <v>0</v>
      </c>
      <c r="X38" s="209">
        <f t="shared" ref="X38:X55" si="28">IF(B38="COM",N38,0)</f>
        <v>0</v>
      </c>
      <c r="Y38" s="209">
        <f t="shared" ref="Y38:Y55" si="29">IF(D38="O",IF(X38&lt;0,X38,0),0)</f>
        <v>0</v>
      </c>
      <c r="Z38" s="209">
        <f t="shared" ref="Z38:Z55" si="30">IF(B38="IND",N38,0)</f>
        <v>0</v>
      </c>
      <c r="AA38" s="205">
        <f t="shared" ref="AA38:AA55" si="31">IF(D38="O",IF(Z38&lt;0,Z38,0),0)</f>
        <v>0</v>
      </c>
      <c r="AB38" s="209">
        <f t="shared" ref="AB38:AB55" si="32">IF(B38="CRYPTO",N38,0)</f>
        <v>0</v>
      </c>
      <c r="AC38" s="205">
        <f t="shared" ref="AC38:AC55" si="33">IF(D38="O",IF(AB38&lt;0,AB38,0),0)</f>
        <v>0</v>
      </c>
      <c r="AD38" s="210">
        <f t="shared" ref="AD38:AD55" si="34">IF(K38&lt;&gt;"",K38-E38,0)</f>
        <v>3.3812499999985448</v>
      </c>
      <c r="AE38" s="210">
        <f t="shared" ref="AE38:AE55" si="35">IF(N38&gt;0,AD38,0)</f>
        <v>3.3812499999985448</v>
      </c>
      <c r="AF38" s="210">
        <f t="shared" ref="AF38:AF55" si="36">IF(N38&lt;0,AD38,0)</f>
        <v>0</v>
      </c>
      <c r="AG38" s="210">
        <f t="shared" ref="AG38:AG55" si="37">IF(N38=0,AD38,0)</f>
        <v>0</v>
      </c>
    </row>
    <row r="39" spans="2:33" ht="15" customHeight="1" x14ac:dyDescent="0.3">
      <c r="B39" s="196" t="s">
        <v>7</v>
      </c>
      <c r="C39" s="197" t="s">
        <v>13</v>
      </c>
      <c r="D39" s="198" t="str">
        <f t="shared" si="19"/>
        <v>C</v>
      </c>
      <c r="E39" s="199">
        <v>44168.833333333336</v>
      </c>
      <c r="F39" s="200" t="s">
        <v>113</v>
      </c>
      <c r="G39" s="201">
        <v>103.883</v>
      </c>
      <c r="H39" s="201">
        <v>104.551</v>
      </c>
      <c r="I39" s="202">
        <f t="shared" si="20"/>
        <v>0.66800000000000637</v>
      </c>
      <c r="J39" s="201">
        <v>100.768</v>
      </c>
      <c r="K39" s="199">
        <v>44169.724999999999</v>
      </c>
      <c r="L39" s="201">
        <v>104.15</v>
      </c>
      <c r="M39" s="203">
        <f t="shared" si="21"/>
        <v>-0.26700000000000002</v>
      </c>
      <c r="N39" s="204">
        <f t="shared" si="22"/>
        <v>-0.4</v>
      </c>
      <c r="O39" s="205">
        <f t="shared" si="23"/>
        <v>0</v>
      </c>
      <c r="P39" s="206">
        <f t="shared" si="24"/>
        <v>0</v>
      </c>
      <c r="Q39" s="206">
        <f t="shared" si="25"/>
        <v>-0.4</v>
      </c>
      <c r="R3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106160</v>
      </c>
      <c r="T3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39" s="208">
        <f ca="1">IF(Tabla33610673487[[#This Row],[Equity]]&lt;Tabla33610673487[[#This Row],[Equity Peak]],(Tabla33610673487[[#This Row],[Equity Peak]]-Tabla33610673487[[#This Row],[Equity]])/Tabla33610673487[[#This Row],[Equity Peak]],"")</f>
        <v>8.7768440709617181E-3</v>
      </c>
      <c r="V39" s="209">
        <f t="shared" si="26"/>
        <v>-0.4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0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0.89166666666278616</v>
      </c>
      <c r="AE39" s="210">
        <f t="shared" si="35"/>
        <v>0</v>
      </c>
      <c r="AF39" s="210">
        <f t="shared" si="36"/>
        <v>0.89166666666278616</v>
      </c>
      <c r="AG39" s="210">
        <f t="shared" si="37"/>
        <v>0</v>
      </c>
    </row>
    <row r="40" spans="2:33" ht="15" customHeight="1" x14ac:dyDescent="0.3">
      <c r="B40" s="196" t="s">
        <v>7</v>
      </c>
      <c r="C40" s="197" t="s">
        <v>13</v>
      </c>
      <c r="D40" s="198" t="str">
        <f t="shared" si="19"/>
        <v>C</v>
      </c>
      <c r="E40" s="199">
        <v>44162.166666666664</v>
      </c>
      <c r="F40" s="200" t="s">
        <v>113</v>
      </c>
      <c r="G40" s="201">
        <v>104.03</v>
      </c>
      <c r="H40" s="201">
        <v>104.46599999999999</v>
      </c>
      <c r="I40" s="202">
        <f t="shared" si="20"/>
        <v>0.43599999999999284</v>
      </c>
      <c r="J40" s="201">
        <v>101.996</v>
      </c>
      <c r="K40" s="199">
        <v>44162.586111111108</v>
      </c>
      <c r="L40" s="201">
        <v>104.16200000000001</v>
      </c>
      <c r="M40" s="203">
        <f t="shared" si="21"/>
        <v>-0.13200000000000001</v>
      </c>
      <c r="N40" s="204">
        <f t="shared" si="22"/>
        <v>-0.3</v>
      </c>
      <c r="O40" s="205">
        <f t="shared" si="23"/>
        <v>0</v>
      </c>
      <c r="P40" s="206">
        <f t="shared" si="24"/>
        <v>0</v>
      </c>
      <c r="Q40" s="206">
        <f t="shared" si="25"/>
        <v>-0.3</v>
      </c>
      <c r="R4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106560</v>
      </c>
      <c r="T4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40" s="208">
        <f ca="1">IF(Tabla33610673487[[#This Row],[Equity]]&lt;Tabla33610673487[[#This Row],[Equity Peak]],(Tabla33610673487[[#This Row],[Equity Peak]]-Tabla33610673487[[#This Row],[Equity]])/Tabla33610673487[[#This Row],[Equity Peak]],"")</f>
        <v>5.0420168067226894E-3</v>
      </c>
      <c r="V40" s="209">
        <f t="shared" si="26"/>
        <v>-0.3</v>
      </c>
      <c r="W40" s="209">
        <f t="shared" si="27"/>
        <v>0</v>
      </c>
      <c r="X40" s="209">
        <f t="shared" si="28"/>
        <v>0</v>
      </c>
      <c r="Y40" s="209">
        <f t="shared" si="29"/>
        <v>0</v>
      </c>
      <c r="Z40" s="209">
        <f t="shared" si="30"/>
        <v>0</v>
      </c>
      <c r="AA40" s="205">
        <f t="shared" si="31"/>
        <v>0</v>
      </c>
      <c r="AB40" s="209">
        <f t="shared" si="32"/>
        <v>0</v>
      </c>
      <c r="AC40" s="205">
        <f t="shared" si="33"/>
        <v>0</v>
      </c>
      <c r="AD40" s="210">
        <f t="shared" si="34"/>
        <v>0.41944444444379769</v>
      </c>
      <c r="AE40" s="210">
        <f t="shared" si="35"/>
        <v>0</v>
      </c>
      <c r="AF40" s="210">
        <f t="shared" si="36"/>
        <v>0.41944444444379769</v>
      </c>
      <c r="AG40" s="210">
        <f t="shared" si="37"/>
        <v>0</v>
      </c>
    </row>
    <row r="41" spans="2:33" ht="15" customHeight="1" x14ac:dyDescent="0.3">
      <c r="B41" s="196" t="s">
        <v>7</v>
      </c>
      <c r="C41" s="197" t="s">
        <v>13</v>
      </c>
      <c r="D41" s="198" t="str">
        <f t="shared" si="19"/>
        <v>C</v>
      </c>
      <c r="E41" s="199">
        <v>44151.833333333336</v>
      </c>
      <c r="F41" s="200" t="s">
        <v>113</v>
      </c>
      <c r="G41" s="201">
        <v>104.538</v>
      </c>
      <c r="H41" s="201">
        <v>105.32899999999999</v>
      </c>
      <c r="I41" s="202">
        <f t="shared" si="20"/>
        <v>0.79099999999999682</v>
      </c>
      <c r="J41" s="201">
        <v>100.846</v>
      </c>
      <c r="K41" s="199">
        <v>44154.51458333333</v>
      </c>
      <c r="L41" s="201">
        <v>104.16</v>
      </c>
      <c r="M41" s="203">
        <f t="shared" si="21"/>
        <v>0.378</v>
      </c>
      <c r="N41" s="204">
        <f t="shared" si="22"/>
        <v>0.48</v>
      </c>
      <c r="O41" s="205">
        <f t="shared" si="23"/>
        <v>0</v>
      </c>
      <c r="P41" s="206">
        <f t="shared" si="24"/>
        <v>0.48</v>
      </c>
      <c r="Q41" s="206">
        <f t="shared" si="25"/>
        <v>0</v>
      </c>
      <c r="R4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106860</v>
      </c>
      <c r="T4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41" s="208">
        <f ca="1">IF(Tabla33610673487[[#This Row],[Equity]]&lt;Tabla33610673487[[#This Row],[Equity Peak]],(Tabla33610673487[[#This Row],[Equity Peak]]-Tabla33610673487[[#This Row],[Equity]])/Tabla33610673487[[#This Row],[Equity Peak]],"")</f>
        <v>2.2408963585434172E-3</v>
      </c>
      <c r="V41" s="209">
        <f t="shared" si="26"/>
        <v>0.48</v>
      </c>
      <c r="W41" s="209">
        <f t="shared" si="27"/>
        <v>0</v>
      </c>
      <c r="X41" s="209">
        <f t="shared" si="28"/>
        <v>0</v>
      </c>
      <c r="Y41" s="209">
        <f t="shared" si="29"/>
        <v>0</v>
      </c>
      <c r="Z41" s="209">
        <f t="shared" si="30"/>
        <v>0</v>
      </c>
      <c r="AA41" s="205">
        <f t="shared" si="31"/>
        <v>0</v>
      </c>
      <c r="AB41" s="209">
        <f t="shared" si="32"/>
        <v>0</v>
      </c>
      <c r="AC41" s="205">
        <f t="shared" si="33"/>
        <v>0</v>
      </c>
      <c r="AD41" s="210">
        <f t="shared" si="34"/>
        <v>2.6812499999941792</v>
      </c>
      <c r="AE41" s="210">
        <f t="shared" si="35"/>
        <v>2.6812499999941792</v>
      </c>
      <c r="AF41" s="210">
        <f t="shared" si="36"/>
        <v>0</v>
      </c>
      <c r="AG41" s="210">
        <f t="shared" si="37"/>
        <v>0</v>
      </c>
    </row>
    <row r="42" spans="2:33" ht="15" customHeight="1" x14ac:dyDescent="0.3">
      <c r="B42" s="196" t="s">
        <v>7</v>
      </c>
      <c r="C42" s="197" t="s">
        <v>13</v>
      </c>
      <c r="D42" s="198" t="str">
        <f t="shared" si="19"/>
        <v>C</v>
      </c>
      <c r="E42" s="199">
        <v>44151.5</v>
      </c>
      <c r="F42" s="200" t="s">
        <v>113</v>
      </c>
      <c r="G42" s="201">
        <v>104.544</v>
      </c>
      <c r="H42" s="201">
        <v>105.179</v>
      </c>
      <c r="I42" s="202">
        <f t="shared" si="20"/>
        <v>0.63500000000000512</v>
      </c>
      <c r="J42" s="201">
        <v>101.58199999999999</v>
      </c>
      <c r="K42" s="199">
        <v>44151.57708333333</v>
      </c>
      <c r="L42" s="201">
        <v>104.86199999999999</v>
      </c>
      <c r="M42" s="203">
        <f t="shared" si="21"/>
        <v>-0.318</v>
      </c>
      <c r="N42" s="204">
        <f t="shared" si="22"/>
        <v>-0.5</v>
      </c>
      <c r="O42" s="205">
        <f t="shared" si="23"/>
        <v>0</v>
      </c>
      <c r="P42" s="206">
        <f t="shared" si="24"/>
        <v>0</v>
      </c>
      <c r="Q42" s="206">
        <f t="shared" si="25"/>
        <v>-0.5</v>
      </c>
      <c r="R4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106380</v>
      </c>
      <c r="T4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42" s="208">
        <f ca="1">IF(Tabla33610673487[[#This Row],[Equity]]&lt;Tabla33610673487[[#This Row],[Equity Peak]],(Tabla33610673487[[#This Row],[Equity Peak]]-Tabla33610673487[[#This Row],[Equity]])/Tabla33610673487[[#This Row],[Equity Peak]],"")</f>
        <v>6.7226890756302525E-3</v>
      </c>
      <c r="V42" s="209">
        <f t="shared" si="26"/>
        <v>-0.5</v>
      </c>
      <c r="W42" s="209">
        <f t="shared" si="27"/>
        <v>0</v>
      </c>
      <c r="X42" s="209">
        <f t="shared" si="28"/>
        <v>0</v>
      </c>
      <c r="Y42" s="209">
        <f t="shared" si="29"/>
        <v>0</v>
      </c>
      <c r="Z42" s="209">
        <f t="shared" si="30"/>
        <v>0</v>
      </c>
      <c r="AA42" s="205">
        <f t="shared" si="31"/>
        <v>0</v>
      </c>
      <c r="AB42" s="209">
        <f t="shared" si="32"/>
        <v>0</v>
      </c>
      <c r="AC42" s="205">
        <f t="shared" si="33"/>
        <v>0</v>
      </c>
      <c r="AD42" s="210">
        <f t="shared" si="34"/>
        <v>7.7083333329937886E-2</v>
      </c>
      <c r="AE42" s="210">
        <f t="shared" si="35"/>
        <v>0</v>
      </c>
      <c r="AF42" s="210">
        <f t="shared" si="36"/>
        <v>7.7083333329937886E-2</v>
      </c>
      <c r="AG42" s="210">
        <f t="shared" si="37"/>
        <v>0</v>
      </c>
    </row>
    <row r="43" spans="2:33" ht="15" customHeight="1" x14ac:dyDescent="0.3">
      <c r="B43" s="196" t="s">
        <v>7</v>
      </c>
      <c r="C43" s="197" t="s">
        <v>13</v>
      </c>
      <c r="D43" s="198" t="str">
        <f t="shared" si="19"/>
        <v>C</v>
      </c>
      <c r="E43" s="199">
        <v>44140.666666666664</v>
      </c>
      <c r="F43" s="200" t="s">
        <v>113</v>
      </c>
      <c r="G43" s="201">
        <v>103.667</v>
      </c>
      <c r="H43" s="201">
        <v>104.976</v>
      </c>
      <c r="I43" s="202">
        <f t="shared" si="20"/>
        <v>1.3089999999999975</v>
      </c>
      <c r="J43" s="201">
        <v>97.56</v>
      </c>
      <c r="K43" s="199">
        <v>44144.56527777778</v>
      </c>
      <c r="L43" s="201">
        <v>103.76900000000001</v>
      </c>
      <c r="M43" s="203">
        <f t="shared" si="21"/>
        <v>-0.10199999999999999</v>
      </c>
      <c r="N43" s="204">
        <f t="shared" si="22"/>
        <v>-0.08</v>
      </c>
      <c r="O43" s="205">
        <f t="shared" si="23"/>
        <v>0</v>
      </c>
      <c r="P43" s="206">
        <f t="shared" si="24"/>
        <v>0</v>
      </c>
      <c r="Q43" s="206">
        <f t="shared" si="25"/>
        <v>-0.08</v>
      </c>
      <c r="R4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106880</v>
      </c>
      <c r="T4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43" s="208">
        <f ca="1">IF(Tabla33610673487[[#This Row],[Equity]]&lt;Tabla33610673487[[#This Row],[Equity Peak]],(Tabla33610673487[[#This Row],[Equity Peak]]-Tabla33610673487[[#This Row],[Equity]])/Tabla33610673487[[#This Row],[Equity Peak]],"")</f>
        <v>2.054154995331466E-3</v>
      </c>
      <c r="V43" s="209">
        <f t="shared" si="26"/>
        <v>-0.08</v>
      </c>
      <c r="W43" s="209">
        <f t="shared" si="27"/>
        <v>0</v>
      </c>
      <c r="X43" s="209">
        <f t="shared" si="28"/>
        <v>0</v>
      </c>
      <c r="Y43" s="209">
        <f t="shared" si="29"/>
        <v>0</v>
      </c>
      <c r="Z43" s="209">
        <f t="shared" si="30"/>
        <v>0</v>
      </c>
      <c r="AA43" s="205">
        <f t="shared" si="31"/>
        <v>0</v>
      </c>
      <c r="AB43" s="209">
        <f t="shared" si="32"/>
        <v>0</v>
      </c>
      <c r="AC43" s="205">
        <f t="shared" si="33"/>
        <v>0</v>
      </c>
      <c r="AD43" s="210">
        <f t="shared" si="34"/>
        <v>3.898611111115315</v>
      </c>
      <c r="AE43" s="210">
        <f t="shared" si="35"/>
        <v>0</v>
      </c>
      <c r="AF43" s="210">
        <f t="shared" si="36"/>
        <v>3.898611111115315</v>
      </c>
      <c r="AG43" s="210">
        <f t="shared" si="37"/>
        <v>0</v>
      </c>
    </row>
    <row r="44" spans="2:33" ht="15" customHeight="1" x14ac:dyDescent="0.3">
      <c r="B44" s="196" t="s">
        <v>7</v>
      </c>
      <c r="C44" s="197" t="s">
        <v>13</v>
      </c>
      <c r="D44" s="198" t="str">
        <f t="shared" si="19"/>
        <v>C</v>
      </c>
      <c r="E44" s="199">
        <v>44125.333333333336</v>
      </c>
      <c r="F44" s="200" t="s">
        <v>113</v>
      </c>
      <c r="G44" s="201">
        <v>105.295</v>
      </c>
      <c r="H44" s="201">
        <v>105.777</v>
      </c>
      <c r="I44" s="202">
        <f t="shared" si="20"/>
        <v>0.48199999999999932</v>
      </c>
      <c r="J44" s="201">
        <v>103.048</v>
      </c>
      <c r="K44" s="199">
        <v>44130.419444444444</v>
      </c>
      <c r="L44" s="201">
        <v>104.95399999999999</v>
      </c>
      <c r="M44" s="203">
        <f t="shared" si="21"/>
        <v>0.34100000000000003</v>
      </c>
      <c r="N44" s="204">
        <f t="shared" si="22"/>
        <v>0.71</v>
      </c>
      <c r="O44" s="205">
        <f t="shared" si="23"/>
        <v>0</v>
      </c>
      <c r="P44" s="206">
        <f t="shared" si="24"/>
        <v>0.71</v>
      </c>
      <c r="Q44" s="206">
        <f t="shared" si="25"/>
        <v>0</v>
      </c>
      <c r="R4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106960</v>
      </c>
      <c r="T4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44" s="208">
        <f ca="1">IF(Tabla33610673487[[#This Row],[Equity]]&lt;Tabla33610673487[[#This Row],[Equity Peak]],(Tabla33610673487[[#This Row],[Equity Peak]]-Tabla33610673487[[#This Row],[Equity]])/Tabla33610673487[[#This Row],[Equity Peak]],"")</f>
        <v>1.30718954248366E-3</v>
      </c>
      <c r="V44" s="209">
        <f t="shared" si="26"/>
        <v>0.71</v>
      </c>
      <c r="W44" s="209">
        <f t="shared" si="27"/>
        <v>0</v>
      </c>
      <c r="X44" s="209">
        <f t="shared" si="28"/>
        <v>0</v>
      </c>
      <c r="Y44" s="209">
        <f t="shared" si="29"/>
        <v>0</v>
      </c>
      <c r="Z44" s="209">
        <f t="shared" si="30"/>
        <v>0</v>
      </c>
      <c r="AA44" s="205">
        <f t="shared" si="31"/>
        <v>0</v>
      </c>
      <c r="AB44" s="209">
        <f t="shared" si="32"/>
        <v>0</v>
      </c>
      <c r="AC44" s="205">
        <f t="shared" si="33"/>
        <v>0</v>
      </c>
      <c r="AD44" s="210">
        <f t="shared" si="34"/>
        <v>5.086111111108039</v>
      </c>
      <c r="AE44" s="210">
        <f t="shared" si="35"/>
        <v>5.086111111108039</v>
      </c>
      <c r="AF44" s="210">
        <f t="shared" si="36"/>
        <v>0</v>
      </c>
      <c r="AG44" s="210">
        <f t="shared" si="37"/>
        <v>0</v>
      </c>
    </row>
    <row r="45" spans="2:33" ht="15" customHeight="1" x14ac:dyDescent="0.3">
      <c r="B45" s="196" t="s">
        <v>7</v>
      </c>
      <c r="C45" s="197" t="s">
        <v>13</v>
      </c>
      <c r="D45" s="198" t="str">
        <f t="shared" si="19"/>
        <v>C</v>
      </c>
      <c r="E45" s="199">
        <v>44116.666666666664</v>
      </c>
      <c r="F45" s="200" t="s">
        <v>113</v>
      </c>
      <c r="G45" s="201">
        <v>105.374</v>
      </c>
      <c r="H45" s="201">
        <v>105.905</v>
      </c>
      <c r="I45" s="202">
        <f t="shared" si="20"/>
        <v>0.53100000000000591</v>
      </c>
      <c r="J45" s="201">
        <v>102.895</v>
      </c>
      <c r="K45" s="199">
        <v>44117.679861111108</v>
      </c>
      <c r="L45" s="201">
        <v>105.56399999999999</v>
      </c>
      <c r="M45" s="203">
        <f t="shared" si="21"/>
        <v>-0.19</v>
      </c>
      <c r="N45" s="204">
        <f t="shared" si="22"/>
        <v>-0.36</v>
      </c>
      <c r="O45" s="205">
        <f t="shared" si="23"/>
        <v>0</v>
      </c>
      <c r="P45" s="206">
        <f t="shared" si="24"/>
        <v>0</v>
      </c>
      <c r="Q45" s="206">
        <f t="shared" si="25"/>
        <v>-0.36</v>
      </c>
      <c r="R4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106250</v>
      </c>
      <c r="T4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45" s="208">
        <f ca="1">IF(Tabla33610673487[[#This Row],[Equity]]&lt;Tabla33610673487[[#This Row],[Equity Peak]],(Tabla33610673487[[#This Row],[Equity Peak]]-Tabla33610673487[[#This Row],[Equity]])/Tabla33610673487[[#This Row],[Equity Peak]],"")</f>
        <v>7.9365079365079361E-3</v>
      </c>
      <c r="V45" s="209">
        <f t="shared" si="26"/>
        <v>-0.36</v>
      </c>
      <c r="W45" s="209">
        <f t="shared" si="27"/>
        <v>0</v>
      </c>
      <c r="X45" s="209">
        <f t="shared" si="28"/>
        <v>0</v>
      </c>
      <c r="Y45" s="209">
        <f t="shared" si="29"/>
        <v>0</v>
      </c>
      <c r="Z45" s="209">
        <f t="shared" si="30"/>
        <v>0</v>
      </c>
      <c r="AA45" s="205">
        <f t="shared" si="31"/>
        <v>0</v>
      </c>
      <c r="AB45" s="209">
        <f t="shared" si="32"/>
        <v>0</v>
      </c>
      <c r="AC45" s="205">
        <f t="shared" si="33"/>
        <v>0</v>
      </c>
      <c r="AD45" s="210">
        <f t="shared" si="34"/>
        <v>1.0131944444437977</v>
      </c>
      <c r="AE45" s="210">
        <f t="shared" si="35"/>
        <v>0</v>
      </c>
      <c r="AF45" s="210">
        <f t="shared" si="36"/>
        <v>1.0131944444437977</v>
      </c>
      <c r="AG45" s="210">
        <f t="shared" si="37"/>
        <v>0</v>
      </c>
    </row>
    <row r="46" spans="2:33" ht="15" customHeight="1" x14ac:dyDescent="0.3">
      <c r="B46" s="196" t="s">
        <v>7</v>
      </c>
      <c r="C46" s="197" t="s">
        <v>13</v>
      </c>
      <c r="D46" s="198" t="str">
        <f t="shared" si="19"/>
        <v>C</v>
      </c>
      <c r="E46" s="199">
        <v>44109.017361111109</v>
      </c>
      <c r="F46" s="200" t="s">
        <v>113</v>
      </c>
      <c r="G46" s="201">
        <v>105.27800000000001</v>
      </c>
      <c r="H46" s="201">
        <v>105.925</v>
      </c>
      <c r="I46" s="202">
        <f t="shared" si="20"/>
        <v>0.64699999999999136</v>
      </c>
      <c r="J46" s="201">
        <v>102.26</v>
      </c>
      <c r="K46" s="199">
        <v>44109.167361111111</v>
      </c>
      <c r="L46" s="201">
        <v>105.596</v>
      </c>
      <c r="M46" s="203">
        <f t="shared" si="21"/>
        <v>-0.318</v>
      </c>
      <c r="N46" s="204">
        <f t="shared" si="22"/>
        <v>-0.49</v>
      </c>
      <c r="O46" s="205">
        <f t="shared" si="23"/>
        <v>0</v>
      </c>
      <c r="P46" s="206">
        <f t="shared" si="24"/>
        <v>0</v>
      </c>
      <c r="Q46" s="206">
        <f t="shared" si="25"/>
        <v>-0.49</v>
      </c>
      <c r="R4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106610</v>
      </c>
      <c r="T4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46" s="208">
        <f ca="1">IF(Tabla33610673487[[#This Row],[Equity]]&lt;Tabla33610673487[[#This Row],[Equity Peak]],(Tabla33610673487[[#This Row],[Equity Peak]]-Tabla33610673487[[#This Row],[Equity]])/Tabla33610673487[[#This Row],[Equity Peak]],"")</f>
        <v>4.5751633986928107E-3</v>
      </c>
      <c r="V46" s="209">
        <f t="shared" si="26"/>
        <v>-0.49</v>
      </c>
      <c r="W46" s="209">
        <f t="shared" si="27"/>
        <v>0</v>
      </c>
      <c r="X46" s="209">
        <f t="shared" si="28"/>
        <v>0</v>
      </c>
      <c r="Y46" s="209">
        <f t="shared" si="29"/>
        <v>0</v>
      </c>
      <c r="Z46" s="209">
        <f t="shared" si="30"/>
        <v>0</v>
      </c>
      <c r="AA46" s="205">
        <f t="shared" si="31"/>
        <v>0</v>
      </c>
      <c r="AB46" s="209">
        <f t="shared" si="32"/>
        <v>0</v>
      </c>
      <c r="AC46" s="205">
        <f t="shared" si="33"/>
        <v>0</v>
      </c>
      <c r="AD46" s="210">
        <f t="shared" si="34"/>
        <v>0.15000000000145519</v>
      </c>
      <c r="AE46" s="210">
        <f t="shared" si="35"/>
        <v>0</v>
      </c>
      <c r="AF46" s="210">
        <f t="shared" si="36"/>
        <v>0.15000000000145519</v>
      </c>
      <c r="AG46" s="210">
        <f t="shared" si="37"/>
        <v>0</v>
      </c>
    </row>
    <row r="47" spans="2:33" ht="15" customHeight="1" x14ac:dyDescent="0.3">
      <c r="B47" s="196" t="s">
        <v>7</v>
      </c>
      <c r="C47" s="197" t="s">
        <v>13</v>
      </c>
      <c r="D47" s="198" t="str">
        <f t="shared" si="19"/>
        <v>C</v>
      </c>
      <c r="E47" s="199">
        <v>44084.666666666664</v>
      </c>
      <c r="F47" s="200" t="s">
        <v>113</v>
      </c>
      <c r="G47" s="201">
        <v>106.032</v>
      </c>
      <c r="H47" s="201">
        <v>106.568</v>
      </c>
      <c r="I47" s="202">
        <f t="shared" si="20"/>
        <v>0.53600000000000136</v>
      </c>
      <c r="J47" s="201">
        <v>103.532</v>
      </c>
      <c r="K47" s="199">
        <v>44095.69027777778</v>
      </c>
      <c r="L47" s="201">
        <v>104.587</v>
      </c>
      <c r="M47" s="203">
        <f t="shared" si="21"/>
        <v>1.4450000000000001</v>
      </c>
      <c r="N47" s="204">
        <f t="shared" si="22"/>
        <v>2.7</v>
      </c>
      <c r="O47" s="205">
        <f t="shared" si="23"/>
        <v>0</v>
      </c>
      <c r="P47" s="206">
        <f t="shared" si="24"/>
        <v>2.7</v>
      </c>
      <c r="Q47" s="206">
        <f t="shared" si="25"/>
        <v>0</v>
      </c>
      <c r="R4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107100</v>
      </c>
      <c r="T4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107100</v>
      </c>
      <c r="U47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47" s="209">
        <f t="shared" si="26"/>
        <v>2.7</v>
      </c>
      <c r="W47" s="209">
        <f t="shared" si="27"/>
        <v>0</v>
      </c>
      <c r="X47" s="209">
        <f t="shared" si="28"/>
        <v>0</v>
      </c>
      <c r="Y47" s="209">
        <f t="shared" si="29"/>
        <v>0</v>
      </c>
      <c r="Z47" s="209">
        <f t="shared" si="30"/>
        <v>0</v>
      </c>
      <c r="AA47" s="205">
        <f t="shared" si="31"/>
        <v>0</v>
      </c>
      <c r="AB47" s="209">
        <f t="shared" si="32"/>
        <v>0</v>
      </c>
      <c r="AC47" s="205">
        <f t="shared" si="33"/>
        <v>0</v>
      </c>
      <c r="AD47" s="210">
        <f t="shared" si="34"/>
        <v>11.023611111115315</v>
      </c>
      <c r="AE47" s="210">
        <f t="shared" si="35"/>
        <v>11.023611111115315</v>
      </c>
      <c r="AF47" s="210">
        <f t="shared" si="36"/>
        <v>0</v>
      </c>
      <c r="AG47" s="210">
        <f t="shared" si="37"/>
        <v>0</v>
      </c>
    </row>
    <row r="48" spans="2:33" ht="15" customHeight="1" x14ac:dyDescent="0.3">
      <c r="B48" s="196" t="s">
        <v>7</v>
      </c>
      <c r="C48" s="197" t="s">
        <v>13</v>
      </c>
      <c r="D48" s="198" t="str">
        <f t="shared" si="19"/>
        <v>C</v>
      </c>
      <c r="E48" s="199">
        <v>44083.166666666664</v>
      </c>
      <c r="F48" s="200" t="s">
        <v>113</v>
      </c>
      <c r="G48" s="201">
        <v>105.985</v>
      </c>
      <c r="H48" s="201">
        <v>106.47</v>
      </c>
      <c r="I48" s="202">
        <f t="shared" si="20"/>
        <v>0.48499999999999943</v>
      </c>
      <c r="J48" s="201">
        <v>103.72</v>
      </c>
      <c r="K48" s="199">
        <v>44083.54791666667</v>
      </c>
      <c r="L48" s="201">
        <v>106.14400000000001</v>
      </c>
      <c r="M48" s="203">
        <f t="shared" si="21"/>
        <v>-0.159</v>
      </c>
      <c r="N48" s="204">
        <f t="shared" si="22"/>
        <v>-0.33</v>
      </c>
      <c r="O48" s="205">
        <f t="shared" si="23"/>
        <v>0</v>
      </c>
      <c r="P48" s="206">
        <f t="shared" si="24"/>
        <v>0</v>
      </c>
      <c r="Q48" s="206">
        <f t="shared" si="25"/>
        <v>-0.33</v>
      </c>
      <c r="R4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104400</v>
      </c>
      <c r="T4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106000</v>
      </c>
      <c r="U48" s="208">
        <f ca="1">IF(Tabla33610673487[[#This Row],[Equity]]&lt;Tabla33610673487[[#This Row],[Equity Peak]],(Tabla33610673487[[#This Row],[Equity Peak]]-Tabla33610673487[[#This Row],[Equity]])/Tabla33610673487[[#This Row],[Equity Peak]],"")</f>
        <v>1.509433962264151E-2</v>
      </c>
      <c r="V48" s="209">
        <f t="shared" si="26"/>
        <v>-0.33</v>
      </c>
      <c r="W48" s="209">
        <f t="shared" si="27"/>
        <v>0</v>
      </c>
      <c r="X48" s="209">
        <f t="shared" si="28"/>
        <v>0</v>
      </c>
      <c r="Y48" s="209">
        <f t="shared" si="29"/>
        <v>0</v>
      </c>
      <c r="Z48" s="209">
        <f t="shared" si="30"/>
        <v>0</v>
      </c>
      <c r="AA48" s="205">
        <f t="shared" si="31"/>
        <v>0</v>
      </c>
      <c r="AB48" s="209">
        <f t="shared" si="32"/>
        <v>0</v>
      </c>
      <c r="AC48" s="205">
        <f t="shared" si="33"/>
        <v>0</v>
      </c>
      <c r="AD48" s="210">
        <f t="shared" si="34"/>
        <v>0.38125000000582077</v>
      </c>
      <c r="AE48" s="210">
        <f t="shared" si="35"/>
        <v>0</v>
      </c>
      <c r="AF48" s="210">
        <f t="shared" si="36"/>
        <v>0.38125000000582077</v>
      </c>
      <c r="AG48" s="210">
        <f t="shared" si="37"/>
        <v>0</v>
      </c>
    </row>
    <row r="49" spans="2:33" ht="15" customHeight="1" x14ac:dyDescent="0.3">
      <c r="B49" s="196" t="s">
        <v>7</v>
      </c>
      <c r="C49" s="197" t="s">
        <v>13</v>
      </c>
      <c r="D49" s="198" t="str">
        <f t="shared" si="19"/>
        <v>C</v>
      </c>
      <c r="E49" s="199">
        <v>44071.833333333336</v>
      </c>
      <c r="F49" s="200" t="s">
        <v>113</v>
      </c>
      <c r="G49" s="201">
        <v>105.401</v>
      </c>
      <c r="H49" s="201">
        <v>106.77800000000001</v>
      </c>
      <c r="I49" s="202">
        <f t="shared" si="20"/>
        <v>1.3770000000000095</v>
      </c>
      <c r="J49" s="201">
        <v>98.974999999999994</v>
      </c>
      <c r="K49" s="199">
        <v>44074.666666666664</v>
      </c>
      <c r="L49" s="201">
        <v>106.011</v>
      </c>
      <c r="M49" s="203">
        <f t="shared" si="21"/>
        <v>-0.61</v>
      </c>
      <c r="N49" s="204">
        <f t="shared" si="22"/>
        <v>-0.44</v>
      </c>
      <c r="O49" s="205">
        <f t="shared" si="23"/>
        <v>0</v>
      </c>
      <c r="P49" s="206">
        <f t="shared" si="24"/>
        <v>0</v>
      </c>
      <c r="Q49" s="206">
        <f t="shared" si="25"/>
        <v>-0.44</v>
      </c>
      <c r="R4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104730</v>
      </c>
      <c r="T4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106000</v>
      </c>
      <c r="U49" s="208">
        <f ca="1">IF(Tabla33610673487[[#This Row],[Equity]]&lt;Tabla33610673487[[#This Row],[Equity Peak]],(Tabla33610673487[[#This Row],[Equity Peak]]-Tabla33610673487[[#This Row],[Equity]])/Tabla33610673487[[#This Row],[Equity Peak]],"")</f>
        <v>1.1981132075471699E-2</v>
      </c>
      <c r="V49" s="209">
        <f t="shared" si="26"/>
        <v>-0.44</v>
      </c>
      <c r="W49" s="209">
        <f t="shared" si="27"/>
        <v>0</v>
      </c>
      <c r="X49" s="209">
        <f t="shared" si="28"/>
        <v>0</v>
      </c>
      <c r="Y49" s="209">
        <f t="shared" si="29"/>
        <v>0</v>
      </c>
      <c r="Z49" s="209">
        <f t="shared" si="30"/>
        <v>0</v>
      </c>
      <c r="AA49" s="205">
        <f t="shared" si="31"/>
        <v>0</v>
      </c>
      <c r="AB49" s="209">
        <f t="shared" si="32"/>
        <v>0</v>
      </c>
      <c r="AC49" s="205">
        <f t="shared" si="33"/>
        <v>0</v>
      </c>
      <c r="AD49" s="210">
        <f t="shared" si="34"/>
        <v>2.8333333333284827</v>
      </c>
      <c r="AE49" s="210">
        <f t="shared" si="35"/>
        <v>0</v>
      </c>
      <c r="AF49" s="210">
        <f t="shared" si="36"/>
        <v>2.8333333333284827</v>
      </c>
      <c r="AG49" s="210">
        <f t="shared" si="37"/>
        <v>0</v>
      </c>
    </row>
    <row r="50" spans="2:33" ht="15" customHeight="1" x14ac:dyDescent="0.3">
      <c r="B50" s="196" t="s">
        <v>7</v>
      </c>
      <c r="C50" s="197" t="s">
        <v>13</v>
      </c>
      <c r="D50" s="198" t="str">
        <f t="shared" si="19"/>
        <v>C</v>
      </c>
      <c r="E50" s="199">
        <v>44061.333333333336</v>
      </c>
      <c r="F50" s="200" t="s">
        <v>113</v>
      </c>
      <c r="G50" s="201">
        <v>105.63800000000001</v>
      </c>
      <c r="H50" s="201">
        <v>106.309</v>
      </c>
      <c r="I50" s="202">
        <f t="shared" si="20"/>
        <v>0.67099999999999227</v>
      </c>
      <c r="J50" s="201">
        <v>102.506</v>
      </c>
      <c r="K50" s="199">
        <v>44062.73541666667</v>
      </c>
      <c r="L50" s="201">
        <v>105.68600000000001</v>
      </c>
      <c r="M50" s="203">
        <f t="shared" si="21"/>
        <v>-4.8000000000000001E-2</v>
      </c>
      <c r="N50" s="204">
        <f t="shared" si="22"/>
        <v>-7.0000000000000007E-2</v>
      </c>
      <c r="O50" s="205">
        <f t="shared" si="23"/>
        <v>0</v>
      </c>
      <c r="P50" s="206">
        <f t="shared" si="24"/>
        <v>0</v>
      </c>
      <c r="Q50" s="206">
        <f t="shared" si="25"/>
        <v>-7.0000000000000007E-2</v>
      </c>
      <c r="R5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105170</v>
      </c>
      <c r="T5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106000</v>
      </c>
      <c r="U50" s="208">
        <f ca="1">IF(Tabla33610673487[[#This Row],[Equity]]&lt;Tabla33610673487[[#This Row],[Equity Peak]],(Tabla33610673487[[#This Row],[Equity Peak]]-Tabla33610673487[[#This Row],[Equity]])/Tabla33610673487[[#This Row],[Equity Peak]],"")</f>
        <v>7.8301886792452834E-3</v>
      </c>
      <c r="V50" s="209">
        <f t="shared" si="26"/>
        <v>-7.0000000000000007E-2</v>
      </c>
      <c r="W50" s="209">
        <f t="shared" si="27"/>
        <v>0</v>
      </c>
      <c r="X50" s="209">
        <f t="shared" si="28"/>
        <v>0</v>
      </c>
      <c r="Y50" s="209">
        <f t="shared" si="29"/>
        <v>0</v>
      </c>
      <c r="Z50" s="209">
        <f t="shared" si="30"/>
        <v>0</v>
      </c>
      <c r="AA50" s="205">
        <f t="shared" si="31"/>
        <v>0</v>
      </c>
      <c r="AB50" s="209">
        <f t="shared" si="32"/>
        <v>0</v>
      </c>
      <c r="AC50" s="205">
        <f t="shared" si="33"/>
        <v>0</v>
      </c>
      <c r="AD50" s="210">
        <f t="shared" si="34"/>
        <v>1.4020833333343035</v>
      </c>
      <c r="AE50" s="210">
        <f t="shared" si="35"/>
        <v>0</v>
      </c>
      <c r="AF50" s="210">
        <f t="shared" si="36"/>
        <v>1.4020833333343035</v>
      </c>
      <c r="AG50" s="210">
        <f t="shared" si="37"/>
        <v>0</v>
      </c>
    </row>
    <row r="51" spans="2:33" ht="15" customHeight="1" x14ac:dyDescent="0.3">
      <c r="B51" s="196" t="s">
        <v>7</v>
      </c>
      <c r="C51" s="197" t="s">
        <v>13</v>
      </c>
      <c r="D51" s="198" t="str">
        <f t="shared" si="19"/>
        <v>C</v>
      </c>
      <c r="E51" s="199">
        <v>44048.166666666664</v>
      </c>
      <c r="F51" s="200" t="s">
        <v>113</v>
      </c>
      <c r="G51" s="201">
        <v>105.59</v>
      </c>
      <c r="H51" s="201">
        <v>106.557</v>
      </c>
      <c r="I51" s="202">
        <f t="shared" si="20"/>
        <v>0.96699999999999875</v>
      </c>
      <c r="J51" s="201">
        <v>101.07899999999999</v>
      </c>
      <c r="K51" s="199">
        <v>44050.646527777775</v>
      </c>
      <c r="L51" s="201">
        <v>105.845</v>
      </c>
      <c r="M51" s="203">
        <f t="shared" si="21"/>
        <v>-0.255</v>
      </c>
      <c r="N51" s="204">
        <f t="shared" si="22"/>
        <v>-0.26</v>
      </c>
      <c r="O51" s="205">
        <f t="shared" si="23"/>
        <v>0</v>
      </c>
      <c r="P51" s="206">
        <f t="shared" si="24"/>
        <v>0</v>
      </c>
      <c r="Q51" s="206">
        <f t="shared" si="25"/>
        <v>-0.26</v>
      </c>
      <c r="R5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105240</v>
      </c>
      <c r="T5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106000</v>
      </c>
      <c r="U51" s="208">
        <f ca="1">IF(Tabla33610673487[[#This Row],[Equity]]&lt;Tabla33610673487[[#This Row],[Equity Peak]],(Tabla33610673487[[#This Row],[Equity Peak]]-Tabla33610673487[[#This Row],[Equity]])/Tabla33610673487[[#This Row],[Equity Peak]],"")</f>
        <v>7.169811320754717E-3</v>
      </c>
      <c r="V51" s="209">
        <f t="shared" si="26"/>
        <v>-0.26</v>
      </c>
      <c r="W51" s="209">
        <f t="shared" si="27"/>
        <v>0</v>
      </c>
      <c r="X51" s="209">
        <f t="shared" si="28"/>
        <v>0</v>
      </c>
      <c r="Y51" s="209">
        <f t="shared" si="29"/>
        <v>0</v>
      </c>
      <c r="Z51" s="209">
        <f t="shared" si="30"/>
        <v>0</v>
      </c>
      <c r="AA51" s="205">
        <f t="shared" si="31"/>
        <v>0</v>
      </c>
      <c r="AB51" s="209">
        <f t="shared" si="32"/>
        <v>0</v>
      </c>
      <c r="AC51" s="205">
        <f t="shared" si="33"/>
        <v>0</v>
      </c>
      <c r="AD51" s="210">
        <f t="shared" si="34"/>
        <v>2.4798611111109494</v>
      </c>
      <c r="AE51" s="210">
        <f t="shared" si="35"/>
        <v>0</v>
      </c>
      <c r="AF51" s="210">
        <f t="shared" si="36"/>
        <v>2.4798611111109494</v>
      </c>
      <c r="AG51" s="210">
        <f t="shared" si="37"/>
        <v>0</v>
      </c>
    </row>
    <row r="52" spans="2:33" ht="15" customHeight="1" x14ac:dyDescent="0.3">
      <c r="B52" s="196" t="s">
        <v>7</v>
      </c>
      <c r="C52" s="197" t="s">
        <v>13</v>
      </c>
      <c r="D52" s="198" t="str">
        <f t="shared" si="19"/>
        <v>C</v>
      </c>
      <c r="E52" s="199">
        <v>44033.833333333336</v>
      </c>
      <c r="F52" s="200" t="s">
        <v>113</v>
      </c>
      <c r="G52" s="201">
        <v>106.742</v>
      </c>
      <c r="H52" s="201">
        <v>107.345</v>
      </c>
      <c r="I52" s="202">
        <f t="shared" si="20"/>
        <v>0.60299999999999443</v>
      </c>
      <c r="J52" s="201">
        <v>103.92700000000001</v>
      </c>
      <c r="K52" s="199">
        <v>44034.494444444441</v>
      </c>
      <c r="L52" s="201">
        <v>107.04300000000001</v>
      </c>
      <c r="M52" s="203">
        <f t="shared" si="21"/>
        <v>-0.30099999999999999</v>
      </c>
      <c r="N52" s="204">
        <f t="shared" si="22"/>
        <v>-0.5</v>
      </c>
      <c r="O52" s="205">
        <f t="shared" si="23"/>
        <v>0</v>
      </c>
      <c r="P52" s="206">
        <f t="shared" si="24"/>
        <v>0</v>
      </c>
      <c r="Q52" s="206">
        <f t="shared" si="25"/>
        <v>-0.5</v>
      </c>
      <c r="R5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105500</v>
      </c>
      <c r="T5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106000</v>
      </c>
      <c r="U52" s="208">
        <f ca="1">IF(Tabla33610673487[[#This Row],[Equity]]&lt;Tabla33610673487[[#This Row],[Equity Peak]],(Tabla33610673487[[#This Row],[Equity Peak]]-Tabla33610673487[[#This Row],[Equity]])/Tabla33610673487[[#This Row],[Equity Peak]],"")</f>
        <v>4.7169811320754715E-3</v>
      </c>
      <c r="V52" s="209">
        <f t="shared" si="26"/>
        <v>-0.5</v>
      </c>
      <c r="W52" s="209">
        <f t="shared" si="27"/>
        <v>0</v>
      </c>
      <c r="X52" s="209">
        <f t="shared" si="28"/>
        <v>0</v>
      </c>
      <c r="Y52" s="209">
        <f t="shared" si="29"/>
        <v>0</v>
      </c>
      <c r="Z52" s="209">
        <f t="shared" si="30"/>
        <v>0</v>
      </c>
      <c r="AA52" s="205">
        <f t="shared" si="31"/>
        <v>0</v>
      </c>
      <c r="AB52" s="209">
        <f t="shared" si="32"/>
        <v>0</v>
      </c>
      <c r="AC52" s="205">
        <f t="shared" si="33"/>
        <v>0</v>
      </c>
      <c r="AD52" s="210">
        <f t="shared" si="34"/>
        <v>0.66111111110512866</v>
      </c>
      <c r="AE52" s="210">
        <f t="shared" si="35"/>
        <v>0</v>
      </c>
      <c r="AF52" s="210">
        <f t="shared" si="36"/>
        <v>0.66111111110512866</v>
      </c>
      <c r="AG52" s="210">
        <f t="shared" si="37"/>
        <v>0</v>
      </c>
    </row>
    <row r="53" spans="2:33" ht="15" customHeight="1" x14ac:dyDescent="0.3">
      <c r="B53" s="196" t="s">
        <v>7</v>
      </c>
      <c r="C53" s="197" t="s">
        <v>13</v>
      </c>
      <c r="D53" s="198" t="str">
        <f t="shared" si="19"/>
        <v>C</v>
      </c>
      <c r="E53" s="199">
        <v>44021.166666666664</v>
      </c>
      <c r="F53" s="200" t="s">
        <v>113</v>
      </c>
      <c r="G53" s="201">
        <v>107.291</v>
      </c>
      <c r="H53" s="201">
        <v>107.791</v>
      </c>
      <c r="I53" s="202">
        <f t="shared" si="20"/>
        <v>0.5</v>
      </c>
      <c r="J53" s="201">
        <v>104.956</v>
      </c>
      <c r="K53" s="199">
        <v>44025.5625</v>
      </c>
      <c r="L53" s="201">
        <v>107.10299999999999</v>
      </c>
      <c r="M53" s="203">
        <f t="shared" si="21"/>
        <v>0.188</v>
      </c>
      <c r="N53" s="204">
        <f t="shared" si="22"/>
        <v>0.38</v>
      </c>
      <c r="O53" s="205">
        <f t="shared" si="23"/>
        <v>0</v>
      </c>
      <c r="P53" s="206">
        <f t="shared" si="24"/>
        <v>0.38</v>
      </c>
      <c r="Q53" s="206">
        <f t="shared" si="25"/>
        <v>0</v>
      </c>
      <c r="R5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106000</v>
      </c>
      <c r="T5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106000</v>
      </c>
      <c r="U53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53" s="209">
        <f t="shared" si="26"/>
        <v>0.38</v>
      </c>
      <c r="W53" s="209">
        <f t="shared" si="27"/>
        <v>0</v>
      </c>
      <c r="X53" s="209">
        <f t="shared" si="28"/>
        <v>0</v>
      </c>
      <c r="Y53" s="209">
        <f t="shared" si="29"/>
        <v>0</v>
      </c>
      <c r="Z53" s="209">
        <f t="shared" si="30"/>
        <v>0</v>
      </c>
      <c r="AA53" s="205">
        <f t="shared" si="31"/>
        <v>0</v>
      </c>
      <c r="AB53" s="209">
        <f t="shared" si="32"/>
        <v>0</v>
      </c>
      <c r="AC53" s="205">
        <f t="shared" si="33"/>
        <v>0</v>
      </c>
      <c r="AD53" s="210">
        <f t="shared" si="34"/>
        <v>4.3958333333357587</v>
      </c>
      <c r="AE53" s="210">
        <f t="shared" si="35"/>
        <v>4.3958333333357587</v>
      </c>
      <c r="AF53" s="210">
        <f t="shared" si="36"/>
        <v>0</v>
      </c>
      <c r="AG53" s="210">
        <f t="shared" si="37"/>
        <v>0</v>
      </c>
    </row>
    <row r="54" spans="2:33" ht="15" customHeight="1" x14ac:dyDescent="0.3">
      <c r="B54" s="196" t="s">
        <v>7</v>
      </c>
      <c r="C54" s="197" t="s">
        <v>13</v>
      </c>
      <c r="D54" s="198" t="str">
        <f t="shared" si="19"/>
        <v>C</v>
      </c>
      <c r="E54" s="199">
        <v>43991.833333333336</v>
      </c>
      <c r="F54" s="200" t="s">
        <v>113</v>
      </c>
      <c r="G54" s="201">
        <v>107.717</v>
      </c>
      <c r="H54" s="201">
        <v>108.871</v>
      </c>
      <c r="I54" s="202">
        <f t="shared" si="20"/>
        <v>1.1539999999999964</v>
      </c>
      <c r="J54" s="201">
        <v>102.33</v>
      </c>
      <c r="K54" s="199">
        <v>43994.366666666669</v>
      </c>
      <c r="L54" s="201">
        <v>107.277</v>
      </c>
      <c r="M54" s="203">
        <f t="shared" si="21"/>
        <v>0.44</v>
      </c>
      <c r="N54" s="204">
        <f t="shared" si="22"/>
        <v>0.38</v>
      </c>
      <c r="O54" s="205">
        <f t="shared" si="23"/>
        <v>0</v>
      </c>
      <c r="P54" s="206">
        <f t="shared" si="24"/>
        <v>0.38</v>
      </c>
      <c r="Q54" s="206">
        <f t="shared" si="25"/>
        <v>0</v>
      </c>
      <c r="R5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105620</v>
      </c>
      <c r="T5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105650</v>
      </c>
      <c r="U54" s="208">
        <f ca="1">IF(Tabla33610673487[[#This Row],[Equity]]&lt;Tabla33610673487[[#This Row],[Equity Peak]],(Tabla33610673487[[#This Row],[Equity Peak]]-Tabla33610673487[[#This Row],[Equity]])/Tabla33610673487[[#This Row],[Equity Peak]],"")</f>
        <v>2.8395646000946523E-4</v>
      </c>
      <c r="V54" s="209">
        <f t="shared" si="26"/>
        <v>0.38</v>
      </c>
      <c r="W54" s="209">
        <f t="shared" si="27"/>
        <v>0</v>
      </c>
      <c r="X54" s="209">
        <f t="shared" si="28"/>
        <v>0</v>
      </c>
      <c r="Y54" s="209">
        <f t="shared" si="29"/>
        <v>0</v>
      </c>
      <c r="Z54" s="209">
        <f t="shared" si="30"/>
        <v>0</v>
      </c>
      <c r="AA54" s="205">
        <f t="shared" si="31"/>
        <v>0</v>
      </c>
      <c r="AB54" s="209">
        <f t="shared" si="32"/>
        <v>0</v>
      </c>
      <c r="AC54" s="205">
        <f t="shared" si="33"/>
        <v>0</v>
      </c>
      <c r="AD54" s="210">
        <f t="shared" si="34"/>
        <v>2.5333333333328483</v>
      </c>
      <c r="AE54" s="210">
        <f t="shared" si="35"/>
        <v>2.5333333333328483</v>
      </c>
      <c r="AF54" s="210">
        <f t="shared" si="36"/>
        <v>0</v>
      </c>
      <c r="AG54" s="210">
        <f t="shared" si="37"/>
        <v>0</v>
      </c>
    </row>
    <row r="55" spans="2:33" ht="15" customHeight="1" x14ac:dyDescent="0.3">
      <c r="B55" s="196" t="s">
        <v>7</v>
      </c>
      <c r="C55" s="197" t="s">
        <v>13</v>
      </c>
      <c r="D55" s="198" t="str">
        <f t="shared" si="19"/>
        <v>C</v>
      </c>
      <c r="E55" s="199">
        <v>43980.5</v>
      </c>
      <c r="F55" s="200" t="s">
        <v>113</v>
      </c>
      <c r="G55" s="201">
        <v>107.227</v>
      </c>
      <c r="H55" s="201">
        <v>107.83499999999999</v>
      </c>
      <c r="I55" s="202">
        <f t="shared" si="20"/>
        <v>0.60799999999998988</v>
      </c>
      <c r="J55" s="201">
        <v>104.392</v>
      </c>
      <c r="K55" s="199">
        <v>43980.696527777778</v>
      </c>
      <c r="L55" s="201">
        <v>107.476</v>
      </c>
      <c r="M55" s="203">
        <f t="shared" si="21"/>
        <v>-0.249</v>
      </c>
      <c r="N55" s="204">
        <f t="shared" si="22"/>
        <v>-0.41</v>
      </c>
      <c r="O55" s="205">
        <f t="shared" si="23"/>
        <v>0</v>
      </c>
      <c r="P55" s="206">
        <f t="shared" si="24"/>
        <v>0</v>
      </c>
      <c r="Q55" s="206">
        <f t="shared" si="25"/>
        <v>-0.41</v>
      </c>
      <c r="R5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105240</v>
      </c>
      <c r="T5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105650</v>
      </c>
      <c r="U55" s="208">
        <f ca="1">IF(Tabla33610673487[[#This Row],[Equity]]&lt;Tabla33610673487[[#This Row],[Equity Peak]],(Tabla33610673487[[#This Row],[Equity Peak]]-Tabla33610673487[[#This Row],[Equity]])/Tabla33610673487[[#This Row],[Equity Peak]],"")</f>
        <v>3.8807382867960248E-3</v>
      </c>
      <c r="V55" s="209">
        <f t="shared" si="26"/>
        <v>-0.41</v>
      </c>
      <c r="W55" s="209">
        <f t="shared" si="27"/>
        <v>0</v>
      </c>
      <c r="X55" s="209">
        <f t="shared" si="28"/>
        <v>0</v>
      </c>
      <c r="Y55" s="209">
        <f t="shared" si="29"/>
        <v>0</v>
      </c>
      <c r="Z55" s="209">
        <f t="shared" si="30"/>
        <v>0</v>
      </c>
      <c r="AA55" s="205">
        <f t="shared" si="31"/>
        <v>0</v>
      </c>
      <c r="AB55" s="209">
        <f t="shared" si="32"/>
        <v>0</v>
      </c>
      <c r="AC55" s="205">
        <f t="shared" si="33"/>
        <v>0</v>
      </c>
      <c r="AD55" s="210">
        <f t="shared" si="34"/>
        <v>0.19652777777810115</v>
      </c>
      <c r="AE55" s="210">
        <f t="shared" si="35"/>
        <v>0</v>
      </c>
      <c r="AF55" s="210">
        <f t="shared" si="36"/>
        <v>0.19652777777810115</v>
      </c>
      <c r="AG55" s="210">
        <f t="shared" si="37"/>
        <v>0</v>
      </c>
    </row>
    <row r="56" spans="2:33" ht="15" customHeight="1" x14ac:dyDescent="0.3">
      <c r="B56" s="196" t="s">
        <v>7</v>
      </c>
      <c r="C56" s="197" t="s">
        <v>13</v>
      </c>
      <c r="D56" s="198" t="str">
        <f t="shared" ref="D56:D62" si="38">IF(E56&lt;&gt;"",IF(K56&lt;&gt;"","C","O"),"")</f>
        <v>C</v>
      </c>
      <c r="E56" s="199">
        <v>43931.5</v>
      </c>
      <c r="F56" s="200" t="s">
        <v>113</v>
      </c>
      <c r="G56" s="201">
        <v>108.381</v>
      </c>
      <c r="H56" s="201">
        <v>109.114</v>
      </c>
      <c r="I56" s="202">
        <f t="shared" ref="I56:I62" si="39">ABS(G56-H56)</f>
        <v>0.73300000000000409</v>
      </c>
      <c r="J56" s="201">
        <v>104.959</v>
      </c>
      <c r="K56" s="199">
        <v>43936.678472222222</v>
      </c>
      <c r="L56" s="201">
        <v>107.611</v>
      </c>
      <c r="M56" s="203">
        <f t="shared" ref="M56:M62" si="40">ROUND(IF(C56="L",(L56-G56),(G56-L56)),4)</f>
        <v>0.77</v>
      </c>
      <c r="N56" s="204">
        <f t="shared" ref="N56:N62" si="41">IFERROR(ROUND((M56/I56),2),"")</f>
        <v>1.05</v>
      </c>
      <c r="O56" s="205">
        <f t="shared" ref="O56:O62" si="42">IF(D56="O",IF(N56&lt;0,N56,0),0)</f>
        <v>0</v>
      </c>
      <c r="P56" s="206">
        <f t="shared" ref="P56:P62" si="43">IF(N56&gt;= 0,N56,0)</f>
        <v>1.05</v>
      </c>
      <c r="Q56" s="206">
        <f t="shared" ref="Q56:Q62" si="44">IF(N56&lt;0,N56,0)</f>
        <v>0</v>
      </c>
      <c r="R5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105650</v>
      </c>
      <c r="T5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105650</v>
      </c>
      <c r="U56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56" s="209">
        <f t="shared" ref="V56:V62" si="45">IF(B56="FX",N56,0)</f>
        <v>1.05</v>
      </c>
      <c r="W56" s="209">
        <f t="shared" ref="W56:W62" si="46">IF(D56="O",IF(V56&lt;0,V56,0),0)</f>
        <v>0</v>
      </c>
      <c r="X56" s="209">
        <f t="shared" ref="X56:X62" si="47">IF(B56="COM",N56,0)</f>
        <v>0</v>
      </c>
      <c r="Y56" s="209">
        <f t="shared" ref="Y56:Y62" si="48">IF(D56="O",IF(X56&lt;0,X56,0),0)</f>
        <v>0</v>
      </c>
      <c r="Z56" s="209">
        <f t="shared" ref="Z56:Z62" si="49">IF(B56="IND",N56,0)</f>
        <v>0</v>
      </c>
      <c r="AA56" s="205">
        <f t="shared" ref="AA56:AA62" si="50">IF(D56="O",IF(Z56&lt;0,Z56,0),0)</f>
        <v>0</v>
      </c>
      <c r="AB56" s="209">
        <f t="shared" ref="AB56:AB62" si="51">IF(B56="CRYPTO",N56,0)</f>
        <v>0</v>
      </c>
      <c r="AC56" s="205">
        <f t="shared" ref="AC56:AC62" si="52">IF(D56="O",IF(AB56&lt;0,AB56,0),0)</f>
        <v>0</v>
      </c>
      <c r="AD56" s="210">
        <f t="shared" ref="AD56:AD62" si="53">IF(K56&lt;&gt;"",K56-E56,0)</f>
        <v>5.1784722222218988</v>
      </c>
      <c r="AE56" s="210">
        <f t="shared" ref="AE56:AE62" si="54">IF(N56&gt;0,AD56,0)</f>
        <v>5.1784722222218988</v>
      </c>
      <c r="AF56" s="210">
        <f t="shared" ref="AF56:AF62" si="55">IF(N56&lt;0,AD56,0)</f>
        <v>0</v>
      </c>
      <c r="AG56" s="210">
        <f t="shared" ref="AG56:AG62" si="56">IF(N56=0,AD56,0)</f>
        <v>0</v>
      </c>
    </row>
    <row r="57" spans="2:33" ht="15" customHeight="1" x14ac:dyDescent="0.3">
      <c r="B57" s="196" t="s">
        <v>7</v>
      </c>
      <c r="C57" s="197" t="s">
        <v>15</v>
      </c>
      <c r="D57" s="198" t="str">
        <f t="shared" si="38"/>
        <v>C</v>
      </c>
      <c r="E57" s="199">
        <v>43927.333333333336</v>
      </c>
      <c r="F57" s="200" t="s">
        <v>113</v>
      </c>
      <c r="G57" s="201">
        <v>108.93600000000001</v>
      </c>
      <c r="H57" s="201">
        <v>107.602</v>
      </c>
      <c r="I57" s="202">
        <f t="shared" si="39"/>
        <v>1.3340000000000032</v>
      </c>
      <c r="J57" s="201">
        <v>115.16200000000001</v>
      </c>
      <c r="K57" s="199">
        <v>43929.11041666667</v>
      </c>
      <c r="L57" s="201">
        <v>108.61499999999999</v>
      </c>
      <c r="M57" s="203">
        <f t="shared" si="40"/>
        <v>-0.32100000000000001</v>
      </c>
      <c r="N57" s="204">
        <f t="shared" si="41"/>
        <v>-0.24</v>
      </c>
      <c r="O57" s="205">
        <f t="shared" si="42"/>
        <v>0</v>
      </c>
      <c r="P57" s="206">
        <f t="shared" si="43"/>
        <v>0</v>
      </c>
      <c r="Q57" s="206">
        <f t="shared" si="44"/>
        <v>-0.24</v>
      </c>
      <c r="R5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104600</v>
      </c>
      <c r="T5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105600</v>
      </c>
      <c r="U57" s="208">
        <f ca="1">IF(Tabla33610673487[[#This Row],[Equity]]&lt;Tabla33610673487[[#This Row],[Equity Peak]],(Tabla33610673487[[#This Row],[Equity Peak]]-Tabla33610673487[[#This Row],[Equity]])/Tabla33610673487[[#This Row],[Equity Peak]],"")</f>
        <v>9.46969696969697E-3</v>
      </c>
      <c r="V57" s="209">
        <f t="shared" si="45"/>
        <v>-0.24</v>
      </c>
      <c r="W57" s="209">
        <f t="shared" si="46"/>
        <v>0</v>
      </c>
      <c r="X57" s="209">
        <f t="shared" si="47"/>
        <v>0</v>
      </c>
      <c r="Y57" s="209">
        <f t="shared" si="48"/>
        <v>0</v>
      </c>
      <c r="Z57" s="209">
        <f t="shared" si="49"/>
        <v>0</v>
      </c>
      <c r="AA57" s="205">
        <f t="shared" si="50"/>
        <v>0</v>
      </c>
      <c r="AB57" s="209">
        <f t="shared" si="51"/>
        <v>0</v>
      </c>
      <c r="AC57" s="205">
        <f t="shared" si="52"/>
        <v>0</v>
      </c>
      <c r="AD57" s="210">
        <f t="shared" si="53"/>
        <v>1.7770833333343035</v>
      </c>
      <c r="AE57" s="210">
        <f t="shared" si="54"/>
        <v>0</v>
      </c>
      <c r="AF57" s="210">
        <f t="shared" si="55"/>
        <v>1.7770833333343035</v>
      </c>
      <c r="AG57" s="210">
        <f t="shared" si="56"/>
        <v>0</v>
      </c>
    </row>
    <row r="58" spans="2:33" ht="15" customHeight="1" x14ac:dyDescent="0.3">
      <c r="B58" s="196" t="s">
        <v>7</v>
      </c>
      <c r="C58" s="197" t="s">
        <v>13</v>
      </c>
      <c r="D58" s="198" t="str">
        <f t="shared" si="38"/>
        <v>C</v>
      </c>
      <c r="E58" s="199">
        <v>43917.833333333336</v>
      </c>
      <c r="F58" s="200" t="s">
        <v>113</v>
      </c>
      <c r="G58" s="201">
        <v>107.99</v>
      </c>
      <c r="H58" s="201">
        <v>110.045</v>
      </c>
      <c r="I58" s="202">
        <f t="shared" si="39"/>
        <v>2.0550000000000068</v>
      </c>
      <c r="J58" s="201">
        <v>98.399000000000001</v>
      </c>
      <c r="K58" s="199">
        <v>43921.15</v>
      </c>
      <c r="L58" s="201">
        <v>108.53</v>
      </c>
      <c r="M58" s="203">
        <f t="shared" si="40"/>
        <v>-0.54</v>
      </c>
      <c r="N58" s="204">
        <f t="shared" si="41"/>
        <v>-0.26</v>
      </c>
      <c r="O58" s="205">
        <f t="shared" si="42"/>
        <v>0</v>
      </c>
      <c r="P58" s="206">
        <f t="shared" si="43"/>
        <v>0</v>
      </c>
      <c r="Q58" s="206">
        <f t="shared" si="44"/>
        <v>-0.26</v>
      </c>
      <c r="R5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104840</v>
      </c>
      <c r="T5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105600</v>
      </c>
      <c r="U58" s="208">
        <f ca="1">IF(Tabla33610673487[[#This Row],[Equity]]&lt;Tabla33610673487[[#This Row],[Equity Peak]],(Tabla33610673487[[#This Row],[Equity Peak]]-Tabla33610673487[[#This Row],[Equity]])/Tabla33610673487[[#This Row],[Equity Peak]],"")</f>
        <v>7.1969696969696973E-3</v>
      </c>
      <c r="V58" s="209">
        <f t="shared" si="45"/>
        <v>-0.26</v>
      </c>
      <c r="W58" s="209">
        <f t="shared" si="46"/>
        <v>0</v>
      </c>
      <c r="X58" s="209">
        <f t="shared" si="47"/>
        <v>0</v>
      </c>
      <c r="Y58" s="209">
        <f t="shared" si="48"/>
        <v>0</v>
      </c>
      <c r="Z58" s="209">
        <f t="shared" si="49"/>
        <v>0</v>
      </c>
      <c r="AA58" s="205">
        <f t="shared" si="50"/>
        <v>0</v>
      </c>
      <c r="AB58" s="209">
        <f t="shared" si="51"/>
        <v>0</v>
      </c>
      <c r="AC58" s="205">
        <f t="shared" si="52"/>
        <v>0</v>
      </c>
      <c r="AD58" s="210">
        <f t="shared" si="53"/>
        <v>3.3166666666656965</v>
      </c>
      <c r="AE58" s="210">
        <f t="shared" si="54"/>
        <v>0</v>
      </c>
      <c r="AF58" s="210">
        <f t="shared" si="55"/>
        <v>3.3166666666656965</v>
      </c>
      <c r="AG58" s="210">
        <f t="shared" si="56"/>
        <v>0</v>
      </c>
    </row>
    <row r="59" spans="2:33" ht="15" customHeight="1" x14ac:dyDescent="0.3">
      <c r="B59" s="196" t="s">
        <v>7</v>
      </c>
      <c r="C59" s="197" t="s">
        <v>13</v>
      </c>
      <c r="D59" s="198" t="str">
        <f t="shared" si="38"/>
        <v>C</v>
      </c>
      <c r="E59" s="199">
        <v>43907.017361111109</v>
      </c>
      <c r="F59" s="200" t="s">
        <v>113</v>
      </c>
      <c r="G59" s="201">
        <v>105.88200000000001</v>
      </c>
      <c r="H59" s="201">
        <v>109.547</v>
      </c>
      <c r="I59" s="202">
        <f t="shared" si="39"/>
        <v>3.664999999999992</v>
      </c>
      <c r="J59" s="201">
        <v>88.778000000000006</v>
      </c>
      <c r="K59" s="199">
        <v>43907.895138888889</v>
      </c>
      <c r="L59" s="201">
        <v>107.712</v>
      </c>
      <c r="M59" s="203">
        <f t="shared" si="40"/>
        <v>-1.83</v>
      </c>
      <c r="N59" s="204">
        <f t="shared" si="41"/>
        <v>-0.5</v>
      </c>
      <c r="O59" s="205">
        <f t="shared" si="42"/>
        <v>0</v>
      </c>
      <c r="P59" s="206">
        <f t="shared" si="43"/>
        <v>0</v>
      </c>
      <c r="Q59" s="206">
        <f t="shared" si="44"/>
        <v>-0.5</v>
      </c>
      <c r="R5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105100</v>
      </c>
      <c r="T5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105600</v>
      </c>
      <c r="U59" s="208">
        <f ca="1">IF(Tabla33610673487[[#This Row],[Equity]]&lt;Tabla33610673487[[#This Row],[Equity Peak]],(Tabla33610673487[[#This Row],[Equity Peak]]-Tabla33610673487[[#This Row],[Equity]])/Tabla33610673487[[#This Row],[Equity Peak]],"")</f>
        <v>4.734848484848485E-3</v>
      </c>
      <c r="V59" s="209">
        <f t="shared" si="45"/>
        <v>-0.5</v>
      </c>
      <c r="W59" s="209">
        <f t="shared" si="46"/>
        <v>0</v>
      </c>
      <c r="X59" s="209">
        <f t="shared" si="47"/>
        <v>0</v>
      </c>
      <c r="Y59" s="209">
        <f t="shared" si="48"/>
        <v>0</v>
      </c>
      <c r="Z59" s="209">
        <f t="shared" si="49"/>
        <v>0</v>
      </c>
      <c r="AA59" s="205">
        <f t="shared" si="50"/>
        <v>0</v>
      </c>
      <c r="AB59" s="209">
        <f t="shared" si="51"/>
        <v>0</v>
      </c>
      <c r="AC59" s="205">
        <f t="shared" si="52"/>
        <v>0</v>
      </c>
      <c r="AD59" s="210">
        <f t="shared" si="53"/>
        <v>0.87777777777955635</v>
      </c>
      <c r="AE59" s="210">
        <f t="shared" si="54"/>
        <v>0</v>
      </c>
      <c r="AF59" s="210">
        <f t="shared" si="55"/>
        <v>0.87777777777955635</v>
      </c>
      <c r="AG59" s="210">
        <f t="shared" si="56"/>
        <v>0</v>
      </c>
    </row>
    <row r="60" spans="2:33" ht="15" customHeight="1" x14ac:dyDescent="0.3">
      <c r="B60" s="196" t="s">
        <v>7</v>
      </c>
      <c r="C60" s="197" t="s">
        <v>13</v>
      </c>
      <c r="D60" s="198" t="str">
        <f t="shared" si="38"/>
        <v>C</v>
      </c>
      <c r="E60" s="199">
        <v>43895.833333333336</v>
      </c>
      <c r="F60" s="200" t="s">
        <v>113</v>
      </c>
      <c r="G60" s="201">
        <v>106.262</v>
      </c>
      <c r="H60" s="201">
        <v>107.318</v>
      </c>
      <c r="I60" s="202">
        <f t="shared" si="39"/>
        <v>1.0559999999999974</v>
      </c>
      <c r="J60" s="201">
        <v>101.334</v>
      </c>
      <c r="K60" s="199">
        <v>43899.669444444444</v>
      </c>
      <c r="L60" s="201">
        <v>101.334</v>
      </c>
      <c r="M60" s="203">
        <f t="shared" si="40"/>
        <v>4.9279999999999999</v>
      </c>
      <c r="N60" s="204">
        <f t="shared" si="41"/>
        <v>4.67</v>
      </c>
      <c r="O60" s="205">
        <f t="shared" si="42"/>
        <v>0</v>
      </c>
      <c r="P60" s="206">
        <f t="shared" si="43"/>
        <v>4.67</v>
      </c>
      <c r="Q60" s="206">
        <f t="shared" si="44"/>
        <v>0</v>
      </c>
      <c r="R6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105600</v>
      </c>
      <c r="T6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105600</v>
      </c>
      <c r="U60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0" s="209">
        <f t="shared" si="45"/>
        <v>4.67</v>
      </c>
      <c r="W60" s="209">
        <f t="shared" si="46"/>
        <v>0</v>
      </c>
      <c r="X60" s="209">
        <f t="shared" si="47"/>
        <v>0</v>
      </c>
      <c r="Y60" s="209">
        <f t="shared" si="48"/>
        <v>0</v>
      </c>
      <c r="Z60" s="209">
        <f t="shared" si="49"/>
        <v>0</v>
      </c>
      <c r="AA60" s="205">
        <f t="shared" si="50"/>
        <v>0</v>
      </c>
      <c r="AB60" s="209">
        <f t="shared" si="51"/>
        <v>0</v>
      </c>
      <c r="AC60" s="205">
        <f t="shared" si="52"/>
        <v>0</v>
      </c>
      <c r="AD60" s="210">
        <f t="shared" si="53"/>
        <v>3.836111111108039</v>
      </c>
      <c r="AE60" s="210">
        <f t="shared" si="54"/>
        <v>3.836111111108039</v>
      </c>
      <c r="AF60" s="210">
        <f t="shared" si="55"/>
        <v>0</v>
      </c>
      <c r="AG60" s="210">
        <f t="shared" si="56"/>
        <v>0</v>
      </c>
    </row>
    <row r="61" spans="2:33" ht="15" customHeight="1" x14ac:dyDescent="0.3">
      <c r="B61" s="196" t="s">
        <v>7</v>
      </c>
      <c r="C61" s="197" t="s">
        <v>15</v>
      </c>
      <c r="D61" s="198" t="str">
        <f t="shared" si="38"/>
        <v>C</v>
      </c>
      <c r="E61" s="199">
        <v>43866.166666666664</v>
      </c>
      <c r="F61" s="200" t="s">
        <v>113</v>
      </c>
      <c r="G61" s="201">
        <v>109.48699999999999</v>
      </c>
      <c r="H61" s="201">
        <v>108.822</v>
      </c>
      <c r="I61" s="202">
        <f t="shared" si="39"/>
        <v>0.66499999999999204</v>
      </c>
      <c r="J61" s="201">
        <v>112.589</v>
      </c>
      <c r="K61" s="199">
        <v>43868.675694444442</v>
      </c>
      <c r="L61" s="201">
        <v>109.624</v>
      </c>
      <c r="M61" s="203">
        <f t="shared" si="40"/>
        <v>0.13700000000000001</v>
      </c>
      <c r="N61" s="204">
        <f t="shared" si="41"/>
        <v>0.21</v>
      </c>
      <c r="O61" s="205">
        <f t="shared" si="42"/>
        <v>0</v>
      </c>
      <c r="P61" s="206">
        <f t="shared" si="43"/>
        <v>0.21</v>
      </c>
      <c r="Q61" s="206">
        <f t="shared" si="44"/>
        <v>0</v>
      </c>
      <c r="R6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100930</v>
      </c>
      <c r="T6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100930</v>
      </c>
      <c r="U61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1" s="209">
        <f t="shared" si="45"/>
        <v>0.21</v>
      </c>
      <c r="W61" s="209">
        <f t="shared" si="46"/>
        <v>0</v>
      </c>
      <c r="X61" s="209">
        <f t="shared" si="47"/>
        <v>0</v>
      </c>
      <c r="Y61" s="209">
        <f t="shared" si="48"/>
        <v>0</v>
      </c>
      <c r="Z61" s="209">
        <f t="shared" si="49"/>
        <v>0</v>
      </c>
      <c r="AA61" s="205">
        <f t="shared" si="50"/>
        <v>0</v>
      </c>
      <c r="AB61" s="209">
        <f t="shared" si="51"/>
        <v>0</v>
      </c>
      <c r="AC61" s="205">
        <f t="shared" si="52"/>
        <v>0</v>
      </c>
      <c r="AD61" s="210">
        <f t="shared" si="53"/>
        <v>2.5090277777781012</v>
      </c>
      <c r="AE61" s="210">
        <f t="shared" si="54"/>
        <v>2.5090277777781012</v>
      </c>
      <c r="AF61" s="210">
        <f t="shared" si="55"/>
        <v>0</v>
      </c>
      <c r="AG61" s="210">
        <f t="shared" si="56"/>
        <v>0</v>
      </c>
    </row>
    <row r="62" spans="2:33" ht="15" customHeight="1" x14ac:dyDescent="0.3">
      <c r="B62" s="196" t="s">
        <v>7</v>
      </c>
      <c r="C62" s="197" t="s">
        <v>15</v>
      </c>
      <c r="D62" s="198" t="str">
        <f t="shared" si="38"/>
        <v>C</v>
      </c>
      <c r="E62" s="199">
        <v>43839.166666666664</v>
      </c>
      <c r="F62" s="200" t="s">
        <v>113</v>
      </c>
      <c r="G62" s="201">
        <v>109.23699999999999</v>
      </c>
      <c r="H62" s="201">
        <v>108.161</v>
      </c>
      <c r="I62" s="202">
        <f t="shared" si="39"/>
        <v>1.0759999999999934</v>
      </c>
      <c r="J62" s="201">
        <v>114.26</v>
      </c>
      <c r="K62" s="199">
        <v>43851.100694444445</v>
      </c>
      <c r="L62" s="201">
        <v>110.008</v>
      </c>
      <c r="M62" s="203">
        <f t="shared" si="40"/>
        <v>0.77100000000000002</v>
      </c>
      <c r="N62" s="204">
        <f t="shared" si="41"/>
        <v>0.72</v>
      </c>
      <c r="O62" s="205">
        <f t="shared" si="42"/>
        <v>0</v>
      </c>
      <c r="P62" s="206">
        <f t="shared" si="43"/>
        <v>0.72</v>
      </c>
      <c r="Q62" s="206">
        <f t="shared" si="44"/>
        <v>0</v>
      </c>
      <c r="R6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100720</v>
      </c>
      <c r="T6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100720</v>
      </c>
      <c r="U62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2" s="209">
        <f t="shared" si="45"/>
        <v>0.72</v>
      </c>
      <c r="W62" s="209">
        <f t="shared" si="46"/>
        <v>0</v>
      </c>
      <c r="X62" s="209">
        <f t="shared" si="47"/>
        <v>0</v>
      </c>
      <c r="Y62" s="209">
        <f t="shared" si="48"/>
        <v>0</v>
      </c>
      <c r="Z62" s="209">
        <f t="shared" si="49"/>
        <v>0</v>
      </c>
      <c r="AA62" s="205">
        <f t="shared" si="50"/>
        <v>0</v>
      </c>
      <c r="AB62" s="209">
        <f t="shared" si="51"/>
        <v>0</v>
      </c>
      <c r="AC62" s="205">
        <f t="shared" si="52"/>
        <v>0</v>
      </c>
      <c r="AD62" s="210">
        <f t="shared" si="53"/>
        <v>11.934027777781012</v>
      </c>
      <c r="AE62" s="210">
        <f t="shared" si="54"/>
        <v>11.934027777781012</v>
      </c>
      <c r="AF62" s="210">
        <f t="shared" si="55"/>
        <v>0</v>
      </c>
      <c r="AG62" s="210">
        <f t="shared" si="56"/>
        <v>0</v>
      </c>
    </row>
  </sheetData>
  <sheetProtection algorithmName="SHA-512" hashValue="YP6EgoLyRsq+bPnu4kn0fC+vNWuybqzzDgziO5WJUom29TTFhm4nR9Ujxa11Go5kYr2DoepxAGoEpUe5zdQodw==" saltValue="RLk7Zuck+qrmrsU9PcktA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503" priority="3" operator="equal">
      <formula>"OK"</formula>
    </cfRule>
    <cfRule type="cellIs" dxfId="502" priority="4" operator="equal">
      <formula>"warning"</formula>
    </cfRule>
  </conditionalFormatting>
  <conditionalFormatting sqref="F13">
    <cfRule type="cellIs" dxfId="501" priority="1" operator="equal">
      <formula>"OK"</formula>
    </cfRule>
    <cfRule type="cellIs" dxfId="500" priority="2" operator="equal">
      <formula>"Error!!"</formula>
    </cfRule>
  </conditionalFormatting>
  <conditionalFormatting sqref="E15:H15 K15:L15">
    <cfRule type="expression" dxfId="499" priority="5">
      <formula>+$D15=#REF!</formula>
    </cfRule>
    <cfRule type="expression" dxfId="498" priority="6">
      <formula>+$D15=#REF!</formula>
    </cfRule>
  </conditionalFormatting>
  <conditionalFormatting sqref="D15 K16:L16 D16:H62 J17:L62">
    <cfRule type="expression" dxfId="497" priority="7">
      <formula>+$D15=$AG$8</formula>
    </cfRule>
    <cfRule type="expression" dxfId="49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E02DF4FB-26E3-4931-86B9-5CBD72BC10FC}">
      <formula1>$AE$4:$AE$6</formula1>
    </dataValidation>
    <dataValidation type="list" allowBlank="1" showInputMessage="1" showErrorMessage="1" promptTitle="Trade Direction" prompt="Select from List" sqref="C15:C17" xr:uid="{8B2CD69A-6E38-429C-9C4B-4B88E19C5E68}">
      <formula1>$AG$4:$AG$5</formula1>
    </dataValidation>
    <dataValidation type="list" allowBlank="1" showInputMessage="1" showErrorMessage="1" promptTitle="Instrument Type" prompt="Select Type from List_x000a_" sqref="B17:B62" xr:uid="{C8B75768-2A9C-4DDB-978F-19794C356DE7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F841-3DF8-4F72-ADE2-2220CC30A5C0}">
  <sheetPr codeName="Hoja26">
    <pageSetUpPr fitToPage="1"/>
  </sheetPr>
  <dimension ref="A1:AX36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COUNTA(Tabla336106734820[Inst])</f>
        <v>20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11.21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11.21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COUNTIF(Tabla336106734820[No. of Rs],"&gt;0")</f>
        <v>7</v>
      </c>
      <c r="G7" s="24">
        <f>IFERROR((F7/$F$6),"")</f>
        <v>0.35</v>
      </c>
      <c r="H7" s="78">
        <f>IFERROR((+P13/F7),"")</f>
        <v>3.0385714285714287</v>
      </c>
      <c r="I7" s="227">
        <f>H7/H9</f>
        <v>3.9265833570008528</v>
      </c>
      <c r="J7" s="227">
        <f>AVERAGE(Tabla336106734820[No. of Rs])</f>
        <v>0.5605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1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COUNTIF(Tabla336106734820[No.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OFFSET(Tabla336106734820[[#Headers],[Equity]],1,0)</f>
        <v>111210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COUNTIF(Tabla336106734820[No. of Rs],"&lt;0")</f>
        <v>13</v>
      </c>
      <c r="G9" s="32">
        <f>IFERROR((F9/$F$6),"")</f>
        <v>0.65</v>
      </c>
      <c r="H9" s="79">
        <f>IFERROR((-Q13/F9),"")</f>
        <v>0.77384615384615374</v>
      </c>
      <c r="I9" s="229"/>
      <c r="J9" s="229"/>
      <c r="K9" s="149"/>
      <c r="L9" s="230" t="s">
        <v>106</v>
      </c>
      <c r="M9" s="231"/>
      <c r="N9" s="125">
        <f ca="1">MAX(Tabla336106734820[Drawdown])</f>
        <v>0.03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OFFSET(Tabla336106734820[[#Headers],[Drawdown]],1,0)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COUNTIF(Tabla336106734820[Heat],"&lt;0")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IF(COUNTIFS(Tabla336106734820[O/C],"O")&lt;1,"None",COUNTIFS(Tabla336106734820[O/C],"O"))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SUM(Tabla336106734820[No. of Rs])</f>
        <v>11.21</v>
      </c>
      <c r="O13" s="42">
        <f>SUM(Tabla336106734820[Heat])</f>
        <v>0</v>
      </c>
      <c r="P13" s="43">
        <f>SUM(Tabla336106734820[[ TR WIN]])</f>
        <v>21.27</v>
      </c>
      <c r="Q13" s="43">
        <f>SUM(Tabla336106734820[[ TR LOSS]])</f>
        <v>-10.059999999999999</v>
      </c>
      <c r="R13" s="114"/>
      <c r="S13" s="115"/>
      <c r="T13" s="115"/>
      <c r="U13" s="121"/>
      <c r="V13" s="44">
        <f>SUM(Tabla336106734820[Currency])</f>
        <v>0</v>
      </c>
      <c r="W13" s="44">
        <f>SUM(Tabla336106734820[Heat3])</f>
        <v>0</v>
      </c>
      <c r="X13" s="44">
        <f>SUM(Tabla336106734820[Commodities])</f>
        <v>11.21</v>
      </c>
      <c r="Y13" s="44">
        <f>SUM(Tabla336106734820[Heat4])</f>
        <v>0</v>
      </c>
      <c r="Z13" s="44">
        <f>SUM(Tabla336106734820[Index])</f>
        <v>0</v>
      </c>
      <c r="AA13" s="44">
        <f>SUM(Tabla336106734820[Heat5])</f>
        <v>0</v>
      </c>
      <c r="AB13" s="44">
        <f>SUM(Tabla336106734820[Cryptocurrency])</f>
        <v>0</v>
      </c>
      <c r="AC13" s="44">
        <f>SUM(Tabla336106734820[Heat6])</f>
        <v>0</v>
      </c>
      <c r="AD13" s="75">
        <f>AVERAGEIF(Tabla336106734820[Length of 
Trade],"&lt;&gt;0")</f>
        <v>5.6791319444448165</v>
      </c>
      <c r="AE13" s="75">
        <f>AVERAGEIF(Tabla336106734820[Win],"&lt;&gt;0")</f>
        <v>8.4364087301582913</v>
      </c>
      <c r="AF13" s="75">
        <f>AVERAGEIF(Tabla336106734820[Loss],"&lt;&gt;0")</f>
        <v>4.1944444444452529</v>
      </c>
      <c r="AG13" s="76" t="e">
        <f>AVERAGEIF(Tabla336106734820[Breakeven],"&lt;&gt;0")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19</v>
      </c>
      <c r="C17" s="197" t="s">
        <v>15</v>
      </c>
      <c r="D17" s="198" t="str">
        <f t="shared" ref="D17:D36" si="0">IF(E17&lt;&gt;"",IF(K17&lt;&gt;"","C","O"),"")</f>
        <v>C</v>
      </c>
      <c r="E17" s="199">
        <v>44169.541666666664</v>
      </c>
      <c r="F17" s="200" t="s">
        <v>89</v>
      </c>
      <c r="G17" s="201">
        <v>24.184000000000001</v>
      </c>
      <c r="H17" s="201">
        <v>23.492999999999999</v>
      </c>
      <c r="I17" s="202">
        <f t="shared" ref="I17:I36" si="1">ABS(G17-H17)</f>
        <v>0.6910000000000025</v>
      </c>
      <c r="J17" s="201">
        <v>27.5</v>
      </c>
      <c r="K17" s="199">
        <v>44186.494444444441</v>
      </c>
      <c r="L17" s="201">
        <v>26.41</v>
      </c>
      <c r="M17" s="203">
        <f t="shared" ref="M17:M36" si="2">ROUND(IF(C17="L",(L17-G17),(G17-L17)),4)</f>
        <v>2.226</v>
      </c>
      <c r="N17" s="204">
        <f t="shared" ref="N17:N36" si="3">IFERROR(ROUND((M17/I17),2),"")</f>
        <v>3.22</v>
      </c>
      <c r="O17" s="205">
        <f t="shared" ref="O17:O36" si="4">IF(D17="O",IF(N17&lt;0,N17,0),0)</f>
        <v>0</v>
      </c>
      <c r="P17" s="206">
        <f t="shared" ref="P17:P36" si="5">IF(N17&gt;= 0,N17,0)</f>
        <v>3.22</v>
      </c>
      <c r="Q17" s="206">
        <f t="shared" ref="Q17:Q36" si="6">IF(N17&lt;0,N17,0)</f>
        <v>0</v>
      </c>
      <c r="R17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17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111210</v>
      </c>
      <c r="T17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111210</v>
      </c>
      <c r="U17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17" s="209">
        <f t="shared" ref="V17:V36" si="7">IF(B17="FX",N17,0)</f>
        <v>0</v>
      </c>
      <c r="W17" s="209">
        <f t="shared" ref="W17:W36" si="8">IF(D17="O",IF(V17&lt;0,V17,0),0)</f>
        <v>0</v>
      </c>
      <c r="X17" s="209">
        <f t="shared" ref="X17:X36" si="9">IF(B17="COM",N17,0)</f>
        <v>3.22</v>
      </c>
      <c r="Y17" s="209">
        <f t="shared" ref="Y17:Y36" si="10">IF(D17="O",IF(X17&lt;0,X17,0),0)</f>
        <v>0</v>
      </c>
      <c r="Z17" s="209">
        <f t="shared" ref="Z17:Z36" si="11">IF(B17="IND",N17,0)</f>
        <v>0</v>
      </c>
      <c r="AA17" s="205">
        <f t="shared" ref="AA17:AA36" si="12">IF(D17="O",IF(Z17&lt;0,Z17,0),0)</f>
        <v>0</v>
      </c>
      <c r="AB17" s="209">
        <f t="shared" ref="AB17:AB36" si="13">IF(B17="CRYPTO",N17,0)</f>
        <v>0</v>
      </c>
      <c r="AC17" s="205">
        <f t="shared" ref="AC17:AC36" si="14">IF(D17="O",IF(AB17&lt;0,AB17,0),0)</f>
        <v>0</v>
      </c>
      <c r="AD17" s="210">
        <f t="shared" ref="AD17:AD36" si="15">IF(K17&lt;&gt;"",K17-E17,0)</f>
        <v>16.952777777776646</v>
      </c>
      <c r="AE17" s="210">
        <f t="shared" ref="AE17:AE36" si="16">IF(N17&gt;0,AD17,0)</f>
        <v>16.952777777776646</v>
      </c>
      <c r="AF17" s="210">
        <f t="shared" ref="AF17:AF36" si="17">IF(N17&lt;0,AD17,0)</f>
        <v>0</v>
      </c>
      <c r="AG17" s="210">
        <f t="shared" ref="AG17:AG36" si="18">IF(N17=0,AD17,0)</f>
        <v>0</v>
      </c>
    </row>
    <row r="18" spans="2:33" ht="15" customHeight="1" x14ac:dyDescent="0.3">
      <c r="B18" s="196" t="s">
        <v>19</v>
      </c>
      <c r="C18" s="197" t="s">
        <v>13</v>
      </c>
      <c r="D18" s="198" t="str">
        <f t="shared" si="0"/>
        <v>C</v>
      </c>
      <c r="E18" s="199">
        <v>44154.541666666664</v>
      </c>
      <c r="F18" s="200" t="s">
        <v>89</v>
      </c>
      <c r="G18" s="201">
        <v>23.896000000000001</v>
      </c>
      <c r="H18" s="201">
        <v>24.757999999999999</v>
      </c>
      <c r="I18" s="202">
        <f t="shared" si="1"/>
        <v>0.86199999999999832</v>
      </c>
      <c r="J18" s="201">
        <v>19.759</v>
      </c>
      <c r="K18" s="199">
        <v>44165.79583333333</v>
      </c>
      <c r="L18" s="201">
        <v>22.606000000000002</v>
      </c>
      <c r="M18" s="203">
        <f t="shared" si="2"/>
        <v>1.29</v>
      </c>
      <c r="N18" s="204">
        <f t="shared" si="3"/>
        <v>1.5</v>
      </c>
      <c r="O18" s="205">
        <f t="shared" si="4"/>
        <v>0</v>
      </c>
      <c r="P18" s="206">
        <f t="shared" si="5"/>
        <v>1.5</v>
      </c>
      <c r="Q18" s="206">
        <f t="shared" si="6"/>
        <v>0</v>
      </c>
      <c r="R18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18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107990</v>
      </c>
      <c r="T18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109250</v>
      </c>
      <c r="U18" s="208">
        <f ca="1">IF(Tabla336106734820[[#This Row],[Equity]]&lt;Tabla336106734820[[#This Row],[Equity Peak]],(Tabla336106734820[[#This Row],[Equity Peak]]-Tabla336106734820[[#This Row],[Equity]])/Tabla336106734820[[#This Row],[Equity Peak]],"")</f>
        <v>1.1533180778032037E-2</v>
      </c>
      <c r="V18" s="209">
        <f t="shared" si="7"/>
        <v>0</v>
      </c>
      <c r="W18" s="209">
        <f t="shared" si="8"/>
        <v>0</v>
      </c>
      <c r="X18" s="209">
        <f t="shared" si="9"/>
        <v>1.5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11.254166666665697</v>
      </c>
      <c r="AE18" s="210">
        <f t="shared" si="16"/>
        <v>11.254166666665697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19</v>
      </c>
      <c r="C19" s="197" t="s">
        <v>15</v>
      </c>
      <c r="D19" s="198" t="str">
        <f t="shared" si="0"/>
        <v>C</v>
      </c>
      <c r="E19" s="199">
        <v>44141.041666666664</v>
      </c>
      <c r="F19" s="200" t="s">
        <v>89</v>
      </c>
      <c r="G19" s="201">
        <v>25.363</v>
      </c>
      <c r="H19" s="201">
        <v>24.556000000000001</v>
      </c>
      <c r="I19" s="202">
        <f t="shared" si="1"/>
        <v>0.80699999999999861</v>
      </c>
      <c r="J19" s="201">
        <v>29.238</v>
      </c>
      <c r="K19" s="199">
        <v>44144.589583333334</v>
      </c>
      <c r="L19" s="201">
        <v>24.556000000000001</v>
      </c>
      <c r="M19" s="203">
        <f t="shared" si="2"/>
        <v>-0.80700000000000005</v>
      </c>
      <c r="N19" s="204">
        <f t="shared" si="3"/>
        <v>-1</v>
      </c>
      <c r="O19" s="205">
        <f t="shared" si="4"/>
        <v>0</v>
      </c>
      <c r="P19" s="206">
        <f t="shared" si="5"/>
        <v>0</v>
      </c>
      <c r="Q19" s="206">
        <f t="shared" si="6"/>
        <v>-1</v>
      </c>
      <c r="R19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19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106490</v>
      </c>
      <c r="T19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109250</v>
      </c>
      <c r="U19" s="208">
        <f ca="1">IF(Tabla336106734820[[#This Row],[Equity]]&lt;Tabla336106734820[[#This Row],[Equity Peak]],(Tabla336106734820[[#This Row],[Equity Peak]]-Tabla336106734820[[#This Row],[Equity]])/Tabla336106734820[[#This Row],[Equity Peak]],"")</f>
        <v>2.5263157894736842E-2</v>
      </c>
      <c r="V19" s="209">
        <f t="shared" si="7"/>
        <v>0</v>
      </c>
      <c r="W19" s="209">
        <f t="shared" si="8"/>
        <v>0</v>
      </c>
      <c r="X19" s="209">
        <f t="shared" si="9"/>
        <v>-1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3.5479166666700621</v>
      </c>
      <c r="AE19" s="210">
        <f t="shared" si="16"/>
        <v>0</v>
      </c>
      <c r="AF19" s="210">
        <f t="shared" si="17"/>
        <v>3.5479166666700621</v>
      </c>
      <c r="AG19" s="210">
        <f t="shared" si="18"/>
        <v>0</v>
      </c>
    </row>
    <row r="20" spans="2:33" ht="15" customHeight="1" x14ac:dyDescent="0.3">
      <c r="B20" s="196" t="s">
        <v>19</v>
      </c>
      <c r="C20" s="197" t="s">
        <v>13</v>
      </c>
      <c r="D20" s="198" t="str">
        <f t="shared" si="0"/>
        <v>C</v>
      </c>
      <c r="E20" s="199">
        <v>44131.708333333336</v>
      </c>
      <c r="F20" s="200" t="s">
        <v>89</v>
      </c>
      <c r="G20" s="201">
        <v>24.300999999999998</v>
      </c>
      <c r="H20" s="201">
        <v>25.109000000000002</v>
      </c>
      <c r="I20" s="202">
        <f t="shared" si="1"/>
        <v>0.80800000000000338</v>
      </c>
      <c r="J20" s="201">
        <v>20.420999999999999</v>
      </c>
      <c r="K20" s="199">
        <v>44139.064583333333</v>
      </c>
      <c r="L20" s="201">
        <v>24.466999999999999</v>
      </c>
      <c r="M20" s="203">
        <f t="shared" si="2"/>
        <v>-0.16600000000000001</v>
      </c>
      <c r="N20" s="204">
        <f t="shared" si="3"/>
        <v>-0.21</v>
      </c>
      <c r="O20" s="205">
        <f t="shared" si="4"/>
        <v>0</v>
      </c>
      <c r="P20" s="206">
        <f t="shared" si="5"/>
        <v>0</v>
      </c>
      <c r="Q20" s="206">
        <f t="shared" si="6"/>
        <v>-0.21</v>
      </c>
      <c r="R20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0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107490</v>
      </c>
      <c r="T20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109250</v>
      </c>
      <c r="U20" s="208">
        <f ca="1">IF(Tabla336106734820[[#This Row],[Equity]]&lt;Tabla336106734820[[#This Row],[Equity Peak]],(Tabla336106734820[[#This Row],[Equity Peak]]-Tabla336106734820[[#This Row],[Equity]])/Tabla336106734820[[#This Row],[Equity Peak]],"")</f>
        <v>1.610983981693364E-2</v>
      </c>
      <c r="V20" s="209">
        <f t="shared" si="7"/>
        <v>0</v>
      </c>
      <c r="W20" s="209">
        <f t="shared" si="8"/>
        <v>0</v>
      </c>
      <c r="X20" s="209">
        <f t="shared" si="9"/>
        <v>-0.21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7.3562499999970896</v>
      </c>
      <c r="AE20" s="210">
        <f t="shared" si="16"/>
        <v>0</v>
      </c>
      <c r="AF20" s="210">
        <f t="shared" si="17"/>
        <v>7.3562499999970896</v>
      </c>
      <c r="AG20" s="210">
        <f t="shared" si="18"/>
        <v>0</v>
      </c>
    </row>
    <row r="21" spans="2:33" ht="15" customHeight="1" x14ac:dyDescent="0.3">
      <c r="B21" s="196" t="s">
        <v>19</v>
      </c>
      <c r="C21" s="197" t="s">
        <v>15</v>
      </c>
      <c r="D21" s="198" t="str">
        <f t="shared" si="0"/>
        <v>C</v>
      </c>
      <c r="E21" s="199">
        <v>44124.375</v>
      </c>
      <c r="F21" s="200" t="s">
        <v>89</v>
      </c>
      <c r="G21" s="201">
        <v>24.49</v>
      </c>
      <c r="H21" s="201">
        <v>23.582000000000001</v>
      </c>
      <c r="I21" s="202">
        <f t="shared" si="1"/>
        <v>0.9079999999999977</v>
      </c>
      <c r="J21" s="201">
        <v>28.850999999999999</v>
      </c>
      <c r="K21" s="199">
        <v>44131.708333333336</v>
      </c>
      <c r="L21" s="201">
        <v>24.300999999999998</v>
      </c>
      <c r="M21" s="203">
        <f t="shared" si="2"/>
        <v>-0.189</v>
      </c>
      <c r="N21" s="204">
        <f t="shared" si="3"/>
        <v>-0.21</v>
      </c>
      <c r="O21" s="205">
        <f t="shared" si="4"/>
        <v>0</v>
      </c>
      <c r="P21" s="206">
        <f t="shared" si="5"/>
        <v>0</v>
      </c>
      <c r="Q21" s="206">
        <f t="shared" si="6"/>
        <v>-0.21</v>
      </c>
      <c r="R21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1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107700</v>
      </c>
      <c r="T21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109250</v>
      </c>
      <c r="U21" s="208">
        <f ca="1">IF(Tabla336106734820[[#This Row],[Equity]]&lt;Tabla336106734820[[#This Row],[Equity Peak]],(Tabla336106734820[[#This Row],[Equity Peak]]-Tabla336106734820[[#This Row],[Equity]])/Tabla336106734820[[#This Row],[Equity Peak]],"")</f>
        <v>1.4187643020594966E-2</v>
      </c>
      <c r="V21" s="209">
        <f t="shared" si="7"/>
        <v>0</v>
      </c>
      <c r="W21" s="209">
        <f t="shared" si="8"/>
        <v>0</v>
      </c>
      <c r="X21" s="209">
        <f t="shared" si="9"/>
        <v>-0.21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7.3333333333357587</v>
      </c>
      <c r="AE21" s="210">
        <f t="shared" si="16"/>
        <v>0</v>
      </c>
      <c r="AF21" s="210">
        <f t="shared" si="17"/>
        <v>7.3333333333357587</v>
      </c>
      <c r="AG21" s="210">
        <f t="shared" si="18"/>
        <v>0</v>
      </c>
    </row>
    <row r="22" spans="2:33" ht="15" customHeight="1" x14ac:dyDescent="0.3">
      <c r="B22" s="196" t="s">
        <v>19</v>
      </c>
      <c r="C22" s="197" t="s">
        <v>13</v>
      </c>
      <c r="D22" s="198" t="str">
        <f t="shared" si="0"/>
        <v>C</v>
      </c>
      <c r="E22" s="199">
        <v>44119.375</v>
      </c>
      <c r="F22" s="200" t="s">
        <v>89</v>
      </c>
      <c r="G22" s="201">
        <v>24.14</v>
      </c>
      <c r="H22" s="201">
        <v>25.169</v>
      </c>
      <c r="I22" s="202">
        <f t="shared" si="1"/>
        <v>1.0289999999999999</v>
      </c>
      <c r="J22" s="201">
        <v>19.202000000000002</v>
      </c>
      <c r="K22" s="199">
        <v>44124.375</v>
      </c>
      <c r="L22" s="201">
        <v>24.49</v>
      </c>
      <c r="M22" s="203">
        <f t="shared" si="2"/>
        <v>-0.35</v>
      </c>
      <c r="N22" s="204">
        <f t="shared" si="3"/>
        <v>-0.34</v>
      </c>
      <c r="O22" s="205">
        <f t="shared" si="4"/>
        <v>0</v>
      </c>
      <c r="P22" s="206">
        <f t="shared" si="5"/>
        <v>0</v>
      </c>
      <c r="Q22" s="206">
        <f t="shared" si="6"/>
        <v>-0.34</v>
      </c>
      <c r="R22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2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107910</v>
      </c>
      <c r="T22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109250</v>
      </c>
      <c r="U22" s="208">
        <f ca="1">IF(Tabla336106734820[[#This Row],[Equity]]&lt;Tabla336106734820[[#This Row],[Equity Peak]],(Tabla336106734820[[#This Row],[Equity Peak]]-Tabla336106734820[[#This Row],[Equity]])/Tabla336106734820[[#This Row],[Equity Peak]],"")</f>
        <v>1.2265446224256293E-2</v>
      </c>
      <c r="V22" s="209">
        <f t="shared" si="7"/>
        <v>0</v>
      </c>
      <c r="W22" s="209">
        <f t="shared" si="8"/>
        <v>0</v>
      </c>
      <c r="X22" s="209">
        <f t="shared" si="9"/>
        <v>-0.34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5</v>
      </c>
      <c r="AE22" s="210">
        <f t="shared" si="16"/>
        <v>0</v>
      </c>
      <c r="AF22" s="210">
        <f t="shared" si="17"/>
        <v>5</v>
      </c>
      <c r="AG22" s="210">
        <f t="shared" si="18"/>
        <v>0</v>
      </c>
    </row>
    <row r="23" spans="2:33" ht="15" customHeight="1" x14ac:dyDescent="0.3">
      <c r="B23" s="196" t="s">
        <v>19</v>
      </c>
      <c r="C23" s="197" t="s">
        <v>15</v>
      </c>
      <c r="D23" s="198" t="str">
        <f t="shared" si="0"/>
        <v>C</v>
      </c>
      <c r="E23" s="199">
        <v>44116.541666666664</v>
      </c>
      <c r="F23" s="200" t="s">
        <v>89</v>
      </c>
      <c r="G23" s="201">
        <v>25.076000000000001</v>
      </c>
      <c r="H23" s="201">
        <v>23.97</v>
      </c>
      <c r="I23" s="202">
        <f t="shared" si="1"/>
        <v>1.1060000000000016</v>
      </c>
      <c r="J23" s="201">
        <v>30.387</v>
      </c>
      <c r="K23" s="199">
        <v>44117.818749999999</v>
      </c>
      <c r="L23" s="201">
        <v>23.97</v>
      </c>
      <c r="M23" s="203">
        <f t="shared" si="2"/>
        <v>-1.1060000000000001</v>
      </c>
      <c r="N23" s="204">
        <f t="shared" si="3"/>
        <v>-1</v>
      </c>
      <c r="O23" s="205">
        <f t="shared" si="4"/>
        <v>0</v>
      </c>
      <c r="P23" s="206">
        <f t="shared" si="5"/>
        <v>0</v>
      </c>
      <c r="Q23" s="206">
        <f t="shared" si="6"/>
        <v>-1</v>
      </c>
      <c r="R23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3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108250</v>
      </c>
      <c r="T23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109250</v>
      </c>
      <c r="U23" s="208">
        <f ca="1">IF(Tabla336106734820[[#This Row],[Equity]]&lt;Tabla336106734820[[#This Row],[Equity Peak]],(Tabla336106734820[[#This Row],[Equity Peak]]-Tabla336106734820[[#This Row],[Equity]])/Tabla336106734820[[#This Row],[Equity Peak]],"")</f>
        <v>9.1533180778032037E-3</v>
      </c>
      <c r="V23" s="209">
        <f t="shared" si="7"/>
        <v>0</v>
      </c>
      <c r="W23" s="209">
        <f t="shared" si="8"/>
        <v>0</v>
      </c>
      <c r="X23" s="209">
        <f t="shared" si="9"/>
        <v>-1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1.2770833333343035</v>
      </c>
      <c r="AE23" s="210">
        <f t="shared" si="16"/>
        <v>0</v>
      </c>
      <c r="AF23" s="210">
        <f t="shared" si="17"/>
        <v>1.2770833333343035</v>
      </c>
      <c r="AG23" s="210">
        <f t="shared" si="18"/>
        <v>0</v>
      </c>
    </row>
    <row r="24" spans="2:33" ht="15" customHeight="1" x14ac:dyDescent="0.3">
      <c r="B24" s="196" t="s">
        <v>19</v>
      </c>
      <c r="C24" s="197" t="s">
        <v>13</v>
      </c>
      <c r="D24" s="198" t="str">
        <f t="shared" si="0"/>
        <v>C</v>
      </c>
      <c r="E24" s="199">
        <v>44095.041666666664</v>
      </c>
      <c r="F24" s="200" t="s">
        <v>89</v>
      </c>
      <c r="G24" s="201">
        <v>26.763000000000002</v>
      </c>
      <c r="H24" s="201">
        <v>27.727</v>
      </c>
      <c r="I24" s="202">
        <f t="shared" si="1"/>
        <v>0.96399999999999864</v>
      </c>
      <c r="J24" s="201">
        <v>22.134</v>
      </c>
      <c r="K24" s="199">
        <v>44098.097916666666</v>
      </c>
      <c r="L24" s="201">
        <v>22.134</v>
      </c>
      <c r="M24" s="203">
        <f t="shared" si="2"/>
        <v>4.6289999999999996</v>
      </c>
      <c r="N24" s="204">
        <f t="shared" si="3"/>
        <v>4.8</v>
      </c>
      <c r="O24" s="205">
        <f t="shared" si="4"/>
        <v>0</v>
      </c>
      <c r="P24" s="206">
        <f t="shared" si="5"/>
        <v>4.8</v>
      </c>
      <c r="Q24" s="206">
        <f t="shared" si="6"/>
        <v>0</v>
      </c>
      <c r="R24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4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109250</v>
      </c>
      <c r="T24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109250</v>
      </c>
      <c r="U24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24" s="209">
        <f t="shared" si="7"/>
        <v>0</v>
      </c>
      <c r="W24" s="209">
        <f t="shared" si="8"/>
        <v>0</v>
      </c>
      <c r="X24" s="209">
        <f t="shared" si="9"/>
        <v>4.8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3.0562500000014552</v>
      </c>
      <c r="AE24" s="210">
        <f t="shared" si="16"/>
        <v>3.0562500000014552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19</v>
      </c>
      <c r="C25" s="197" t="s">
        <v>15</v>
      </c>
      <c r="D25" s="198" t="str">
        <f t="shared" si="0"/>
        <v>C</v>
      </c>
      <c r="E25" s="199">
        <v>44089.208333333336</v>
      </c>
      <c r="F25" s="200" t="s">
        <v>89</v>
      </c>
      <c r="G25" s="201">
        <v>27.332999999999998</v>
      </c>
      <c r="H25" s="201">
        <v>26.282</v>
      </c>
      <c r="I25" s="202">
        <f t="shared" si="1"/>
        <v>1.0509999999999984</v>
      </c>
      <c r="J25" s="201">
        <v>32.375999999999998</v>
      </c>
      <c r="K25" s="199">
        <v>44091.67291666667</v>
      </c>
      <c r="L25" s="201">
        <v>26.282</v>
      </c>
      <c r="M25" s="203">
        <f t="shared" si="2"/>
        <v>-1.0509999999999999</v>
      </c>
      <c r="N25" s="204">
        <f t="shared" si="3"/>
        <v>-1</v>
      </c>
      <c r="O25" s="205">
        <f t="shared" si="4"/>
        <v>0</v>
      </c>
      <c r="P25" s="206">
        <f t="shared" si="5"/>
        <v>0</v>
      </c>
      <c r="Q25" s="206">
        <f t="shared" si="6"/>
        <v>-1</v>
      </c>
      <c r="R25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5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104450</v>
      </c>
      <c r="T25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106450</v>
      </c>
      <c r="U25" s="208">
        <f ca="1">IF(Tabla336106734820[[#This Row],[Equity]]&lt;Tabla336106734820[[#This Row],[Equity Peak]],(Tabla336106734820[[#This Row],[Equity Peak]]-Tabla336106734820[[#This Row],[Equity]])/Tabla336106734820[[#This Row],[Equity Peak]],"")</f>
        <v>1.8788163457022077E-2</v>
      </c>
      <c r="V25" s="209">
        <f t="shared" si="7"/>
        <v>0</v>
      </c>
      <c r="W25" s="209">
        <f t="shared" si="8"/>
        <v>0</v>
      </c>
      <c r="X25" s="209">
        <f t="shared" si="9"/>
        <v>-1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2.4645833333343035</v>
      </c>
      <c r="AE25" s="210">
        <f t="shared" si="16"/>
        <v>0</v>
      </c>
      <c r="AF25" s="210">
        <f t="shared" si="17"/>
        <v>2.4645833333343035</v>
      </c>
      <c r="AG25" s="210">
        <f t="shared" si="18"/>
        <v>0</v>
      </c>
    </row>
    <row r="26" spans="2:33" ht="15" customHeight="1" x14ac:dyDescent="0.3">
      <c r="B26" s="196" t="s">
        <v>19</v>
      </c>
      <c r="C26" s="197" t="s">
        <v>13</v>
      </c>
      <c r="D26" s="198" t="str">
        <f t="shared" si="0"/>
        <v>C</v>
      </c>
      <c r="E26" s="199">
        <v>44082.708333333336</v>
      </c>
      <c r="F26" s="200" t="s">
        <v>89</v>
      </c>
      <c r="G26" s="201">
        <v>26.11</v>
      </c>
      <c r="H26" s="201">
        <v>27.341999999999999</v>
      </c>
      <c r="I26" s="202">
        <f t="shared" si="1"/>
        <v>1.2319999999999993</v>
      </c>
      <c r="J26" s="201">
        <v>20.196000000000002</v>
      </c>
      <c r="K26" s="199">
        <v>44084.652083333334</v>
      </c>
      <c r="L26" s="201">
        <v>27.341999999999999</v>
      </c>
      <c r="M26" s="203">
        <f t="shared" si="2"/>
        <v>-1.232</v>
      </c>
      <c r="N26" s="204">
        <f t="shared" si="3"/>
        <v>-1</v>
      </c>
      <c r="O26" s="205">
        <f t="shared" si="4"/>
        <v>0</v>
      </c>
      <c r="P26" s="206">
        <f t="shared" si="5"/>
        <v>0</v>
      </c>
      <c r="Q26" s="206">
        <f t="shared" si="6"/>
        <v>-1</v>
      </c>
      <c r="R26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6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105450</v>
      </c>
      <c r="T26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106450</v>
      </c>
      <c r="U26" s="208">
        <f ca="1">IF(Tabla336106734820[[#This Row],[Equity]]&lt;Tabla336106734820[[#This Row],[Equity Peak]],(Tabla336106734820[[#This Row],[Equity Peak]]-Tabla336106734820[[#This Row],[Equity]])/Tabla336106734820[[#This Row],[Equity Peak]],"")</f>
        <v>9.3940817285110383E-3</v>
      </c>
      <c r="V26" s="209">
        <f t="shared" si="7"/>
        <v>0</v>
      </c>
      <c r="W26" s="209">
        <f t="shared" si="8"/>
        <v>0</v>
      </c>
      <c r="X26" s="209">
        <f t="shared" si="9"/>
        <v>-1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1.9437499999985448</v>
      </c>
      <c r="AE26" s="210">
        <f t="shared" si="16"/>
        <v>0</v>
      </c>
      <c r="AF26" s="210">
        <f t="shared" si="17"/>
        <v>1.9437499999985448</v>
      </c>
      <c r="AG26" s="210">
        <f t="shared" si="18"/>
        <v>0</v>
      </c>
    </row>
    <row r="27" spans="2:33" ht="15" customHeight="1" x14ac:dyDescent="0.3">
      <c r="B27" s="196" t="s">
        <v>19</v>
      </c>
      <c r="C27" s="197" t="s">
        <v>15</v>
      </c>
      <c r="D27" s="198" t="str">
        <f t="shared" si="0"/>
        <v>C</v>
      </c>
      <c r="E27" s="199">
        <v>44025.708333333336</v>
      </c>
      <c r="F27" s="200" t="s">
        <v>89</v>
      </c>
      <c r="G27" s="201">
        <v>19.184999999999999</v>
      </c>
      <c r="H27" s="201">
        <v>18.742999999999999</v>
      </c>
      <c r="I27" s="202">
        <f t="shared" si="1"/>
        <v>0.44200000000000017</v>
      </c>
      <c r="J27" s="201">
        <v>21.305</v>
      </c>
      <c r="K27" s="199">
        <v>44033.92291666667</v>
      </c>
      <c r="L27" s="201">
        <v>21.305</v>
      </c>
      <c r="M27" s="203">
        <f t="shared" si="2"/>
        <v>2.12</v>
      </c>
      <c r="N27" s="204">
        <f t="shared" si="3"/>
        <v>4.8</v>
      </c>
      <c r="O27" s="205">
        <f t="shared" si="4"/>
        <v>0</v>
      </c>
      <c r="P27" s="206">
        <f t="shared" si="5"/>
        <v>4.8</v>
      </c>
      <c r="Q27" s="206">
        <f t="shared" si="6"/>
        <v>0</v>
      </c>
      <c r="R27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7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106450</v>
      </c>
      <c r="T27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106450</v>
      </c>
      <c r="U27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27" s="209">
        <f t="shared" si="7"/>
        <v>0</v>
      </c>
      <c r="W27" s="209">
        <f t="shared" si="8"/>
        <v>0</v>
      </c>
      <c r="X27" s="209">
        <f t="shared" si="9"/>
        <v>4.8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8.2145833333343035</v>
      </c>
      <c r="AE27" s="210">
        <f t="shared" si="16"/>
        <v>8.2145833333343035</v>
      </c>
      <c r="AF27" s="210">
        <f t="shared" si="17"/>
        <v>0</v>
      </c>
      <c r="AG27" s="210">
        <f t="shared" si="18"/>
        <v>0</v>
      </c>
    </row>
    <row r="28" spans="2:33" ht="15" customHeight="1" x14ac:dyDescent="0.3">
      <c r="B28" s="196" t="s">
        <v>19</v>
      </c>
      <c r="C28" s="197" t="s">
        <v>15</v>
      </c>
      <c r="D28" s="198" t="str">
        <f t="shared" si="0"/>
        <v>C</v>
      </c>
      <c r="E28" s="199">
        <v>44021.541666666664</v>
      </c>
      <c r="F28" s="200" t="s">
        <v>89</v>
      </c>
      <c r="G28" s="201">
        <v>19</v>
      </c>
      <c r="H28" s="201">
        <v>18.582999999999998</v>
      </c>
      <c r="I28" s="202">
        <f t="shared" si="1"/>
        <v>0.41700000000000159</v>
      </c>
      <c r="J28" s="201">
        <v>21.004000000000001</v>
      </c>
      <c r="K28" s="199">
        <v>44021.754861111112</v>
      </c>
      <c r="L28" s="201">
        <v>18.582999999999998</v>
      </c>
      <c r="M28" s="203">
        <f t="shared" si="2"/>
        <v>-0.41699999999999998</v>
      </c>
      <c r="N28" s="204">
        <f t="shared" si="3"/>
        <v>-1</v>
      </c>
      <c r="O28" s="205">
        <f t="shared" si="4"/>
        <v>0</v>
      </c>
      <c r="P28" s="206">
        <f t="shared" si="5"/>
        <v>0</v>
      </c>
      <c r="Q28" s="206">
        <f t="shared" si="6"/>
        <v>-1</v>
      </c>
      <c r="R28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8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101650</v>
      </c>
      <c r="T28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102650</v>
      </c>
      <c r="U28" s="208">
        <f ca="1">IF(Tabla336106734820[[#This Row],[Equity]]&lt;Tabla336106734820[[#This Row],[Equity Peak]],(Tabla336106734820[[#This Row],[Equity Peak]]-Tabla336106734820[[#This Row],[Equity]])/Tabla336106734820[[#This Row],[Equity Peak]],"")</f>
        <v>9.74184120798831E-3</v>
      </c>
      <c r="V28" s="209">
        <f t="shared" si="7"/>
        <v>0</v>
      </c>
      <c r="W28" s="209">
        <f t="shared" si="8"/>
        <v>0</v>
      </c>
      <c r="X28" s="209">
        <f t="shared" si="9"/>
        <v>-1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0.21319444444816327</v>
      </c>
      <c r="AE28" s="210">
        <f t="shared" si="16"/>
        <v>0</v>
      </c>
      <c r="AF28" s="210">
        <f t="shared" si="17"/>
        <v>0.21319444444816327</v>
      </c>
      <c r="AG28" s="210">
        <f t="shared" si="18"/>
        <v>0</v>
      </c>
    </row>
    <row r="29" spans="2:33" ht="15" customHeight="1" x14ac:dyDescent="0.3">
      <c r="B29" s="196" t="s">
        <v>19</v>
      </c>
      <c r="C29" s="197" t="s">
        <v>15</v>
      </c>
      <c r="D29" s="198" t="str">
        <f t="shared" si="0"/>
        <v>C</v>
      </c>
      <c r="E29" s="199">
        <v>43959.208333333336</v>
      </c>
      <c r="F29" s="200" t="s">
        <v>89</v>
      </c>
      <c r="G29" s="201">
        <v>15.409000000000001</v>
      </c>
      <c r="H29" s="201">
        <v>14.904999999999999</v>
      </c>
      <c r="I29" s="202">
        <f t="shared" si="1"/>
        <v>0.50400000000000134</v>
      </c>
      <c r="J29" s="201">
        <v>17.827000000000002</v>
      </c>
      <c r="K29" s="199">
        <v>43969.691666666666</v>
      </c>
      <c r="L29" s="201">
        <v>16.931999999999999</v>
      </c>
      <c r="M29" s="203">
        <f t="shared" si="2"/>
        <v>1.5229999999999999</v>
      </c>
      <c r="N29" s="204">
        <f t="shared" si="3"/>
        <v>3.02</v>
      </c>
      <c r="O29" s="205">
        <f t="shared" si="4"/>
        <v>0</v>
      </c>
      <c r="P29" s="206">
        <f t="shared" si="5"/>
        <v>3.02</v>
      </c>
      <c r="Q29" s="206">
        <f t="shared" si="6"/>
        <v>0</v>
      </c>
      <c r="R29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9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102650</v>
      </c>
      <c r="T29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102650</v>
      </c>
      <c r="U29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29" s="209">
        <f t="shared" si="7"/>
        <v>0</v>
      </c>
      <c r="W29" s="209">
        <f t="shared" si="8"/>
        <v>0</v>
      </c>
      <c r="X29" s="209">
        <f t="shared" si="9"/>
        <v>3.02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10.483333333329938</v>
      </c>
      <c r="AE29" s="210">
        <f t="shared" si="16"/>
        <v>10.483333333329938</v>
      </c>
      <c r="AF29" s="210">
        <f t="shared" si="17"/>
        <v>0</v>
      </c>
      <c r="AG29" s="210">
        <f t="shared" si="18"/>
        <v>0</v>
      </c>
    </row>
    <row r="30" spans="2:33" ht="15" customHeight="1" x14ac:dyDescent="0.3">
      <c r="B30" s="196" t="s">
        <v>19</v>
      </c>
      <c r="C30" s="197" t="s">
        <v>13</v>
      </c>
      <c r="D30" s="198" t="str">
        <f t="shared" si="0"/>
        <v>C</v>
      </c>
      <c r="E30" s="199">
        <v>43952.708333333336</v>
      </c>
      <c r="F30" s="200" t="s">
        <v>89</v>
      </c>
      <c r="G30" s="201">
        <v>14.861000000000001</v>
      </c>
      <c r="H30" s="201">
        <v>15.393000000000001</v>
      </c>
      <c r="I30" s="202">
        <f t="shared" si="1"/>
        <v>0.53200000000000003</v>
      </c>
      <c r="J30" s="201">
        <v>12.308</v>
      </c>
      <c r="K30" s="199">
        <v>43958.852777777778</v>
      </c>
      <c r="L30" s="201">
        <v>15.393000000000001</v>
      </c>
      <c r="M30" s="203">
        <f t="shared" si="2"/>
        <v>-0.53200000000000003</v>
      </c>
      <c r="N30" s="204">
        <f t="shared" si="3"/>
        <v>-1</v>
      </c>
      <c r="O30" s="205">
        <f t="shared" si="4"/>
        <v>0</v>
      </c>
      <c r="P30" s="206">
        <f t="shared" si="5"/>
        <v>0</v>
      </c>
      <c r="Q30" s="206">
        <f t="shared" si="6"/>
        <v>-1</v>
      </c>
      <c r="R30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30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99630</v>
      </c>
      <c r="T30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100930</v>
      </c>
      <c r="U30" s="208">
        <f ca="1">IF(Tabla336106734820[[#This Row],[Equity]]&lt;Tabla336106734820[[#This Row],[Equity Peak]],(Tabla336106734820[[#This Row],[Equity Peak]]-Tabla336106734820[[#This Row],[Equity]])/Tabla336106734820[[#This Row],[Equity Peak]],"")</f>
        <v>1.2880214009709699E-2</v>
      </c>
      <c r="V30" s="209">
        <f t="shared" si="7"/>
        <v>0</v>
      </c>
      <c r="W30" s="209">
        <f t="shared" si="8"/>
        <v>0</v>
      </c>
      <c r="X30" s="209">
        <f t="shared" si="9"/>
        <v>-1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6.1444444444423425</v>
      </c>
      <c r="AE30" s="210">
        <f t="shared" si="16"/>
        <v>0</v>
      </c>
      <c r="AF30" s="210">
        <f t="shared" si="17"/>
        <v>6.1444444444423425</v>
      </c>
      <c r="AG30" s="210">
        <f t="shared" si="18"/>
        <v>0</v>
      </c>
    </row>
    <row r="31" spans="2:33" ht="15" customHeight="1" x14ac:dyDescent="0.3">
      <c r="B31" s="196" t="s">
        <v>19</v>
      </c>
      <c r="C31" s="197" t="s">
        <v>15</v>
      </c>
      <c r="D31" s="198" t="str">
        <f t="shared" si="0"/>
        <v>C</v>
      </c>
      <c r="E31" s="199">
        <v>43927.875</v>
      </c>
      <c r="F31" s="200" t="s">
        <v>89</v>
      </c>
      <c r="G31" s="201">
        <v>14.935</v>
      </c>
      <c r="H31" s="201">
        <v>13.956</v>
      </c>
      <c r="I31" s="202">
        <f t="shared" si="1"/>
        <v>0.97900000000000098</v>
      </c>
      <c r="J31" s="201">
        <v>19.635999999999999</v>
      </c>
      <c r="K31" s="199">
        <v>43942.61041666667</v>
      </c>
      <c r="L31" s="201">
        <v>14.641</v>
      </c>
      <c r="M31" s="203">
        <f t="shared" si="2"/>
        <v>-0.29399999999999998</v>
      </c>
      <c r="N31" s="204">
        <f t="shared" si="3"/>
        <v>-0.3</v>
      </c>
      <c r="O31" s="205">
        <f t="shared" si="4"/>
        <v>0</v>
      </c>
      <c r="P31" s="206">
        <f t="shared" si="5"/>
        <v>0</v>
      </c>
      <c r="Q31" s="206">
        <f t="shared" si="6"/>
        <v>-0.3</v>
      </c>
      <c r="R31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31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100630</v>
      </c>
      <c r="T31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100930</v>
      </c>
      <c r="U31" s="208">
        <f ca="1">IF(Tabla336106734820[[#This Row],[Equity]]&lt;Tabla336106734820[[#This Row],[Equity Peak]],(Tabla336106734820[[#This Row],[Equity Peak]]-Tabla336106734820[[#This Row],[Equity]])/Tabla336106734820[[#This Row],[Equity Peak]],"")</f>
        <v>2.9723570791637768E-3</v>
      </c>
      <c r="V31" s="209">
        <f t="shared" si="7"/>
        <v>0</v>
      </c>
      <c r="W31" s="209">
        <f t="shared" si="8"/>
        <v>0</v>
      </c>
      <c r="X31" s="209">
        <f t="shared" si="9"/>
        <v>-0.3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14.735416666670062</v>
      </c>
      <c r="AE31" s="210">
        <f t="shared" si="16"/>
        <v>0</v>
      </c>
      <c r="AF31" s="210">
        <f t="shared" si="17"/>
        <v>14.735416666670062</v>
      </c>
      <c r="AG31" s="210">
        <f t="shared" si="18"/>
        <v>0</v>
      </c>
    </row>
    <row r="32" spans="2:33" ht="15" customHeight="1" x14ac:dyDescent="0.3">
      <c r="B32" s="196" t="s">
        <v>19</v>
      </c>
      <c r="C32" s="197" t="s">
        <v>13</v>
      </c>
      <c r="D32" s="198" t="str">
        <f t="shared" si="0"/>
        <v>C</v>
      </c>
      <c r="E32" s="199">
        <v>43889.375</v>
      </c>
      <c r="F32" s="200" t="s">
        <v>89</v>
      </c>
      <c r="G32" s="201">
        <v>17.210999999999999</v>
      </c>
      <c r="H32" s="201">
        <v>17.561</v>
      </c>
      <c r="I32" s="202">
        <f t="shared" si="1"/>
        <v>0.35000000000000142</v>
      </c>
      <c r="J32" s="201">
        <v>15.532999999999999</v>
      </c>
      <c r="K32" s="199">
        <v>43892.109722222223</v>
      </c>
      <c r="L32" s="201">
        <v>16.811</v>
      </c>
      <c r="M32" s="203">
        <f t="shared" si="2"/>
        <v>0.4</v>
      </c>
      <c r="N32" s="204">
        <f t="shared" si="3"/>
        <v>1.1399999999999999</v>
      </c>
      <c r="O32" s="205">
        <f t="shared" si="4"/>
        <v>0</v>
      </c>
      <c r="P32" s="206">
        <f t="shared" si="5"/>
        <v>1.1399999999999999</v>
      </c>
      <c r="Q32" s="206">
        <f t="shared" si="6"/>
        <v>0</v>
      </c>
      <c r="R32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32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100930</v>
      </c>
      <c r="T32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100930</v>
      </c>
      <c r="U32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32" s="209">
        <f t="shared" si="7"/>
        <v>0</v>
      </c>
      <c r="W32" s="209">
        <f t="shared" si="8"/>
        <v>0</v>
      </c>
      <c r="X32" s="209">
        <f t="shared" si="9"/>
        <v>1.1399999999999999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2.734722222223354</v>
      </c>
      <c r="AE32" s="210">
        <f t="shared" si="16"/>
        <v>2.734722222223354</v>
      </c>
      <c r="AF32" s="210">
        <f t="shared" si="17"/>
        <v>0</v>
      </c>
      <c r="AG32" s="210">
        <f t="shared" si="18"/>
        <v>0</v>
      </c>
    </row>
    <row r="33" spans="2:33" ht="15" customHeight="1" x14ac:dyDescent="0.3">
      <c r="B33" s="196" t="s">
        <v>19</v>
      </c>
      <c r="C33" s="197" t="s">
        <v>15</v>
      </c>
      <c r="D33" s="198" t="str">
        <f t="shared" si="0"/>
        <v>C</v>
      </c>
      <c r="E33" s="199">
        <v>43879.541666666664</v>
      </c>
      <c r="F33" s="200" t="s">
        <v>89</v>
      </c>
      <c r="G33" s="201">
        <v>17.879000000000001</v>
      </c>
      <c r="H33" s="201">
        <v>17.600999999999999</v>
      </c>
      <c r="I33" s="202">
        <f t="shared" si="1"/>
        <v>0.27800000000000225</v>
      </c>
      <c r="J33" s="201">
        <v>19.213999999999999</v>
      </c>
      <c r="K33" s="199">
        <v>43885.900694444441</v>
      </c>
      <c r="L33" s="201">
        <v>18.655000000000001</v>
      </c>
      <c r="M33" s="203">
        <f t="shared" si="2"/>
        <v>0.77600000000000002</v>
      </c>
      <c r="N33" s="204">
        <f t="shared" si="3"/>
        <v>2.79</v>
      </c>
      <c r="O33" s="205">
        <f t="shared" si="4"/>
        <v>0</v>
      </c>
      <c r="P33" s="206">
        <f t="shared" si="5"/>
        <v>2.79</v>
      </c>
      <c r="Q33" s="206">
        <f t="shared" si="6"/>
        <v>0</v>
      </c>
      <c r="R33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33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99790</v>
      </c>
      <c r="T33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100000</v>
      </c>
      <c r="U33" s="208">
        <f ca="1">IF(Tabla336106734820[[#This Row],[Equity]]&lt;Tabla336106734820[[#This Row],[Equity Peak]],(Tabla336106734820[[#This Row],[Equity Peak]]-Tabla336106734820[[#This Row],[Equity]])/Tabla336106734820[[#This Row],[Equity Peak]],"")</f>
        <v>2.0999999999999999E-3</v>
      </c>
      <c r="V33" s="209">
        <f t="shared" si="7"/>
        <v>0</v>
      </c>
      <c r="W33" s="209">
        <f t="shared" si="8"/>
        <v>0</v>
      </c>
      <c r="X33" s="209">
        <f t="shared" si="9"/>
        <v>2.79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6.359027777776646</v>
      </c>
      <c r="AE33" s="210">
        <f t="shared" si="16"/>
        <v>6.359027777776646</v>
      </c>
      <c r="AF33" s="210">
        <f t="shared" si="17"/>
        <v>0</v>
      </c>
      <c r="AG33" s="210">
        <f t="shared" si="18"/>
        <v>0</v>
      </c>
    </row>
    <row r="34" spans="2:33" ht="15" customHeight="1" x14ac:dyDescent="0.3">
      <c r="B34" s="196" t="s">
        <v>19</v>
      </c>
      <c r="C34" s="197" t="s">
        <v>13</v>
      </c>
      <c r="D34" s="198" t="str">
        <f t="shared" si="0"/>
        <v>C</v>
      </c>
      <c r="E34" s="199">
        <v>43859.041666666664</v>
      </c>
      <c r="F34" s="200" t="s">
        <v>89</v>
      </c>
      <c r="G34" s="201">
        <v>17.452000000000002</v>
      </c>
      <c r="H34" s="201">
        <v>17.777999999999999</v>
      </c>
      <c r="I34" s="202">
        <f t="shared" si="1"/>
        <v>0.32599999999999696</v>
      </c>
      <c r="J34" s="201">
        <v>15.888</v>
      </c>
      <c r="K34" s="199">
        <v>43860.590277777781</v>
      </c>
      <c r="L34" s="201">
        <v>17.777999999999999</v>
      </c>
      <c r="M34" s="203">
        <f t="shared" si="2"/>
        <v>-0.32600000000000001</v>
      </c>
      <c r="N34" s="204">
        <f t="shared" si="3"/>
        <v>-1</v>
      </c>
      <c r="O34" s="205">
        <f t="shared" si="4"/>
        <v>0</v>
      </c>
      <c r="P34" s="206">
        <f t="shared" si="5"/>
        <v>0</v>
      </c>
      <c r="Q34" s="206">
        <f t="shared" si="6"/>
        <v>-1</v>
      </c>
      <c r="R34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Yes</v>
      </c>
      <c r="S34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97000</v>
      </c>
      <c r="T34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100000</v>
      </c>
      <c r="U34" s="208">
        <f ca="1">IF(Tabla336106734820[[#This Row],[Equity]]&lt;Tabla336106734820[[#This Row],[Equity Peak]],(Tabla336106734820[[#This Row],[Equity Peak]]-Tabla336106734820[[#This Row],[Equity]])/Tabla336106734820[[#This Row],[Equity Peak]],"")</f>
        <v>0.03</v>
      </c>
      <c r="V34" s="209">
        <f t="shared" si="7"/>
        <v>0</v>
      </c>
      <c r="W34" s="209">
        <f t="shared" si="8"/>
        <v>0</v>
      </c>
      <c r="X34" s="209">
        <f t="shared" si="9"/>
        <v>-1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1.5486111111167702</v>
      </c>
      <c r="AE34" s="210">
        <f t="shared" si="16"/>
        <v>0</v>
      </c>
      <c r="AF34" s="210">
        <f t="shared" si="17"/>
        <v>1.5486111111167702</v>
      </c>
      <c r="AG34" s="210">
        <f t="shared" si="18"/>
        <v>0</v>
      </c>
    </row>
    <row r="35" spans="2:33" ht="15" customHeight="1" x14ac:dyDescent="0.3">
      <c r="B35" s="196" t="s">
        <v>19</v>
      </c>
      <c r="C35" s="197" t="s">
        <v>15</v>
      </c>
      <c r="D35" s="198" t="str">
        <f t="shared" si="0"/>
        <v>C</v>
      </c>
      <c r="E35" s="199">
        <v>43857.208333333336</v>
      </c>
      <c r="F35" s="200" t="s">
        <v>89</v>
      </c>
      <c r="G35" s="201">
        <v>18.265999999999998</v>
      </c>
      <c r="H35" s="201">
        <v>17.942</v>
      </c>
      <c r="I35" s="202">
        <f t="shared" si="1"/>
        <v>0.32399999999999807</v>
      </c>
      <c r="J35" s="201">
        <v>19.821999999999999</v>
      </c>
      <c r="K35" s="199">
        <v>43858.59375</v>
      </c>
      <c r="L35" s="201">
        <v>17.942</v>
      </c>
      <c r="M35" s="203">
        <f t="shared" si="2"/>
        <v>-0.32400000000000001</v>
      </c>
      <c r="N35" s="204">
        <f t="shared" si="3"/>
        <v>-1</v>
      </c>
      <c r="O35" s="205">
        <f t="shared" si="4"/>
        <v>0</v>
      </c>
      <c r="P35" s="206">
        <f t="shared" si="5"/>
        <v>0</v>
      </c>
      <c r="Q35" s="206">
        <f t="shared" si="6"/>
        <v>-1</v>
      </c>
      <c r="R35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Yes</v>
      </c>
      <c r="S35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98000</v>
      </c>
      <c r="T35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100000</v>
      </c>
      <c r="U35" s="208">
        <f ca="1">IF(Tabla336106734820[[#This Row],[Equity]]&lt;Tabla336106734820[[#This Row],[Equity Peak]],(Tabla336106734820[[#This Row],[Equity Peak]]-Tabla336106734820[[#This Row],[Equity]])/Tabla336106734820[[#This Row],[Equity Peak]],"")</f>
        <v>0.02</v>
      </c>
      <c r="V35" s="209">
        <f t="shared" si="7"/>
        <v>0</v>
      </c>
      <c r="W35" s="209">
        <f t="shared" si="8"/>
        <v>0</v>
      </c>
      <c r="X35" s="209">
        <f t="shared" si="9"/>
        <v>-1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1.3854166666642413</v>
      </c>
      <c r="AE35" s="210">
        <f t="shared" si="16"/>
        <v>0</v>
      </c>
      <c r="AF35" s="210">
        <f t="shared" si="17"/>
        <v>1.3854166666642413</v>
      </c>
      <c r="AG35" s="210">
        <f t="shared" si="18"/>
        <v>0</v>
      </c>
    </row>
    <row r="36" spans="2:33" ht="15" customHeight="1" x14ac:dyDescent="0.3">
      <c r="B36" s="196" t="s">
        <v>19</v>
      </c>
      <c r="C36" s="197" t="s">
        <v>13</v>
      </c>
      <c r="D36" s="198" t="str">
        <f t="shared" si="0"/>
        <v>C</v>
      </c>
      <c r="E36" s="199">
        <v>43853.208333333336</v>
      </c>
      <c r="F36" s="200" t="s">
        <v>89</v>
      </c>
      <c r="G36" s="201">
        <v>17.744</v>
      </c>
      <c r="H36" s="201">
        <v>18.062999999999999</v>
      </c>
      <c r="I36" s="202">
        <f t="shared" si="1"/>
        <v>0.31899999999999906</v>
      </c>
      <c r="J36" s="201">
        <v>16.213000000000001</v>
      </c>
      <c r="K36" s="199">
        <v>43854.786111111112</v>
      </c>
      <c r="L36" s="201">
        <v>18.062999999999999</v>
      </c>
      <c r="M36" s="203">
        <f t="shared" si="2"/>
        <v>-0.31900000000000001</v>
      </c>
      <c r="N36" s="204">
        <f t="shared" si="3"/>
        <v>-1</v>
      </c>
      <c r="O36" s="205">
        <f t="shared" si="4"/>
        <v>0</v>
      </c>
      <c r="P36" s="206">
        <f t="shared" si="5"/>
        <v>0</v>
      </c>
      <c r="Q36" s="206">
        <f t="shared" si="6"/>
        <v>-1</v>
      </c>
      <c r="R36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Yes</v>
      </c>
      <c r="S36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99000</v>
      </c>
      <c r="T36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100000</v>
      </c>
      <c r="U36" s="208">
        <f ca="1">IF(Tabla336106734820[[#This Row],[Equity]]&lt;Tabla336106734820[[#This Row],[Equity Peak]],(Tabla336106734820[[#This Row],[Equity Peak]]-Tabla336106734820[[#This Row],[Equity]])/Tabla336106734820[[#This Row],[Equity Peak]],"")</f>
        <v>0.01</v>
      </c>
      <c r="V36" s="209">
        <f t="shared" si="7"/>
        <v>0</v>
      </c>
      <c r="W36" s="209">
        <f t="shared" si="8"/>
        <v>0</v>
      </c>
      <c r="X36" s="209">
        <f t="shared" si="9"/>
        <v>-1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1.577777777776646</v>
      </c>
      <c r="AE36" s="210">
        <f t="shared" si="16"/>
        <v>0</v>
      </c>
      <c r="AF36" s="210">
        <f t="shared" si="17"/>
        <v>1.577777777776646</v>
      </c>
      <c r="AG36" s="210">
        <f t="shared" si="18"/>
        <v>0</v>
      </c>
    </row>
  </sheetData>
  <sheetProtection algorithmName="SHA-512" hashValue="lzGNPoxl9J4iweHnlFkvC8N4SPPxvFTTR1swXMXYUb1vytWON6aYkTVghS0bMVAeFWjvYzTHVJhlP7JaMSgWZg==" saltValue="hFOlKgxLh36SlKERWUi5f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461" priority="3" operator="equal">
      <formula>"OK"</formula>
    </cfRule>
    <cfRule type="cellIs" dxfId="460" priority="4" operator="equal">
      <formula>"warning"</formula>
    </cfRule>
  </conditionalFormatting>
  <conditionalFormatting sqref="F13">
    <cfRule type="cellIs" dxfId="459" priority="1" operator="equal">
      <formula>"OK"</formula>
    </cfRule>
    <cfRule type="cellIs" dxfId="458" priority="2" operator="equal">
      <formula>"Error!!"</formula>
    </cfRule>
  </conditionalFormatting>
  <conditionalFormatting sqref="E15:H15 K15:L15">
    <cfRule type="expression" dxfId="457" priority="5">
      <formula>+$D15=#REF!</formula>
    </cfRule>
    <cfRule type="expression" dxfId="456" priority="6">
      <formula>+$D15=#REF!</formula>
    </cfRule>
  </conditionalFormatting>
  <conditionalFormatting sqref="D15 K16:L16 D16:H36 J17:L36">
    <cfRule type="expression" dxfId="455" priority="7">
      <formula>+$D15=$AG$8</formula>
    </cfRule>
    <cfRule type="expression" dxfId="45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33ADBB8D-C696-4A9A-8191-A4AEB4DDB4F3}">
      <formula1>$AE$4:$AE$6</formula1>
    </dataValidation>
    <dataValidation type="list" allowBlank="1" showInputMessage="1" showErrorMessage="1" promptTitle="Trade Direction" prompt="Select from List" sqref="C15:C16" xr:uid="{288E45AD-1CEB-4A30-977C-EB1A323EB2F2}">
      <formula1>$AG$4:$AG$5</formula1>
    </dataValidation>
    <dataValidation type="list" allowBlank="1" showInputMessage="1" showErrorMessage="1" promptTitle="Instrument Type" prompt="Select Type from List_x000a_" sqref="B17:B36" xr:uid="{6BD3F5AA-822F-43B5-9939-ABD5A0C52DD0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FA5E-EC00-4F42-9588-5FC233762EE6}">
  <sheetPr codeName="Hoja15">
    <pageSetUpPr fitToPage="1"/>
  </sheetPr>
  <dimension ref="A1:AX38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COUNTA(Tabla33610673489[Inst])</f>
        <v>22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16.619999999999997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16.619999999999997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COUNTIF(Tabla33610673489[No. of Rs],"&gt;0")</f>
        <v>9</v>
      </c>
      <c r="G7" s="24">
        <f>IFERROR((F7/$F$6),"")</f>
        <v>0.40909090909090912</v>
      </c>
      <c r="H7" s="78">
        <f>IFERROR((+P13/F7),"")</f>
        <v>2.3666666666666667</v>
      </c>
      <c r="I7" s="227">
        <f>H7/H9</f>
        <v>6.5740740740740744</v>
      </c>
      <c r="J7" s="227">
        <f>AVERAGE(Tabla33610673489[No. of Rs])</f>
        <v>0.75545454545454538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1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COUNTIF(Tabla33610673489[No.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OFFSET(Tabla33610673489[[#Headers],[Equity]],1,0)</f>
        <v>116620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COUNTIF(Tabla33610673489[No. of Rs],"&lt;0")</f>
        <v>13</v>
      </c>
      <c r="G9" s="32">
        <f>IFERROR((F9/$F$6),"")</f>
        <v>0.59090909090909094</v>
      </c>
      <c r="H9" s="79">
        <f>IFERROR((-Q13/F9),"")</f>
        <v>0.36</v>
      </c>
      <c r="I9" s="229"/>
      <c r="J9" s="229"/>
      <c r="K9" s="149"/>
      <c r="L9" s="230" t="s">
        <v>106</v>
      </c>
      <c r="M9" s="231"/>
      <c r="N9" s="125">
        <f ca="1">MAX(Tabla33610673489[Drawdown])</f>
        <v>2.5358324145534728E-2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OFFSET(Tabla33610673489[[#Headers],[Drawdown]],1,0)</f>
        <v>1.0940547875498261E-2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COUNTIF(Tabla33610673489[Heat],"&lt;0")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IF(COUNTIFS(Tabla33610673489[O/C],"O")&lt;1,"None",COUNTIFS(Tabla33610673489[O/C],"O"))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SUM(Tabla33610673489[No. of Rs])</f>
        <v>16.619999999999997</v>
      </c>
      <c r="O13" s="42">
        <f>SUM(Tabla33610673489[Heat])</f>
        <v>0</v>
      </c>
      <c r="P13" s="43">
        <f>SUM(Tabla33610673489[[ TR WIN]])</f>
        <v>21.3</v>
      </c>
      <c r="Q13" s="43">
        <f>SUM(Tabla33610673489[[ TR LOSS]])</f>
        <v>-4.68</v>
      </c>
      <c r="R13" s="114"/>
      <c r="S13" s="115"/>
      <c r="T13" s="115"/>
      <c r="U13" s="121"/>
      <c r="V13" s="44">
        <f>SUM(Tabla33610673489[Currency])</f>
        <v>0</v>
      </c>
      <c r="W13" s="44">
        <f>SUM(Tabla33610673489[Heat3])</f>
        <v>0</v>
      </c>
      <c r="X13" s="44">
        <f>SUM(Tabla33610673489[Commodities])</f>
        <v>16.619999999999997</v>
      </c>
      <c r="Y13" s="44">
        <f>SUM(Tabla33610673489[Heat4])</f>
        <v>0</v>
      </c>
      <c r="Z13" s="44">
        <f>SUM(Tabla33610673489[Index])</f>
        <v>0</v>
      </c>
      <c r="AA13" s="44">
        <f>SUM(Tabla33610673489[Heat5])</f>
        <v>0</v>
      </c>
      <c r="AB13" s="44">
        <f>SUM(Tabla33610673489[Cryptocurrency])</f>
        <v>0</v>
      </c>
      <c r="AC13" s="44">
        <f>SUM(Tabla33610673489[Heat6])</f>
        <v>0</v>
      </c>
      <c r="AD13" s="75">
        <f>AVERAGEIF(Tabla33610673489[Length of 
Trade],"&lt;&gt;0")</f>
        <v>6.0780618686863326</v>
      </c>
      <c r="AE13" s="75">
        <f>AVERAGEIF(Tabla33610673489[Win],"&lt;&gt;0")</f>
        <v>8.0452160493821587</v>
      </c>
      <c r="AF13" s="75">
        <f>AVERAGEIF(Tabla33610673489[Loss],"&lt;&gt;0")</f>
        <v>4.7161858974353752</v>
      </c>
      <c r="AG13" s="76" t="e">
        <f>AVERAGEIF(Tabla33610673489[Breakeven],"&lt;&gt;0")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19</v>
      </c>
      <c r="C17" s="197" t="s">
        <v>13</v>
      </c>
      <c r="D17" s="198" t="str">
        <f t="shared" ref="D17:D30" si="0">IF(E17&lt;&gt;"",IF(K17&lt;&gt;"","C","O"),"")</f>
        <v>C</v>
      </c>
      <c r="E17" s="199">
        <v>44175.375</v>
      </c>
      <c r="F17" s="200" t="s">
        <v>88</v>
      </c>
      <c r="G17" s="201">
        <v>1835.03</v>
      </c>
      <c r="H17" s="201">
        <v>1864.06</v>
      </c>
      <c r="I17" s="202">
        <f t="shared" ref="I17:I30" si="1">ABS(G17-H17)</f>
        <v>29.029999999999973</v>
      </c>
      <c r="J17" s="201">
        <v>1649.21</v>
      </c>
      <c r="K17" s="199">
        <v>44180.629861111112</v>
      </c>
      <c r="L17" s="201">
        <v>1849.36</v>
      </c>
      <c r="M17" s="203">
        <f t="shared" ref="M17:M30" si="2">ROUND(IF(C17="L",(L17-G17),(G17-L17)),4)</f>
        <v>-14.33</v>
      </c>
      <c r="N17" s="204">
        <f t="shared" ref="N17:N30" si="3">IFERROR(ROUND((M17/I17),2),"")</f>
        <v>-0.49</v>
      </c>
      <c r="O17" s="205">
        <f t="shared" ref="O17:O30" si="4">IF(D17="O",IF(N17&lt;0,N17,0),0)</f>
        <v>0</v>
      </c>
      <c r="P17" s="206">
        <f t="shared" ref="P17:P30" si="5">IF(N17&gt;= 0,N17,0)</f>
        <v>0</v>
      </c>
      <c r="Q17" s="206">
        <f t="shared" ref="Q17:Q30" si="6">IF(N17&lt;0,N17,0)</f>
        <v>-0.49</v>
      </c>
      <c r="R1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116620</v>
      </c>
      <c r="T1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117910</v>
      </c>
      <c r="U17" s="208">
        <f ca="1">IF(Tabla33610673489[[#This Row],[Equity]]&lt;Tabla33610673489[[#This Row],[Equity Peak]],(Tabla33610673489[[#This Row],[Equity Peak]]-Tabla33610673489[[#This Row],[Equity]])/Tabla33610673489[[#This Row],[Equity Peak]],"")</f>
        <v>1.0940547875498261E-2</v>
      </c>
      <c r="V17" s="209">
        <f t="shared" ref="V17:V30" si="7">IF(B17="FX",N17,0)</f>
        <v>0</v>
      </c>
      <c r="W17" s="209">
        <f t="shared" ref="W17:W30" si="8">IF(D17="O",IF(V17&lt;0,V17,0),0)</f>
        <v>0</v>
      </c>
      <c r="X17" s="209">
        <f t="shared" ref="X17:X30" si="9">IF(B17="COM",N17,0)</f>
        <v>-0.49</v>
      </c>
      <c r="Y17" s="209">
        <f t="shared" ref="Y17:Y30" si="10">IF(D17="O",IF(X17&lt;0,X17,0),0)</f>
        <v>0</v>
      </c>
      <c r="Z17" s="209">
        <f t="shared" ref="Z17:Z30" si="11">IF(B17="IND",N17,0)</f>
        <v>0</v>
      </c>
      <c r="AA17" s="205">
        <f t="shared" ref="AA17:AA30" si="12">IF(D17="O",IF(Z17&lt;0,Z17,0),0)</f>
        <v>0</v>
      </c>
      <c r="AB17" s="209">
        <f t="shared" ref="AB17:AB30" si="13">IF(B17="CRYPTO",N17,0)</f>
        <v>0</v>
      </c>
      <c r="AC17" s="205">
        <f t="shared" ref="AC17:AC30" si="14">IF(D17="O",IF(AB17&lt;0,AB17,0),0)</f>
        <v>0</v>
      </c>
      <c r="AD17" s="210">
        <f t="shared" ref="AD17:AD30" si="15">IF(K17&lt;&gt;"",K17-E17,0)</f>
        <v>5.2548611111124046</v>
      </c>
      <c r="AE17" s="210">
        <f t="shared" ref="AE17:AE30" si="16">IF(N17&gt;0,AD17,0)</f>
        <v>0</v>
      </c>
      <c r="AF17" s="210">
        <f t="shared" ref="AF17:AF30" si="17">IF(N17&lt;0,AD17,0)</f>
        <v>5.2548611111124046</v>
      </c>
      <c r="AG17" s="210">
        <f t="shared" ref="AG17:AG30" si="18">IF(N17=0,AD17,0)</f>
        <v>0</v>
      </c>
    </row>
    <row r="18" spans="2:33" ht="15" customHeight="1" x14ac:dyDescent="0.3">
      <c r="B18" s="196" t="s">
        <v>19</v>
      </c>
      <c r="C18" s="197" t="s">
        <v>13</v>
      </c>
      <c r="D18" s="198" t="str">
        <f t="shared" si="0"/>
        <v>C</v>
      </c>
      <c r="E18" s="199">
        <v>44158.708333333336</v>
      </c>
      <c r="F18" s="200" t="s">
        <v>88</v>
      </c>
      <c r="G18" s="201">
        <v>1841.65</v>
      </c>
      <c r="H18" s="201">
        <v>1866.2</v>
      </c>
      <c r="I18" s="202">
        <f t="shared" si="1"/>
        <v>24.549999999999955</v>
      </c>
      <c r="J18" s="201">
        <v>1684.55</v>
      </c>
      <c r="K18" s="199">
        <v>44166.32916666667</v>
      </c>
      <c r="L18" s="201">
        <v>1787.89</v>
      </c>
      <c r="M18" s="203">
        <f t="shared" si="2"/>
        <v>53.76</v>
      </c>
      <c r="N18" s="204">
        <f t="shared" si="3"/>
        <v>2.19</v>
      </c>
      <c r="O18" s="205">
        <f t="shared" si="4"/>
        <v>0</v>
      </c>
      <c r="P18" s="206">
        <f t="shared" si="5"/>
        <v>2.19</v>
      </c>
      <c r="Q18" s="206">
        <f t="shared" si="6"/>
        <v>0</v>
      </c>
      <c r="R1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117110</v>
      </c>
      <c r="T1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117910</v>
      </c>
      <c r="U18" s="208">
        <f ca="1">IF(Tabla33610673489[[#This Row],[Equity]]&lt;Tabla33610673489[[#This Row],[Equity Peak]],(Tabla33610673489[[#This Row],[Equity Peak]]-Tabla33610673489[[#This Row],[Equity]])/Tabla33610673489[[#This Row],[Equity Peak]],"")</f>
        <v>6.7848358917818674E-3</v>
      </c>
      <c r="V18" s="209">
        <f t="shared" si="7"/>
        <v>0</v>
      </c>
      <c r="W18" s="209">
        <f t="shared" si="8"/>
        <v>0</v>
      </c>
      <c r="X18" s="209">
        <f t="shared" si="9"/>
        <v>2.19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7.6208333333343035</v>
      </c>
      <c r="AE18" s="210">
        <f t="shared" si="16"/>
        <v>7.6208333333343035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19</v>
      </c>
      <c r="C19" s="197" t="s">
        <v>15</v>
      </c>
      <c r="D19" s="198" t="str">
        <f t="shared" si="0"/>
        <v>C</v>
      </c>
      <c r="E19" s="199">
        <v>44138.541666666664</v>
      </c>
      <c r="F19" s="200" t="s">
        <v>88</v>
      </c>
      <c r="G19" s="201">
        <v>1897.17</v>
      </c>
      <c r="H19" s="201">
        <v>1874.97</v>
      </c>
      <c r="I19" s="202">
        <f t="shared" si="1"/>
        <v>22.200000000000045</v>
      </c>
      <c r="J19" s="201">
        <v>2039.26</v>
      </c>
      <c r="K19" s="199">
        <v>44139.125</v>
      </c>
      <c r="L19" s="201">
        <v>1889.21</v>
      </c>
      <c r="M19" s="203">
        <f t="shared" si="2"/>
        <v>-7.96</v>
      </c>
      <c r="N19" s="204">
        <f t="shared" si="3"/>
        <v>-0.36</v>
      </c>
      <c r="O19" s="205">
        <f t="shared" si="4"/>
        <v>0</v>
      </c>
      <c r="P19" s="206">
        <f t="shared" si="5"/>
        <v>0</v>
      </c>
      <c r="Q19" s="206">
        <f t="shared" si="6"/>
        <v>-0.36</v>
      </c>
      <c r="R1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114920</v>
      </c>
      <c r="T1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117910</v>
      </c>
      <c r="U19" s="208">
        <f ca="1">IF(Tabla33610673489[[#This Row],[Equity]]&lt;Tabla33610673489[[#This Row],[Equity Peak]],(Tabla33610673489[[#This Row],[Equity Peak]]-Tabla33610673489[[#This Row],[Equity]])/Tabla33610673489[[#This Row],[Equity Peak]],"")</f>
        <v>2.5358324145534728E-2</v>
      </c>
      <c r="V19" s="209">
        <f t="shared" si="7"/>
        <v>0</v>
      </c>
      <c r="W19" s="209">
        <f t="shared" si="8"/>
        <v>0</v>
      </c>
      <c r="X19" s="209">
        <f t="shared" si="9"/>
        <v>-0.36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0.58333333333575865</v>
      </c>
      <c r="AE19" s="210">
        <f t="shared" si="16"/>
        <v>0</v>
      </c>
      <c r="AF19" s="210">
        <f t="shared" si="17"/>
        <v>0.58333333333575865</v>
      </c>
      <c r="AG19" s="210">
        <f t="shared" si="18"/>
        <v>0</v>
      </c>
    </row>
    <row r="20" spans="2:33" ht="15" customHeight="1" x14ac:dyDescent="0.3">
      <c r="B20" s="196" t="s">
        <v>19</v>
      </c>
      <c r="C20" s="197" t="s">
        <v>15</v>
      </c>
      <c r="D20" s="198" t="str">
        <f t="shared" si="0"/>
        <v>C</v>
      </c>
      <c r="E20" s="199">
        <v>44131.875</v>
      </c>
      <c r="F20" s="200" t="s">
        <v>88</v>
      </c>
      <c r="G20" s="201">
        <v>1908.8</v>
      </c>
      <c r="H20" s="201">
        <v>1889.07</v>
      </c>
      <c r="I20" s="202">
        <f t="shared" si="1"/>
        <v>19.730000000000018</v>
      </c>
      <c r="J20" s="201">
        <v>2035.1</v>
      </c>
      <c r="K20" s="199">
        <v>44132.620833333334</v>
      </c>
      <c r="L20" s="201">
        <v>1890.94</v>
      </c>
      <c r="M20" s="203">
        <f t="shared" si="2"/>
        <v>-17.86</v>
      </c>
      <c r="N20" s="204">
        <f t="shared" si="3"/>
        <v>-0.91</v>
      </c>
      <c r="O20" s="205">
        <f t="shared" si="4"/>
        <v>0</v>
      </c>
      <c r="P20" s="206">
        <f t="shared" si="5"/>
        <v>0</v>
      </c>
      <c r="Q20" s="206">
        <f t="shared" si="6"/>
        <v>-0.91</v>
      </c>
      <c r="R2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115280</v>
      </c>
      <c r="T2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117910</v>
      </c>
      <c r="U20" s="208">
        <f ca="1">IF(Tabla33610673489[[#This Row],[Equity]]&lt;Tabla33610673489[[#This Row],[Equity Peak]],(Tabla33610673489[[#This Row],[Equity Peak]]-Tabla33610673489[[#This Row],[Equity]])/Tabla33610673489[[#This Row],[Equity Peak]],"")</f>
        <v>2.2305147994232888E-2</v>
      </c>
      <c r="V20" s="209">
        <f t="shared" si="7"/>
        <v>0</v>
      </c>
      <c r="W20" s="209">
        <f t="shared" si="8"/>
        <v>0</v>
      </c>
      <c r="X20" s="209">
        <f t="shared" si="9"/>
        <v>-0.91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0.74583333333430346</v>
      </c>
      <c r="AE20" s="210">
        <f t="shared" si="16"/>
        <v>0</v>
      </c>
      <c r="AF20" s="210">
        <f t="shared" si="17"/>
        <v>0.74583333333430346</v>
      </c>
      <c r="AG20" s="210">
        <f t="shared" si="18"/>
        <v>0</v>
      </c>
    </row>
    <row r="21" spans="2:33" ht="15" customHeight="1" x14ac:dyDescent="0.3">
      <c r="B21" s="196" t="s">
        <v>19</v>
      </c>
      <c r="C21" s="197" t="s">
        <v>15</v>
      </c>
      <c r="D21" s="198" t="str">
        <f t="shared" si="0"/>
        <v>C</v>
      </c>
      <c r="E21" s="199">
        <v>44120.208333333336</v>
      </c>
      <c r="F21" s="200" t="s">
        <v>88</v>
      </c>
      <c r="G21" s="201">
        <v>1907.93</v>
      </c>
      <c r="H21" s="201">
        <v>1882.56</v>
      </c>
      <c r="I21" s="202">
        <f t="shared" si="1"/>
        <v>25.370000000000118</v>
      </c>
      <c r="J21" s="201">
        <v>2070.3200000000002</v>
      </c>
      <c r="K21" s="199">
        <v>44126.645833333336</v>
      </c>
      <c r="L21" s="201">
        <v>1903.91</v>
      </c>
      <c r="M21" s="203">
        <f t="shared" si="2"/>
        <v>-4.0199999999999996</v>
      </c>
      <c r="N21" s="204">
        <f t="shared" si="3"/>
        <v>-0.16</v>
      </c>
      <c r="O21" s="205">
        <f t="shared" si="4"/>
        <v>0</v>
      </c>
      <c r="P21" s="206">
        <f t="shared" si="5"/>
        <v>0</v>
      </c>
      <c r="Q21" s="206">
        <f t="shared" si="6"/>
        <v>-0.16</v>
      </c>
      <c r="R2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116190</v>
      </c>
      <c r="T2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117910</v>
      </c>
      <c r="U21" s="208">
        <f ca="1">IF(Tabla33610673489[[#This Row],[Equity]]&lt;Tabla33610673489[[#This Row],[Equity Peak]],(Tabla33610673489[[#This Row],[Equity Peak]]-Tabla33610673489[[#This Row],[Equity]])/Tabla33610673489[[#This Row],[Equity Peak]],"")</f>
        <v>1.4587397167331016E-2</v>
      </c>
      <c r="V21" s="209">
        <f t="shared" si="7"/>
        <v>0</v>
      </c>
      <c r="W21" s="209">
        <f t="shared" si="8"/>
        <v>0</v>
      </c>
      <c r="X21" s="209">
        <f t="shared" si="9"/>
        <v>-0.16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6.4375</v>
      </c>
      <c r="AE21" s="210">
        <f t="shared" si="16"/>
        <v>0</v>
      </c>
      <c r="AF21" s="210">
        <f t="shared" si="17"/>
        <v>6.4375</v>
      </c>
      <c r="AG21" s="210">
        <f t="shared" si="18"/>
        <v>0</v>
      </c>
    </row>
    <row r="22" spans="2:33" ht="15" customHeight="1" x14ac:dyDescent="0.3">
      <c r="B22" s="196" t="s">
        <v>19</v>
      </c>
      <c r="C22" s="197" t="s">
        <v>15</v>
      </c>
      <c r="D22" s="198" t="str">
        <f t="shared" si="0"/>
        <v>C</v>
      </c>
      <c r="E22" s="199">
        <v>44113.208333333336</v>
      </c>
      <c r="F22" s="200" t="s">
        <v>88</v>
      </c>
      <c r="G22" s="201">
        <v>1906.69</v>
      </c>
      <c r="H22" s="201">
        <v>1880.59</v>
      </c>
      <c r="I22" s="202">
        <f t="shared" si="1"/>
        <v>26.100000000000136</v>
      </c>
      <c r="J22" s="201">
        <v>2073.71</v>
      </c>
      <c r="K22" s="199">
        <v>44117.224999999999</v>
      </c>
      <c r="L22" s="201">
        <v>1912.75</v>
      </c>
      <c r="M22" s="203">
        <f t="shared" si="2"/>
        <v>6.06</v>
      </c>
      <c r="N22" s="204">
        <f t="shared" si="3"/>
        <v>0.23</v>
      </c>
      <c r="O22" s="205">
        <f t="shared" si="4"/>
        <v>0</v>
      </c>
      <c r="P22" s="206">
        <f t="shared" si="5"/>
        <v>0.23</v>
      </c>
      <c r="Q22" s="206">
        <f t="shared" si="6"/>
        <v>0</v>
      </c>
      <c r="R2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116350</v>
      </c>
      <c r="T2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117910</v>
      </c>
      <c r="U22" s="208">
        <f ca="1">IF(Tabla33610673489[[#This Row],[Equity]]&lt;Tabla33610673489[[#This Row],[Equity Peak]],(Tabla33610673489[[#This Row],[Equity Peak]]-Tabla33610673489[[#This Row],[Equity]])/Tabla33610673489[[#This Row],[Equity Peak]],"")</f>
        <v>1.3230429988974642E-2</v>
      </c>
      <c r="V22" s="209">
        <f t="shared" si="7"/>
        <v>0</v>
      </c>
      <c r="W22" s="209">
        <f t="shared" si="8"/>
        <v>0</v>
      </c>
      <c r="X22" s="209">
        <f t="shared" si="9"/>
        <v>0.23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4.0166666666627862</v>
      </c>
      <c r="AE22" s="210">
        <f t="shared" si="16"/>
        <v>4.0166666666627862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19</v>
      </c>
      <c r="C23" s="197" t="s">
        <v>15</v>
      </c>
      <c r="D23" s="198" t="str">
        <f t="shared" si="0"/>
        <v>C</v>
      </c>
      <c r="E23" s="199">
        <v>44105.708333333336</v>
      </c>
      <c r="F23" s="200" t="s">
        <v>88</v>
      </c>
      <c r="G23" s="201">
        <v>1902.54</v>
      </c>
      <c r="H23" s="201">
        <v>1875.81</v>
      </c>
      <c r="I23" s="202">
        <f t="shared" si="1"/>
        <v>26.730000000000018</v>
      </c>
      <c r="J23" s="201">
        <v>2073.59</v>
      </c>
      <c r="K23" s="199">
        <v>44110.912499999999</v>
      </c>
      <c r="L23" s="201">
        <v>1892.17</v>
      </c>
      <c r="M23" s="203">
        <f t="shared" si="2"/>
        <v>-10.37</v>
      </c>
      <c r="N23" s="204">
        <f t="shared" si="3"/>
        <v>-0.39</v>
      </c>
      <c r="O23" s="205">
        <f t="shared" si="4"/>
        <v>0</v>
      </c>
      <c r="P23" s="206">
        <f t="shared" si="5"/>
        <v>0</v>
      </c>
      <c r="Q23" s="206">
        <f t="shared" si="6"/>
        <v>-0.39</v>
      </c>
      <c r="R2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116120</v>
      </c>
      <c r="T2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117910</v>
      </c>
      <c r="U23" s="208">
        <f ca="1">IF(Tabla33610673489[[#This Row],[Equity]]&lt;Tabla33610673489[[#This Row],[Equity Peak]],(Tabla33610673489[[#This Row],[Equity Peak]]-Tabla33610673489[[#This Row],[Equity]])/Tabla33610673489[[#This Row],[Equity Peak]],"")</f>
        <v>1.5181070307861928E-2</v>
      </c>
      <c r="V23" s="209">
        <f t="shared" si="7"/>
        <v>0</v>
      </c>
      <c r="W23" s="209">
        <f t="shared" si="8"/>
        <v>0</v>
      </c>
      <c r="X23" s="209">
        <f t="shared" si="9"/>
        <v>-0.39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5.2041666666627862</v>
      </c>
      <c r="AE23" s="210">
        <f t="shared" si="16"/>
        <v>0</v>
      </c>
      <c r="AF23" s="210">
        <f t="shared" si="17"/>
        <v>5.2041666666627862</v>
      </c>
      <c r="AG23" s="210">
        <f t="shared" si="18"/>
        <v>0</v>
      </c>
    </row>
    <row r="24" spans="2:33" ht="15" customHeight="1" x14ac:dyDescent="0.3">
      <c r="B24" s="196" t="s">
        <v>19</v>
      </c>
      <c r="C24" s="197" t="s">
        <v>15</v>
      </c>
      <c r="D24" s="198" t="str">
        <f t="shared" si="0"/>
        <v>C</v>
      </c>
      <c r="E24" s="199">
        <v>44092.375</v>
      </c>
      <c r="F24" s="200" t="s">
        <v>88</v>
      </c>
      <c r="G24" s="201">
        <v>1954.44</v>
      </c>
      <c r="H24" s="201">
        <v>1926.42</v>
      </c>
      <c r="I24" s="202">
        <f t="shared" si="1"/>
        <v>28.019999999999982</v>
      </c>
      <c r="J24" s="201">
        <v>2133.7800000000002</v>
      </c>
      <c r="K24" s="199">
        <v>44095.640277777777</v>
      </c>
      <c r="L24" s="201">
        <v>1926.97</v>
      </c>
      <c r="M24" s="203">
        <f t="shared" si="2"/>
        <v>-27.47</v>
      </c>
      <c r="N24" s="204">
        <f t="shared" si="3"/>
        <v>-0.98</v>
      </c>
      <c r="O24" s="205">
        <f t="shared" si="4"/>
        <v>0</v>
      </c>
      <c r="P24" s="206">
        <f t="shared" si="5"/>
        <v>0</v>
      </c>
      <c r="Q24" s="206">
        <f t="shared" si="6"/>
        <v>-0.98</v>
      </c>
      <c r="R24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4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116510</v>
      </c>
      <c r="T24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117910</v>
      </c>
      <c r="U24" s="208">
        <f ca="1">IF(Tabla33610673489[[#This Row],[Equity]]&lt;Tabla33610673489[[#This Row],[Equity Peak]],(Tabla33610673489[[#This Row],[Equity Peak]]-Tabla33610673489[[#This Row],[Equity]])/Tabla33610673489[[#This Row],[Equity Peak]],"")</f>
        <v>1.1873462810618268E-2</v>
      </c>
      <c r="V24" s="209">
        <f t="shared" si="7"/>
        <v>0</v>
      </c>
      <c r="W24" s="209">
        <f t="shared" si="8"/>
        <v>0</v>
      </c>
      <c r="X24" s="209">
        <f t="shared" si="9"/>
        <v>-0.98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3.265277777776646</v>
      </c>
      <c r="AE24" s="210">
        <f t="shared" si="16"/>
        <v>0</v>
      </c>
      <c r="AF24" s="210">
        <f t="shared" si="17"/>
        <v>3.265277777776646</v>
      </c>
      <c r="AG24" s="210">
        <f t="shared" si="18"/>
        <v>0</v>
      </c>
    </row>
    <row r="25" spans="2:33" ht="15" customHeight="1" x14ac:dyDescent="0.3">
      <c r="B25" s="196" t="s">
        <v>19</v>
      </c>
      <c r="C25" s="197" t="s">
        <v>15</v>
      </c>
      <c r="D25" s="198" t="str">
        <f t="shared" si="0"/>
        <v>C</v>
      </c>
      <c r="E25" s="199">
        <v>44084.208333333336</v>
      </c>
      <c r="F25" s="200" t="s">
        <v>88</v>
      </c>
      <c r="G25" s="201">
        <v>1945.91</v>
      </c>
      <c r="H25" s="201">
        <v>1913.6</v>
      </c>
      <c r="I25" s="202">
        <f t="shared" si="1"/>
        <v>32.310000000000173</v>
      </c>
      <c r="J25" s="201">
        <v>2152.7199999999998</v>
      </c>
      <c r="K25" s="199">
        <v>44091.214583333334</v>
      </c>
      <c r="L25" s="201">
        <v>1944.17</v>
      </c>
      <c r="M25" s="203">
        <f t="shared" si="2"/>
        <v>-1.74</v>
      </c>
      <c r="N25" s="204">
        <f t="shared" si="3"/>
        <v>-0.05</v>
      </c>
      <c r="O25" s="205">
        <f t="shared" si="4"/>
        <v>0</v>
      </c>
      <c r="P25" s="206">
        <f t="shared" si="5"/>
        <v>0</v>
      </c>
      <c r="Q25" s="206">
        <f t="shared" si="6"/>
        <v>-0.05</v>
      </c>
      <c r="R25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5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117490</v>
      </c>
      <c r="T25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117910</v>
      </c>
      <c r="U25" s="208">
        <f ca="1">IF(Tabla33610673489[[#This Row],[Equity]]&lt;Tabla33610673489[[#This Row],[Equity Peak]],(Tabla33610673489[[#This Row],[Equity Peak]]-Tabla33610673489[[#This Row],[Equity]])/Tabla33610673489[[#This Row],[Equity Peak]],"")</f>
        <v>3.5620388431854806E-3</v>
      </c>
      <c r="V25" s="209">
        <f t="shared" si="7"/>
        <v>0</v>
      </c>
      <c r="W25" s="209">
        <f t="shared" si="8"/>
        <v>0</v>
      </c>
      <c r="X25" s="209">
        <f t="shared" si="9"/>
        <v>-0.05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7.0062499999985448</v>
      </c>
      <c r="AE25" s="210">
        <f t="shared" si="16"/>
        <v>0</v>
      </c>
      <c r="AF25" s="210">
        <f t="shared" si="17"/>
        <v>7.0062499999985448</v>
      </c>
      <c r="AG25" s="210">
        <f t="shared" si="18"/>
        <v>0</v>
      </c>
    </row>
    <row r="26" spans="2:33" ht="15" customHeight="1" x14ac:dyDescent="0.3">
      <c r="B26" s="196" t="s">
        <v>19</v>
      </c>
      <c r="C26" s="197" t="s">
        <v>15</v>
      </c>
      <c r="D26" s="198" t="str">
        <f t="shared" si="0"/>
        <v>C</v>
      </c>
      <c r="E26" s="199">
        <v>44071.708333333336</v>
      </c>
      <c r="F26" s="200" t="s">
        <v>88</v>
      </c>
      <c r="G26" s="201">
        <v>1959.53</v>
      </c>
      <c r="H26" s="201">
        <v>1914.17</v>
      </c>
      <c r="I26" s="202">
        <f t="shared" si="1"/>
        <v>45.3599999999999</v>
      </c>
      <c r="J26" s="201">
        <v>2249.84</v>
      </c>
      <c r="K26" s="199">
        <v>44076.631249999999</v>
      </c>
      <c r="L26" s="201">
        <v>1955.79</v>
      </c>
      <c r="M26" s="203">
        <f t="shared" si="2"/>
        <v>-3.74</v>
      </c>
      <c r="N26" s="204">
        <f t="shared" si="3"/>
        <v>-0.08</v>
      </c>
      <c r="O26" s="205">
        <f t="shared" si="4"/>
        <v>0</v>
      </c>
      <c r="P26" s="206">
        <f t="shared" si="5"/>
        <v>0</v>
      </c>
      <c r="Q26" s="206">
        <f t="shared" si="6"/>
        <v>-0.08</v>
      </c>
      <c r="R26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6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117540</v>
      </c>
      <c r="T26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117910</v>
      </c>
      <c r="U26" s="208">
        <f ca="1">IF(Tabla33610673489[[#This Row],[Equity]]&lt;Tabla33610673489[[#This Row],[Equity Peak]],(Tabla33610673489[[#This Row],[Equity Peak]]-Tabla33610673489[[#This Row],[Equity]])/Tabla33610673489[[#This Row],[Equity Peak]],"")</f>
        <v>3.1379865999491136E-3</v>
      </c>
      <c r="V26" s="209">
        <f t="shared" si="7"/>
        <v>0</v>
      </c>
      <c r="W26" s="209">
        <f t="shared" si="8"/>
        <v>0</v>
      </c>
      <c r="X26" s="209">
        <f t="shared" si="9"/>
        <v>-0.08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4.9229166666627862</v>
      </c>
      <c r="AE26" s="210">
        <f t="shared" si="16"/>
        <v>0</v>
      </c>
      <c r="AF26" s="210">
        <f t="shared" si="17"/>
        <v>4.9229166666627862</v>
      </c>
      <c r="AG26" s="210">
        <f t="shared" si="18"/>
        <v>0</v>
      </c>
    </row>
    <row r="27" spans="2:33" ht="15" customHeight="1" x14ac:dyDescent="0.3">
      <c r="B27" s="196" t="s">
        <v>19</v>
      </c>
      <c r="C27" s="197" t="s">
        <v>15</v>
      </c>
      <c r="D27" s="198" t="str">
        <f t="shared" si="0"/>
        <v>C</v>
      </c>
      <c r="E27" s="199">
        <v>44061.041666666664</v>
      </c>
      <c r="F27" s="200" t="s">
        <v>88</v>
      </c>
      <c r="G27" s="201">
        <v>1983.4</v>
      </c>
      <c r="H27" s="201">
        <v>1944.24</v>
      </c>
      <c r="I27" s="202">
        <f t="shared" si="1"/>
        <v>39.160000000000082</v>
      </c>
      <c r="J27" s="201">
        <v>2233.9899999999998</v>
      </c>
      <c r="K27" s="199">
        <v>44062.740972222222</v>
      </c>
      <c r="L27" s="201">
        <v>1971.95</v>
      </c>
      <c r="M27" s="203">
        <f t="shared" si="2"/>
        <v>-11.45</v>
      </c>
      <c r="N27" s="204">
        <f t="shared" si="3"/>
        <v>-0.28999999999999998</v>
      </c>
      <c r="O27" s="205">
        <f t="shared" si="4"/>
        <v>0</v>
      </c>
      <c r="P27" s="206">
        <f t="shared" si="5"/>
        <v>0</v>
      </c>
      <c r="Q27" s="206">
        <f t="shared" si="6"/>
        <v>-0.28999999999999998</v>
      </c>
      <c r="R2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117620</v>
      </c>
      <c r="T2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117910</v>
      </c>
      <c r="U27" s="208">
        <f ca="1">IF(Tabla33610673489[[#This Row],[Equity]]&lt;Tabla33610673489[[#This Row],[Equity Peak]],(Tabla33610673489[[#This Row],[Equity Peak]]-Tabla33610673489[[#This Row],[Equity]])/Tabla33610673489[[#This Row],[Equity Peak]],"")</f>
        <v>2.4595030107709272E-3</v>
      </c>
      <c r="V27" s="209">
        <f t="shared" si="7"/>
        <v>0</v>
      </c>
      <c r="W27" s="209">
        <f t="shared" si="8"/>
        <v>0</v>
      </c>
      <c r="X27" s="209">
        <f t="shared" si="9"/>
        <v>-0.28999999999999998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1.6993055555576575</v>
      </c>
      <c r="AE27" s="210">
        <f t="shared" si="16"/>
        <v>0</v>
      </c>
      <c r="AF27" s="210">
        <f t="shared" si="17"/>
        <v>1.6993055555576575</v>
      </c>
      <c r="AG27" s="210">
        <f t="shared" si="18"/>
        <v>0</v>
      </c>
    </row>
    <row r="28" spans="2:33" ht="15" customHeight="1" x14ac:dyDescent="0.3">
      <c r="B28" s="196" t="s">
        <v>19</v>
      </c>
      <c r="C28" s="197" t="s">
        <v>15</v>
      </c>
      <c r="D28" s="198" t="str">
        <f t="shared" si="0"/>
        <v>C</v>
      </c>
      <c r="E28" s="199">
        <v>43997.875</v>
      </c>
      <c r="F28" s="200" t="s">
        <v>88</v>
      </c>
      <c r="G28" s="201">
        <v>1722.51</v>
      </c>
      <c r="H28" s="201">
        <v>1694.23</v>
      </c>
      <c r="I28" s="202">
        <f t="shared" si="1"/>
        <v>28.279999999999973</v>
      </c>
      <c r="J28" s="201">
        <v>1903.5</v>
      </c>
      <c r="K28" s="199">
        <v>44004.429861111108</v>
      </c>
      <c r="L28" s="201">
        <v>1743.14</v>
      </c>
      <c r="M28" s="203">
        <f t="shared" si="2"/>
        <v>20.63</v>
      </c>
      <c r="N28" s="204">
        <f t="shared" si="3"/>
        <v>0.73</v>
      </c>
      <c r="O28" s="205">
        <f t="shared" si="4"/>
        <v>0</v>
      </c>
      <c r="P28" s="206">
        <f t="shared" si="5"/>
        <v>0.73</v>
      </c>
      <c r="Q28" s="206">
        <f t="shared" si="6"/>
        <v>0</v>
      </c>
      <c r="R2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117910</v>
      </c>
      <c r="T2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117910</v>
      </c>
      <c r="U28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8" s="209">
        <f t="shared" si="7"/>
        <v>0</v>
      </c>
      <c r="W28" s="209">
        <f t="shared" si="8"/>
        <v>0</v>
      </c>
      <c r="X28" s="209">
        <f t="shared" si="9"/>
        <v>0.73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6.554861111108039</v>
      </c>
      <c r="AE28" s="210">
        <f t="shared" si="16"/>
        <v>6.554861111108039</v>
      </c>
      <c r="AF28" s="210">
        <f t="shared" si="17"/>
        <v>0</v>
      </c>
      <c r="AG28" s="210">
        <f t="shared" si="18"/>
        <v>0</v>
      </c>
    </row>
    <row r="29" spans="2:33" ht="15" customHeight="1" x14ac:dyDescent="0.3">
      <c r="B29" s="196" t="s">
        <v>19</v>
      </c>
      <c r="C29" s="197" t="s">
        <v>15</v>
      </c>
      <c r="D29" s="198" t="str">
        <f t="shared" si="0"/>
        <v>C</v>
      </c>
      <c r="E29" s="199">
        <v>43992.208333333336</v>
      </c>
      <c r="F29" s="200" t="s">
        <v>88</v>
      </c>
      <c r="G29" s="201">
        <v>1716.88</v>
      </c>
      <c r="H29" s="201">
        <v>1695.05</v>
      </c>
      <c r="I29" s="202">
        <f t="shared" si="1"/>
        <v>21.830000000000155</v>
      </c>
      <c r="J29" s="201">
        <v>1856.59</v>
      </c>
      <c r="K29" s="199">
        <v>43997.53402777778</v>
      </c>
      <c r="L29" s="201">
        <v>1712.4</v>
      </c>
      <c r="M29" s="203">
        <f t="shared" si="2"/>
        <v>-4.4800000000000004</v>
      </c>
      <c r="N29" s="204">
        <f t="shared" si="3"/>
        <v>-0.21</v>
      </c>
      <c r="O29" s="205">
        <f t="shared" si="4"/>
        <v>0</v>
      </c>
      <c r="P29" s="206">
        <f t="shared" si="5"/>
        <v>0</v>
      </c>
      <c r="Q29" s="206">
        <f t="shared" si="6"/>
        <v>-0.21</v>
      </c>
      <c r="R2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117180</v>
      </c>
      <c r="T2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117640</v>
      </c>
      <c r="U29" s="208">
        <f ca="1">IF(Tabla33610673489[[#This Row],[Equity]]&lt;Tabla33610673489[[#This Row],[Equity Peak]],(Tabla33610673489[[#This Row],[Equity Peak]]-Tabla33610673489[[#This Row],[Equity]])/Tabla33610673489[[#This Row],[Equity Peak]],"")</f>
        <v>3.9102346140768443E-3</v>
      </c>
      <c r="V29" s="209">
        <f t="shared" si="7"/>
        <v>0</v>
      </c>
      <c r="W29" s="209">
        <f t="shared" si="8"/>
        <v>0</v>
      </c>
      <c r="X29" s="209">
        <f t="shared" si="9"/>
        <v>-0.21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5.3256944444437977</v>
      </c>
      <c r="AE29" s="210">
        <f t="shared" si="16"/>
        <v>0</v>
      </c>
      <c r="AF29" s="210">
        <f t="shared" si="17"/>
        <v>5.3256944444437977</v>
      </c>
      <c r="AG29" s="210">
        <f t="shared" si="18"/>
        <v>0</v>
      </c>
    </row>
    <row r="30" spans="2:33" ht="15" customHeight="1" x14ac:dyDescent="0.3">
      <c r="B30" s="196" t="s">
        <v>19</v>
      </c>
      <c r="C30" s="197" t="s">
        <v>15</v>
      </c>
      <c r="D30" s="198" t="str">
        <f t="shared" si="0"/>
        <v>C</v>
      </c>
      <c r="E30" s="199">
        <v>43980.708333333336</v>
      </c>
      <c r="F30" s="200" t="s">
        <v>88</v>
      </c>
      <c r="G30" s="201">
        <v>1728.61</v>
      </c>
      <c r="H30" s="201">
        <v>1705.24</v>
      </c>
      <c r="I30" s="202">
        <f t="shared" si="1"/>
        <v>23.369999999999891</v>
      </c>
      <c r="J30" s="201">
        <v>1878.15</v>
      </c>
      <c r="K30" s="199">
        <v>43984.813194444447</v>
      </c>
      <c r="L30" s="201">
        <v>1722.7</v>
      </c>
      <c r="M30" s="203">
        <f t="shared" si="2"/>
        <v>-5.91</v>
      </c>
      <c r="N30" s="204">
        <f t="shared" si="3"/>
        <v>-0.25</v>
      </c>
      <c r="O30" s="205">
        <f t="shared" si="4"/>
        <v>0</v>
      </c>
      <c r="P30" s="206">
        <f t="shared" si="5"/>
        <v>0</v>
      </c>
      <c r="Q30" s="206">
        <f t="shared" si="6"/>
        <v>-0.25</v>
      </c>
      <c r="R3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117390</v>
      </c>
      <c r="T3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117640</v>
      </c>
      <c r="U30" s="208">
        <f ca="1">IF(Tabla33610673489[[#This Row],[Equity]]&lt;Tabla33610673489[[#This Row],[Equity Peak]],(Tabla33610673489[[#This Row],[Equity Peak]]-Tabla33610673489[[#This Row],[Equity]])/Tabla33610673489[[#This Row],[Equity Peak]],"")</f>
        <v>2.1251275076504591E-3</v>
      </c>
      <c r="V30" s="209">
        <f t="shared" si="7"/>
        <v>0</v>
      </c>
      <c r="W30" s="209">
        <f t="shared" si="8"/>
        <v>0</v>
      </c>
      <c r="X30" s="209">
        <f t="shared" si="9"/>
        <v>-0.25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4.1048611111109494</v>
      </c>
      <c r="AE30" s="210">
        <f t="shared" si="16"/>
        <v>0</v>
      </c>
      <c r="AF30" s="210">
        <f t="shared" si="17"/>
        <v>4.1048611111109494</v>
      </c>
      <c r="AG30" s="210">
        <f t="shared" si="18"/>
        <v>0</v>
      </c>
    </row>
    <row r="31" spans="2:33" ht="15" customHeight="1" x14ac:dyDescent="0.3">
      <c r="B31" s="196" t="s">
        <v>19</v>
      </c>
      <c r="C31" s="197" t="s">
        <v>15</v>
      </c>
      <c r="D31" s="198" t="str">
        <f t="shared" ref="D31:D38" si="19">IF(E31&lt;&gt;"",IF(K31&lt;&gt;"","C","O"),"")</f>
        <v>C</v>
      </c>
      <c r="E31" s="199">
        <v>43963.708333333336</v>
      </c>
      <c r="F31" s="200" t="s">
        <v>88</v>
      </c>
      <c r="G31" s="201">
        <v>1708.77</v>
      </c>
      <c r="H31" s="201">
        <v>1683.45</v>
      </c>
      <c r="I31" s="202">
        <f t="shared" ref="I31:I38" si="20">ABS(G31-H31)</f>
        <v>25.319999999999936</v>
      </c>
      <c r="J31" s="201">
        <v>1870.82</v>
      </c>
      <c r="K31" s="199">
        <v>43969.679166666669</v>
      </c>
      <c r="L31" s="201">
        <v>1744.37</v>
      </c>
      <c r="M31" s="203">
        <f t="shared" ref="M31:M38" si="21">ROUND(IF(C31="L",(L31-G31),(G31-L31)),4)</f>
        <v>35.6</v>
      </c>
      <c r="N31" s="204">
        <f t="shared" ref="N31:N38" si="22">IFERROR(ROUND((M31/I31),2),"")</f>
        <v>1.41</v>
      </c>
      <c r="O31" s="205">
        <f t="shared" ref="O31:O38" si="23">IF(D31="O",IF(N31&lt;0,N31,0),0)</f>
        <v>0</v>
      </c>
      <c r="P31" s="206">
        <f t="shared" ref="P31:P38" si="24">IF(N31&gt;= 0,N31,0)</f>
        <v>1.41</v>
      </c>
      <c r="Q31" s="206">
        <f t="shared" ref="Q31:Q38" si="25">IF(N31&lt;0,N31,0)</f>
        <v>0</v>
      </c>
      <c r="R3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117640</v>
      </c>
      <c r="T3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117640</v>
      </c>
      <c r="U31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31" s="209">
        <f t="shared" ref="V31:V38" si="26">IF(B31="FX",N31,0)</f>
        <v>0</v>
      </c>
      <c r="W31" s="209">
        <f t="shared" ref="W31:W38" si="27">IF(D31="O",IF(V31&lt;0,V31,0),0)</f>
        <v>0</v>
      </c>
      <c r="X31" s="209">
        <f t="shared" ref="X31:X38" si="28">IF(B31="COM",N31,0)</f>
        <v>1.41</v>
      </c>
      <c r="Y31" s="209">
        <f t="shared" ref="Y31:Y38" si="29">IF(D31="O",IF(X31&lt;0,X31,0),0)</f>
        <v>0</v>
      </c>
      <c r="Z31" s="209">
        <f t="shared" ref="Z31:Z38" si="30">IF(B31="IND",N31,0)</f>
        <v>0</v>
      </c>
      <c r="AA31" s="205">
        <f t="shared" ref="AA31:AA38" si="31">IF(D31="O",IF(Z31&lt;0,Z31,0),0)</f>
        <v>0</v>
      </c>
      <c r="AB31" s="209">
        <f t="shared" ref="AB31:AB38" si="32">IF(B31="CRYPTO",N31,0)</f>
        <v>0</v>
      </c>
      <c r="AC31" s="205">
        <f t="shared" ref="AC31:AC38" si="33">IF(D31="O",IF(AB31&lt;0,AB31,0),0)</f>
        <v>0</v>
      </c>
      <c r="AD31" s="210">
        <f t="shared" ref="AD31:AD38" si="34">IF(K31&lt;&gt;"",K31-E31,0)</f>
        <v>5.9708333333328483</v>
      </c>
      <c r="AE31" s="210">
        <f t="shared" ref="AE31:AE38" si="35">IF(N31&gt;0,AD31,0)</f>
        <v>5.9708333333328483</v>
      </c>
      <c r="AF31" s="210">
        <f t="shared" ref="AF31:AF38" si="36">IF(N31&lt;0,AD31,0)</f>
        <v>0</v>
      </c>
      <c r="AG31" s="210">
        <f t="shared" ref="AG31:AG38" si="37">IF(N31=0,AD31,0)</f>
        <v>0</v>
      </c>
    </row>
    <row r="32" spans="2:33" ht="15" customHeight="1" x14ac:dyDescent="0.3">
      <c r="B32" s="196" t="s">
        <v>19</v>
      </c>
      <c r="C32" s="197" t="s">
        <v>15</v>
      </c>
      <c r="D32" s="198" t="str">
        <f t="shared" si="19"/>
        <v>C</v>
      </c>
      <c r="E32" s="199">
        <v>43955.708333333336</v>
      </c>
      <c r="F32" s="200" t="s">
        <v>88</v>
      </c>
      <c r="G32" s="201">
        <v>1703.96</v>
      </c>
      <c r="H32" s="201">
        <v>1669.06</v>
      </c>
      <c r="I32" s="202">
        <f t="shared" si="20"/>
        <v>34.900000000000091</v>
      </c>
      <c r="J32" s="201">
        <v>1927.32</v>
      </c>
      <c r="K32" s="199">
        <v>43962.568055555559</v>
      </c>
      <c r="L32" s="201">
        <v>1695.04</v>
      </c>
      <c r="M32" s="203">
        <f t="shared" si="21"/>
        <v>-8.92</v>
      </c>
      <c r="N32" s="204">
        <f t="shared" si="22"/>
        <v>-0.26</v>
      </c>
      <c r="O32" s="205">
        <f t="shared" si="23"/>
        <v>0</v>
      </c>
      <c r="P32" s="206">
        <f t="shared" si="24"/>
        <v>0</v>
      </c>
      <c r="Q32" s="206">
        <f t="shared" si="25"/>
        <v>-0.26</v>
      </c>
      <c r="R3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116230</v>
      </c>
      <c r="T3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116490</v>
      </c>
      <c r="U32" s="208">
        <f ca="1">IF(Tabla33610673489[[#This Row],[Equity]]&lt;Tabla33610673489[[#This Row],[Equity Peak]],(Tabla33610673489[[#This Row],[Equity Peak]]-Tabla33610673489[[#This Row],[Equity]])/Tabla33610673489[[#This Row],[Equity Peak]],"")</f>
        <v>2.2319512404498239E-3</v>
      </c>
      <c r="V32" s="209">
        <f t="shared" si="26"/>
        <v>0</v>
      </c>
      <c r="W32" s="209">
        <f t="shared" si="27"/>
        <v>0</v>
      </c>
      <c r="X32" s="209">
        <f t="shared" si="28"/>
        <v>-0.26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6.859722222223354</v>
      </c>
      <c r="AE32" s="210">
        <f t="shared" si="35"/>
        <v>0</v>
      </c>
      <c r="AF32" s="210">
        <f t="shared" si="36"/>
        <v>6.859722222223354</v>
      </c>
      <c r="AG32" s="210">
        <f t="shared" si="37"/>
        <v>0</v>
      </c>
    </row>
    <row r="33" spans="2:33" ht="15" customHeight="1" x14ac:dyDescent="0.3">
      <c r="B33" s="196" t="s">
        <v>19</v>
      </c>
      <c r="C33" s="197" t="s">
        <v>15</v>
      </c>
      <c r="D33" s="198" t="str">
        <f t="shared" si="19"/>
        <v>C</v>
      </c>
      <c r="E33" s="199">
        <v>43922.541666666664</v>
      </c>
      <c r="F33" s="200" t="s">
        <v>88</v>
      </c>
      <c r="G33" s="201">
        <v>1594.72</v>
      </c>
      <c r="H33" s="201">
        <v>1559.56</v>
      </c>
      <c r="I33" s="202">
        <f t="shared" si="20"/>
        <v>35.160000000000082</v>
      </c>
      <c r="J33" s="201">
        <v>1819.71</v>
      </c>
      <c r="K33" s="199">
        <v>43938.067361111112</v>
      </c>
      <c r="L33" s="201">
        <v>1703.77</v>
      </c>
      <c r="M33" s="203">
        <f t="shared" si="21"/>
        <v>109.05</v>
      </c>
      <c r="N33" s="204">
        <f t="shared" si="22"/>
        <v>3.1</v>
      </c>
      <c r="O33" s="205">
        <f t="shared" si="23"/>
        <v>0</v>
      </c>
      <c r="P33" s="206">
        <f t="shared" si="24"/>
        <v>3.1</v>
      </c>
      <c r="Q33" s="206">
        <f t="shared" si="25"/>
        <v>0</v>
      </c>
      <c r="R3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116490</v>
      </c>
      <c r="T3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116490</v>
      </c>
      <c r="U33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33" s="209">
        <f t="shared" si="26"/>
        <v>0</v>
      </c>
      <c r="W33" s="209">
        <f t="shared" si="27"/>
        <v>0</v>
      </c>
      <c r="X33" s="209">
        <f t="shared" si="28"/>
        <v>3.1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15.525694444448163</v>
      </c>
      <c r="AE33" s="210">
        <f t="shared" si="35"/>
        <v>15.525694444448163</v>
      </c>
      <c r="AF33" s="210">
        <f t="shared" si="36"/>
        <v>0</v>
      </c>
      <c r="AG33" s="210">
        <f t="shared" si="37"/>
        <v>0</v>
      </c>
    </row>
    <row r="34" spans="2:33" ht="15" customHeight="1" x14ac:dyDescent="0.3">
      <c r="B34" s="196" t="s">
        <v>19</v>
      </c>
      <c r="C34" s="197" t="s">
        <v>15</v>
      </c>
      <c r="D34" s="198" t="str">
        <f t="shared" si="19"/>
        <v>C</v>
      </c>
      <c r="E34" s="199">
        <v>43914.208333333336</v>
      </c>
      <c r="F34" s="200" t="s">
        <v>88</v>
      </c>
      <c r="G34" s="201">
        <v>1571.81</v>
      </c>
      <c r="H34" s="201">
        <v>1514.8</v>
      </c>
      <c r="I34" s="202">
        <f t="shared" si="20"/>
        <v>57.009999999999991</v>
      </c>
      <c r="J34" s="201">
        <v>1936.68</v>
      </c>
      <c r="K34" s="199">
        <v>43921.567361111112</v>
      </c>
      <c r="L34" s="201">
        <v>1596.67</v>
      </c>
      <c r="M34" s="203">
        <f t="shared" si="21"/>
        <v>24.86</v>
      </c>
      <c r="N34" s="204">
        <f t="shared" si="22"/>
        <v>0.44</v>
      </c>
      <c r="O34" s="205">
        <f t="shared" si="23"/>
        <v>0</v>
      </c>
      <c r="P34" s="206">
        <f t="shared" si="24"/>
        <v>0.44</v>
      </c>
      <c r="Q34" s="206">
        <f t="shared" si="25"/>
        <v>0</v>
      </c>
      <c r="R34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4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113390</v>
      </c>
      <c r="T34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113390</v>
      </c>
      <c r="U34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34" s="209">
        <f t="shared" si="26"/>
        <v>0</v>
      </c>
      <c r="W34" s="209">
        <f t="shared" si="27"/>
        <v>0</v>
      </c>
      <c r="X34" s="209">
        <f t="shared" si="28"/>
        <v>0.44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7.359027777776646</v>
      </c>
      <c r="AE34" s="210">
        <f t="shared" si="35"/>
        <v>7.359027777776646</v>
      </c>
      <c r="AF34" s="210">
        <f t="shared" si="36"/>
        <v>0</v>
      </c>
      <c r="AG34" s="210">
        <f t="shared" si="37"/>
        <v>0</v>
      </c>
    </row>
    <row r="35" spans="2:33" ht="15" customHeight="1" x14ac:dyDescent="0.3">
      <c r="B35" s="196" t="s">
        <v>19</v>
      </c>
      <c r="C35" s="197" t="s">
        <v>13</v>
      </c>
      <c r="D35" s="198" t="str">
        <f t="shared" si="19"/>
        <v>C</v>
      </c>
      <c r="E35" s="199">
        <v>43903.875</v>
      </c>
      <c r="F35" s="200" t="s">
        <v>88</v>
      </c>
      <c r="G35" s="201">
        <v>1522.39</v>
      </c>
      <c r="H35" s="201">
        <v>1596.85</v>
      </c>
      <c r="I35" s="202">
        <f t="shared" si="20"/>
        <v>74.459999999999809</v>
      </c>
      <c r="J35" s="201">
        <v>1045.83</v>
      </c>
      <c r="K35" s="199">
        <v>43913.775694444441</v>
      </c>
      <c r="L35" s="201">
        <v>1540.96</v>
      </c>
      <c r="M35" s="203">
        <f t="shared" si="21"/>
        <v>-18.57</v>
      </c>
      <c r="N35" s="204">
        <f t="shared" si="22"/>
        <v>-0.25</v>
      </c>
      <c r="O35" s="205">
        <f t="shared" si="23"/>
        <v>0</v>
      </c>
      <c r="P35" s="206">
        <f t="shared" si="24"/>
        <v>0</v>
      </c>
      <c r="Q35" s="206">
        <f t="shared" si="25"/>
        <v>-0.25</v>
      </c>
      <c r="R35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5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112950</v>
      </c>
      <c r="T35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113200</v>
      </c>
      <c r="U35" s="208">
        <f ca="1">IF(Tabla33610673489[[#This Row],[Equity]]&lt;Tabla33610673489[[#This Row],[Equity Peak]],(Tabla33610673489[[#This Row],[Equity Peak]]-Tabla33610673489[[#This Row],[Equity]])/Tabla33610673489[[#This Row],[Equity Peak]],"")</f>
        <v>2.2084805653710248E-3</v>
      </c>
      <c r="V35" s="209">
        <f t="shared" si="26"/>
        <v>0</v>
      </c>
      <c r="W35" s="209">
        <f t="shared" si="27"/>
        <v>0</v>
      </c>
      <c r="X35" s="209">
        <f t="shared" si="28"/>
        <v>-0.25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9.9006944444408873</v>
      </c>
      <c r="AE35" s="210">
        <f t="shared" si="35"/>
        <v>0</v>
      </c>
      <c r="AF35" s="210">
        <f t="shared" si="36"/>
        <v>9.9006944444408873</v>
      </c>
      <c r="AG35" s="210">
        <f t="shared" si="37"/>
        <v>0</v>
      </c>
    </row>
    <row r="36" spans="2:33" ht="15" customHeight="1" x14ac:dyDescent="0.3">
      <c r="B36" s="196" t="s">
        <v>19</v>
      </c>
      <c r="C36" s="197" t="s">
        <v>15</v>
      </c>
      <c r="D36" s="198" t="str">
        <f t="shared" si="19"/>
        <v>C</v>
      </c>
      <c r="E36" s="199">
        <v>43894.041666666664</v>
      </c>
      <c r="F36" s="200" t="s">
        <v>88</v>
      </c>
      <c r="G36" s="201">
        <v>1639.94</v>
      </c>
      <c r="H36" s="201">
        <v>1588.96</v>
      </c>
      <c r="I36" s="202">
        <f t="shared" si="20"/>
        <v>50.980000000000018</v>
      </c>
      <c r="J36" s="201">
        <v>1966.24</v>
      </c>
      <c r="K36" s="199">
        <v>43896.728472222225</v>
      </c>
      <c r="L36" s="201">
        <v>1660.29</v>
      </c>
      <c r="M36" s="203">
        <f t="shared" si="21"/>
        <v>20.350000000000001</v>
      </c>
      <c r="N36" s="204">
        <f t="shared" si="22"/>
        <v>0.4</v>
      </c>
      <c r="O36" s="205">
        <f t="shared" si="23"/>
        <v>0</v>
      </c>
      <c r="P36" s="206">
        <f t="shared" si="24"/>
        <v>0.4</v>
      </c>
      <c r="Q36" s="206">
        <f t="shared" si="25"/>
        <v>0</v>
      </c>
      <c r="R36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6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113200</v>
      </c>
      <c r="T36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113200</v>
      </c>
      <c r="U36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36" s="209">
        <f t="shared" si="26"/>
        <v>0</v>
      </c>
      <c r="W36" s="209">
        <f t="shared" si="27"/>
        <v>0</v>
      </c>
      <c r="X36" s="209">
        <f t="shared" si="28"/>
        <v>0.4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2.6868055555605679</v>
      </c>
      <c r="AE36" s="210">
        <f t="shared" si="35"/>
        <v>2.6868055555605679</v>
      </c>
      <c r="AF36" s="210">
        <f t="shared" si="36"/>
        <v>0</v>
      </c>
      <c r="AG36" s="210">
        <f t="shared" si="37"/>
        <v>0</v>
      </c>
    </row>
    <row r="37" spans="2:33" ht="15" customHeight="1" x14ac:dyDescent="0.3">
      <c r="B37" s="196" t="s">
        <v>19</v>
      </c>
      <c r="C37" s="197" t="s">
        <v>15</v>
      </c>
      <c r="D37" s="198" t="str">
        <f t="shared" si="19"/>
        <v>C</v>
      </c>
      <c r="E37" s="199">
        <v>43868.708333333336</v>
      </c>
      <c r="F37" s="200" t="s">
        <v>88</v>
      </c>
      <c r="G37" s="201">
        <v>1572.88</v>
      </c>
      <c r="H37" s="201">
        <v>1555.87</v>
      </c>
      <c r="I37" s="202">
        <f t="shared" si="20"/>
        <v>17.010000000000218</v>
      </c>
      <c r="J37" s="201">
        <v>1681.71</v>
      </c>
      <c r="K37" s="199">
        <v>43885.436805555553</v>
      </c>
      <c r="L37" s="201">
        <v>1681.71</v>
      </c>
      <c r="M37" s="203">
        <f t="shared" si="21"/>
        <v>108.83</v>
      </c>
      <c r="N37" s="204">
        <f t="shared" si="22"/>
        <v>6.4</v>
      </c>
      <c r="O37" s="205">
        <f t="shared" si="23"/>
        <v>0</v>
      </c>
      <c r="P37" s="206">
        <f t="shared" si="24"/>
        <v>6.4</v>
      </c>
      <c r="Q37" s="206">
        <f t="shared" si="25"/>
        <v>0</v>
      </c>
      <c r="R3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112800</v>
      </c>
      <c r="T3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112800</v>
      </c>
      <c r="U37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37" s="209">
        <f t="shared" si="26"/>
        <v>0</v>
      </c>
      <c r="W37" s="209">
        <f t="shared" si="27"/>
        <v>0</v>
      </c>
      <c r="X37" s="209">
        <f t="shared" si="28"/>
        <v>6.4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16.728472222217533</v>
      </c>
      <c r="AE37" s="210">
        <f t="shared" si="35"/>
        <v>16.728472222217533</v>
      </c>
      <c r="AF37" s="210">
        <f t="shared" si="36"/>
        <v>0</v>
      </c>
      <c r="AG37" s="210">
        <f t="shared" si="37"/>
        <v>0</v>
      </c>
    </row>
    <row r="38" spans="2:33" ht="15" customHeight="1" x14ac:dyDescent="0.3">
      <c r="B38" s="196" t="s">
        <v>19</v>
      </c>
      <c r="C38" s="197" t="s">
        <v>15</v>
      </c>
      <c r="D38" s="198" t="str">
        <f t="shared" si="19"/>
        <v>C</v>
      </c>
      <c r="E38" s="199">
        <v>43830.208333333336</v>
      </c>
      <c r="F38" s="200" t="s">
        <v>88</v>
      </c>
      <c r="G38" s="201">
        <v>1521.33</v>
      </c>
      <c r="H38" s="201">
        <v>1511.01</v>
      </c>
      <c r="I38" s="202">
        <f t="shared" si="20"/>
        <v>10.319999999999936</v>
      </c>
      <c r="J38" s="201">
        <v>1587.38</v>
      </c>
      <c r="K38" s="199">
        <v>43836.152083333334</v>
      </c>
      <c r="L38" s="201">
        <v>1587.38</v>
      </c>
      <c r="M38" s="203">
        <f t="shared" si="21"/>
        <v>66.05</v>
      </c>
      <c r="N38" s="204">
        <f t="shared" si="22"/>
        <v>6.4</v>
      </c>
      <c r="O38" s="205">
        <f t="shared" si="23"/>
        <v>0</v>
      </c>
      <c r="P38" s="206">
        <f t="shared" si="24"/>
        <v>6.4</v>
      </c>
      <c r="Q38" s="206">
        <f t="shared" si="25"/>
        <v>0</v>
      </c>
      <c r="R3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106400</v>
      </c>
      <c r="T3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106400</v>
      </c>
      <c r="U38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38" s="209">
        <f t="shared" si="26"/>
        <v>0</v>
      </c>
      <c r="W38" s="209">
        <f t="shared" si="27"/>
        <v>0</v>
      </c>
      <c r="X38" s="209">
        <f t="shared" si="28"/>
        <v>6.4</v>
      </c>
      <c r="Y38" s="209">
        <f t="shared" si="29"/>
        <v>0</v>
      </c>
      <c r="Z38" s="209">
        <f t="shared" si="30"/>
        <v>0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5.9437499999985448</v>
      </c>
      <c r="AE38" s="210">
        <f t="shared" si="35"/>
        <v>5.9437499999985448</v>
      </c>
      <c r="AF38" s="210">
        <f t="shared" si="36"/>
        <v>0</v>
      </c>
      <c r="AG38" s="210">
        <f t="shared" si="37"/>
        <v>0</v>
      </c>
    </row>
  </sheetData>
  <sheetProtection algorithmName="SHA-512" hashValue="oQDDNTnnFpFbjcJEUTLO14T1xV1PKgqfYl1kxx2DyHXPUFGvEzXixNivKAEnN7D/IhRMPuF5F2Wv56i1Tn2S9Q==" saltValue="pDu9hXCXYJWW59P51hC9N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419" priority="3" operator="equal">
      <formula>"OK"</formula>
    </cfRule>
    <cfRule type="cellIs" dxfId="418" priority="4" operator="equal">
      <formula>"warning"</formula>
    </cfRule>
  </conditionalFormatting>
  <conditionalFormatting sqref="F13">
    <cfRule type="cellIs" dxfId="417" priority="1" operator="equal">
      <formula>"OK"</formula>
    </cfRule>
    <cfRule type="cellIs" dxfId="416" priority="2" operator="equal">
      <formula>"Error!!"</formula>
    </cfRule>
  </conditionalFormatting>
  <conditionalFormatting sqref="E15:H15 K15:L15">
    <cfRule type="expression" dxfId="415" priority="5">
      <formula>+$D15=#REF!</formula>
    </cfRule>
    <cfRule type="expression" dxfId="414" priority="6">
      <formula>+$D15=#REF!</formula>
    </cfRule>
  </conditionalFormatting>
  <conditionalFormatting sqref="D15 K16:L16 D16:H38 J17:L38">
    <cfRule type="expression" dxfId="413" priority="7">
      <formula>+$D15=$AG$8</formula>
    </cfRule>
    <cfRule type="expression" dxfId="41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54B0218A-F85D-4B3B-9CD0-8F440FC3B6FB}">
      <formula1>$AE$4:$AE$6</formula1>
    </dataValidation>
    <dataValidation type="list" allowBlank="1" showInputMessage="1" showErrorMessage="1" promptTitle="Trade Direction" prompt="Select from List" sqref="C15:C16" xr:uid="{77589013-8755-4E62-9989-E01B400878BF}">
      <formula1>$AG$4:$AG$5</formula1>
    </dataValidation>
    <dataValidation type="list" allowBlank="1" showInputMessage="1" showErrorMessage="1" promptTitle="Instrument Type" prompt="Select Type from List_x000a_" sqref="B17:B38" xr:uid="{69E8FCA0-1D6A-48EB-A5C3-B8171E1B4D70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9173-A560-4B25-A2DB-5085B18A7BF3}">
  <sheetPr codeName="Hoja27">
    <pageSetUpPr fitToPage="1"/>
  </sheetPr>
  <dimension ref="A1:AX36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COUNTA(Tabla336106734821[Inst])</f>
        <v>20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18.400000000000002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18.400000000000002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COUNTIF(Tabla336106734821[No. of Rs],"&gt;0")</f>
        <v>5</v>
      </c>
      <c r="G7" s="24">
        <f>IFERROR((F7/$F$6),"")</f>
        <v>0.25</v>
      </c>
      <c r="H7" s="78">
        <f>IFERROR((+P13/F7),"")</f>
        <v>5.2859999999999996</v>
      </c>
      <c r="I7" s="227">
        <f>H7/H9</f>
        <v>9.8742216687422157</v>
      </c>
      <c r="J7" s="227">
        <f>AVERAGE(Tabla336106734821[No. of Rs])</f>
        <v>0.92000000000000015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1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COUNTIF(Tabla336106734821[No.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OFFSET(Tabla336106734821[[#Headers],[Equity]],1,0)</f>
        <v>118400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COUNTIF(Tabla336106734821[No. of Rs],"&lt;0")</f>
        <v>15</v>
      </c>
      <c r="G9" s="32">
        <f>IFERROR((F9/$F$6),"")</f>
        <v>0.75</v>
      </c>
      <c r="H9" s="79">
        <f>IFERROR((-Q13/F9),"")</f>
        <v>0.53533333333333333</v>
      </c>
      <c r="I9" s="229"/>
      <c r="J9" s="229"/>
      <c r="K9" s="149"/>
      <c r="L9" s="230" t="s">
        <v>106</v>
      </c>
      <c r="M9" s="231"/>
      <c r="N9" s="125">
        <f ca="1">MAX(Tabla336106734821[Drawdown])</f>
        <v>2.5441151276340584E-2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OFFSET(Tabla336106734821[[#Headers],[Drawdown]],1,0)</f>
        <v>2.1406727828746176E-2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COUNTIF(Tabla336106734821[Heat],"&lt;0")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IF(COUNTIFS(Tabla336106734821[O/C],"O")&lt;1,"None",COUNTIFS(Tabla336106734821[O/C],"O"))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SUM(Tabla336106734821[No. of Rs])</f>
        <v>18.400000000000002</v>
      </c>
      <c r="O13" s="42">
        <f>SUM(Tabla336106734821[Heat])</f>
        <v>0</v>
      </c>
      <c r="P13" s="43">
        <f>SUM(Tabla336106734821[[ TR WIN]])</f>
        <v>26.43</v>
      </c>
      <c r="Q13" s="43">
        <f>SUM(Tabla336106734821[[ TR LOSS]])</f>
        <v>-8.0299999999999994</v>
      </c>
      <c r="R13" s="114"/>
      <c r="S13" s="115"/>
      <c r="T13" s="115"/>
      <c r="U13" s="121"/>
      <c r="V13" s="44">
        <f>SUM(Tabla336106734821[Currency])</f>
        <v>0</v>
      </c>
      <c r="W13" s="44">
        <f>SUM(Tabla336106734821[Heat3])</f>
        <v>0</v>
      </c>
      <c r="X13" s="44">
        <f>SUM(Tabla336106734821[Commodities])</f>
        <v>18.400000000000002</v>
      </c>
      <c r="Y13" s="44">
        <f>SUM(Tabla336106734821[Heat4])</f>
        <v>0</v>
      </c>
      <c r="Z13" s="44">
        <f>SUM(Tabla336106734821[Index])</f>
        <v>0</v>
      </c>
      <c r="AA13" s="44">
        <f>SUM(Tabla336106734821[Heat5])</f>
        <v>0</v>
      </c>
      <c r="AB13" s="44">
        <f>SUM(Tabla336106734821[Cryptocurrency])</f>
        <v>0</v>
      </c>
      <c r="AC13" s="44">
        <f>SUM(Tabla336106734821[Heat6])</f>
        <v>0</v>
      </c>
      <c r="AD13" s="75">
        <f>AVERAGEIF(Tabla336106734821[Length of 
Trade],"&lt;&gt;0")</f>
        <v>10.529097222222116</v>
      </c>
      <c r="AE13" s="75">
        <f>AVERAGEIF(Tabla336106734821[Win],"&lt;&gt;0")</f>
        <v>33.117083333332268</v>
      </c>
      <c r="AF13" s="75">
        <f>AVERAGEIF(Tabla336106734821[Loss],"&lt;&gt;0")</f>
        <v>2.9997685185187342</v>
      </c>
      <c r="AG13" s="76" t="e">
        <f>AVERAGEIF(Tabla336106734821[Breakeven],"&lt;&gt;0")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19</v>
      </c>
      <c r="C17" s="197" t="s">
        <v>15</v>
      </c>
      <c r="D17" s="198" t="str">
        <f t="shared" ref="D17:D30" si="0">IF(E17&lt;&gt;"",IF(K17&lt;&gt;"","C","O"),"")</f>
        <v>C</v>
      </c>
      <c r="E17" s="199">
        <v>44146.125</v>
      </c>
      <c r="F17" s="200" t="s">
        <v>108</v>
      </c>
      <c r="G17" s="201">
        <v>41.726999999999997</v>
      </c>
      <c r="H17" s="201">
        <v>40.243000000000002</v>
      </c>
      <c r="I17" s="202">
        <f t="shared" ref="I17:I30" si="1">ABS(G17-H17)</f>
        <v>1.4839999999999947</v>
      </c>
      <c r="J17" s="201">
        <v>59.536999999999999</v>
      </c>
      <c r="K17" s="199">
        <v>44146.89166666667</v>
      </c>
      <c r="L17" s="201">
        <v>41.698999999999998</v>
      </c>
      <c r="M17" s="203">
        <f t="shared" ref="M17:M30" si="2">ROUND(IF(C17="L",(L17-G17),(G17-L17)),4)</f>
        <v>-2.8000000000000001E-2</v>
      </c>
      <c r="N17" s="204">
        <f t="shared" ref="N17:N30" si="3">IFERROR(ROUND((M17/I17),2),"")</f>
        <v>-0.02</v>
      </c>
      <c r="O17" s="205">
        <f t="shared" ref="O17:O30" si="4">IF(D17="O",IF(N17&lt;0,N17,0),0)</f>
        <v>0</v>
      </c>
      <c r="P17" s="206">
        <f t="shared" ref="P17:P30" si="5">IF(N17&gt;= 0,N17,0)</f>
        <v>0</v>
      </c>
      <c r="Q17" s="206">
        <f t="shared" ref="Q17:Q30" si="6">IF(N17&lt;0,N17,0)</f>
        <v>-0.02</v>
      </c>
      <c r="R17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17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118400</v>
      </c>
      <c r="T17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120990</v>
      </c>
      <c r="U17" s="208">
        <f ca="1">IF(Tabla336106734821[[#This Row],[Equity]]&lt;Tabla336106734821[[#This Row],[Equity Peak]],(Tabla336106734821[[#This Row],[Equity Peak]]-Tabla336106734821[[#This Row],[Equity]])/Tabla336106734821[[#This Row],[Equity Peak]],"")</f>
        <v>2.1406727828746176E-2</v>
      </c>
      <c r="V17" s="209">
        <f t="shared" ref="V17:V30" si="7">IF(B17="FX",N17,0)</f>
        <v>0</v>
      </c>
      <c r="W17" s="209">
        <f t="shared" ref="W17:W30" si="8">IF(D17="O",IF(V17&lt;0,V17,0),0)</f>
        <v>0</v>
      </c>
      <c r="X17" s="209">
        <f t="shared" ref="X17:X30" si="9">IF(B17="COM",N17,0)</f>
        <v>-0.02</v>
      </c>
      <c r="Y17" s="209">
        <f t="shared" ref="Y17:Y30" si="10">IF(D17="O",IF(X17&lt;0,X17,0),0)</f>
        <v>0</v>
      </c>
      <c r="Z17" s="209">
        <f t="shared" ref="Z17:Z30" si="11">IF(B17="IND",N17,0)</f>
        <v>0</v>
      </c>
      <c r="AA17" s="205">
        <f t="shared" ref="AA17:AA30" si="12">IF(D17="O",IF(Z17&lt;0,Z17,0),0)</f>
        <v>0</v>
      </c>
      <c r="AB17" s="209">
        <f t="shared" ref="AB17:AB30" si="13">IF(B17="CRYPTO",N17,0)</f>
        <v>0</v>
      </c>
      <c r="AC17" s="205">
        <f t="shared" ref="AC17:AC30" si="14">IF(D17="O",IF(AB17&lt;0,AB17,0),0)</f>
        <v>0</v>
      </c>
      <c r="AD17" s="210">
        <f t="shared" ref="AD17:AD30" si="15">IF(K17&lt;&gt;"",K17-E17,0)</f>
        <v>0.76666666667006211</v>
      </c>
      <c r="AE17" s="210">
        <f t="shared" ref="AE17:AE30" si="16">IF(N17&gt;0,AD17,0)</f>
        <v>0</v>
      </c>
      <c r="AF17" s="210">
        <f t="shared" ref="AF17:AF30" si="17">IF(N17&lt;0,AD17,0)</f>
        <v>0.76666666667006211</v>
      </c>
      <c r="AG17" s="210">
        <f t="shared" ref="AG17:AG30" si="18">IF(N17=0,AD17,0)</f>
        <v>0</v>
      </c>
    </row>
    <row r="18" spans="2:33" ht="15" customHeight="1" x14ac:dyDescent="0.3">
      <c r="B18" s="196" t="s">
        <v>19</v>
      </c>
      <c r="C18" s="197" t="s">
        <v>15</v>
      </c>
      <c r="D18" s="198" t="str">
        <f t="shared" si="0"/>
        <v>C</v>
      </c>
      <c r="E18" s="199">
        <v>44144.625</v>
      </c>
      <c r="F18" s="200" t="s">
        <v>108</v>
      </c>
      <c r="G18" s="201">
        <v>40.911999999999999</v>
      </c>
      <c r="H18" s="201">
        <v>39.424999999999997</v>
      </c>
      <c r="I18" s="202">
        <f t="shared" si="1"/>
        <v>1.4870000000000019</v>
      </c>
      <c r="J18" s="201">
        <v>58.75</v>
      </c>
      <c r="K18" s="199">
        <v>44144.984027777777</v>
      </c>
      <c r="L18" s="201">
        <v>39.993000000000002</v>
      </c>
      <c r="M18" s="203">
        <f t="shared" si="2"/>
        <v>-0.91900000000000004</v>
      </c>
      <c r="N18" s="204">
        <f t="shared" si="3"/>
        <v>-0.62</v>
      </c>
      <c r="O18" s="205">
        <f t="shared" si="4"/>
        <v>0</v>
      </c>
      <c r="P18" s="206">
        <f t="shared" si="5"/>
        <v>0</v>
      </c>
      <c r="Q18" s="206">
        <f t="shared" si="6"/>
        <v>-0.62</v>
      </c>
      <c r="R18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18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118420</v>
      </c>
      <c r="T18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120990</v>
      </c>
      <c r="U18" s="208">
        <f ca="1">IF(Tabla336106734821[[#This Row],[Equity]]&lt;Tabla336106734821[[#This Row],[Equity Peak]],(Tabla336106734821[[#This Row],[Equity Peak]]-Tabla336106734821[[#This Row],[Equity]])/Tabla336106734821[[#This Row],[Equity Peak]],"")</f>
        <v>2.1241424911149682E-2</v>
      </c>
      <c r="V18" s="209">
        <f t="shared" si="7"/>
        <v>0</v>
      </c>
      <c r="W18" s="209">
        <f t="shared" si="8"/>
        <v>0</v>
      </c>
      <c r="X18" s="209">
        <f t="shared" si="9"/>
        <v>-0.62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0.35902777777664596</v>
      </c>
      <c r="AE18" s="210">
        <f t="shared" si="16"/>
        <v>0</v>
      </c>
      <c r="AF18" s="210">
        <f t="shared" si="17"/>
        <v>0.35902777777664596</v>
      </c>
      <c r="AG18" s="210">
        <f t="shared" si="18"/>
        <v>0</v>
      </c>
    </row>
    <row r="19" spans="2:33" ht="15" customHeight="1" x14ac:dyDescent="0.3">
      <c r="B19" s="196" t="s">
        <v>19</v>
      </c>
      <c r="C19" s="197" t="s">
        <v>13</v>
      </c>
      <c r="D19" s="198" t="str">
        <f t="shared" si="0"/>
        <v>C</v>
      </c>
      <c r="E19" s="199">
        <v>44141.291666666664</v>
      </c>
      <c r="F19" s="200" t="s">
        <v>108</v>
      </c>
      <c r="G19" s="201">
        <v>37.887</v>
      </c>
      <c r="H19" s="201">
        <v>39.354999999999997</v>
      </c>
      <c r="I19" s="202">
        <f t="shared" si="1"/>
        <v>1.4679999999999964</v>
      </c>
      <c r="J19" s="201">
        <v>20.27</v>
      </c>
      <c r="K19" s="199">
        <v>44144.130555555559</v>
      </c>
      <c r="L19" s="201">
        <v>38.354999999999997</v>
      </c>
      <c r="M19" s="203">
        <f t="shared" si="2"/>
        <v>-0.46800000000000003</v>
      </c>
      <c r="N19" s="204">
        <f t="shared" si="3"/>
        <v>-0.32</v>
      </c>
      <c r="O19" s="205">
        <f t="shared" si="4"/>
        <v>0</v>
      </c>
      <c r="P19" s="206">
        <f t="shared" si="5"/>
        <v>0</v>
      </c>
      <c r="Q19" s="206">
        <f t="shared" si="6"/>
        <v>-0.32</v>
      </c>
      <c r="R19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19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119040</v>
      </c>
      <c r="T19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120990</v>
      </c>
      <c r="U19" s="208">
        <f ca="1">IF(Tabla336106734821[[#This Row],[Equity]]&lt;Tabla336106734821[[#This Row],[Equity Peak]],(Tabla336106734821[[#This Row],[Equity Peak]]-Tabla336106734821[[#This Row],[Equity]])/Tabla336106734821[[#This Row],[Equity Peak]],"")</f>
        <v>1.611703446565832E-2</v>
      </c>
      <c r="V19" s="209">
        <f t="shared" si="7"/>
        <v>0</v>
      </c>
      <c r="W19" s="209">
        <f t="shared" si="8"/>
        <v>0</v>
      </c>
      <c r="X19" s="209">
        <f t="shared" si="9"/>
        <v>-0.32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2.8388888888948713</v>
      </c>
      <c r="AE19" s="210">
        <f t="shared" si="16"/>
        <v>0</v>
      </c>
      <c r="AF19" s="210">
        <f t="shared" si="17"/>
        <v>2.8388888888948713</v>
      </c>
      <c r="AG19" s="210">
        <f t="shared" si="18"/>
        <v>0</v>
      </c>
    </row>
    <row r="20" spans="2:33" ht="15" customHeight="1" x14ac:dyDescent="0.3">
      <c r="B20" s="196" t="s">
        <v>19</v>
      </c>
      <c r="C20" s="197" t="s">
        <v>15</v>
      </c>
      <c r="D20" s="198" t="str">
        <f t="shared" si="0"/>
        <v>C</v>
      </c>
      <c r="E20" s="199">
        <v>44141.125</v>
      </c>
      <c r="F20" s="200" t="s">
        <v>108</v>
      </c>
      <c r="G20" s="201">
        <v>38.518999999999998</v>
      </c>
      <c r="H20" s="201">
        <v>37.052999999999997</v>
      </c>
      <c r="I20" s="202">
        <f t="shared" si="1"/>
        <v>1.4660000000000011</v>
      </c>
      <c r="J20" s="201">
        <v>56.106999999999999</v>
      </c>
      <c r="K20" s="199">
        <v>44141.291666666664</v>
      </c>
      <c r="L20" s="201">
        <v>37.887</v>
      </c>
      <c r="M20" s="203">
        <f t="shared" si="2"/>
        <v>-0.63200000000000001</v>
      </c>
      <c r="N20" s="204">
        <f t="shared" si="3"/>
        <v>-0.43</v>
      </c>
      <c r="O20" s="205">
        <f t="shared" si="4"/>
        <v>0</v>
      </c>
      <c r="P20" s="206">
        <f t="shared" si="5"/>
        <v>0</v>
      </c>
      <c r="Q20" s="206">
        <f t="shared" si="6"/>
        <v>-0.43</v>
      </c>
      <c r="R20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0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119360</v>
      </c>
      <c r="T20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120990</v>
      </c>
      <c r="U20" s="208">
        <f ca="1">IF(Tabla336106734821[[#This Row],[Equity]]&lt;Tabla336106734821[[#This Row],[Equity Peak]],(Tabla336106734821[[#This Row],[Equity Peak]]-Tabla336106734821[[#This Row],[Equity]])/Tabla336106734821[[#This Row],[Equity Peak]],"")</f>
        <v>1.347218778411439E-2</v>
      </c>
      <c r="V20" s="209">
        <f t="shared" si="7"/>
        <v>0</v>
      </c>
      <c r="W20" s="209">
        <f t="shared" si="8"/>
        <v>0</v>
      </c>
      <c r="X20" s="209">
        <f t="shared" si="9"/>
        <v>-0.43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0.16666666666424135</v>
      </c>
      <c r="AE20" s="210">
        <f t="shared" si="16"/>
        <v>0</v>
      </c>
      <c r="AF20" s="210">
        <f t="shared" si="17"/>
        <v>0.16666666666424135</v>
      </c>
      <c r="AG20" s="210">
        <f t="shared" si="18"/>
        <v>0</v>
      </c>
    </row>
    <row r="21" spans="2:33" ht="15" customHeight="1" x14ac:dyDescent="0.3">
      <c r="B21" s="196" t="s">
        <v>19</v>
      </c>
      <c r="C21" s="197" t="s">
        <v>13</v>
      </c>
      <c r="D21" s="198" t="str">
        <f t="shared" si="0"/>
        <v>C</v>
      </c>
      <c r="E21" s="199">
        <v>44127.958333333336</v>
      </c>
      <c r="F21" s="200" t="s">
        <v>108</v>
      </c>
      <c r="G21" s="201">
        <v>39.777999999999999</v>
      </c>
      <c r="H21" s="201">
        <v>41.125999999999998</v>
      </c>
      <c r="I21" s="202">
        <f t="shared" si="1"/>
        <v>1.347999999999999</v>
      </c>
      <c r="J21" s="201">
        <v>23.606000000000002</v>
      </c>
      <c r="K21" s="199">
        <v>44138.48541666667</v>
      </c>
      <c r="L21" s="201">
        <v>38.328000000000003</v>
      </c>
      <c r="M21" s="203">
        <f t="shared" si="2"/>
        <v>1.45</v>
      </c>
      <c r="N21" s="204">
        <f t="shared" si="3"/>
        <v>1.08</v>
      </c>
      <c r="O21" s="205">
        <f t="shared" si="4"/>
        <v>0</v>
      </c>
      <c r="P21" s="206">
        <f t="shared" si="5"/>
        <v>1.08</v>
      </c>
      <c r="Q21" s="206">
        <f t="shared" si="6"/>
        <v>0</v>
      </c>
      <c r="R21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1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119790</v>
      </c>
      <c r="T21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120990</v>
      </c>
      <c r="U21" s="208">
        <f ca="1">IF(Tabla336106734821[[#This Row],[Equity]]&lt;Tabla336106734821[[#This Row],[Equity Peak]],(Tabla336106734821[[#This Row],[Equity Peak]]-Tabla336106734821[[#This Row],[Equity]])/Tabla336106734821[[#This Row],[Equity Peak]],"")</f>
        <v>9.9181750557897352E-3</v>
      </c>
      <c r="V21" s="209">
        <f t="shared" si="7"/>
        <v>0</v>
      </c>
      <c r="W21" s="209">
        <f t="shared" si="8"/>
        <v>0</v>
      </c>
      <c r="X21" s="209">
        <f t="shared" si="9"/>
        <v>1.08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10.527083333334303</v>
      </c>
      <c r="AE21" s="210">
        <f t="shared" si="16"/>
        <v>10.527083333334303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19</v>
      </c>
      <c r="C22" s="197" t="s">
        <v>15</v>
      </c>
      <c r="D22" s="198" t="str">
        <f t="shared" si="0"/>
        <v>C</v>
      </c>
      <c r="E22" s="199">
        <v>44111.291666666664</v>
      </c>
      <c r="F22" s="200" t="s">
        <v>108</v>
      </c>
      <c r="G22" s="201">
        <v>40.006</v>
      </c>
      <c r="H22" s="201">
        <v>38.738</v>
      </c>
      <c r="I22" s="202">
        <f t="shared" si="1"/>
        <v>1.2680000000000007</v>
      </c>
      <c r="J22" s="201">
        <v>55.223999999999997</v>
      </c>
      <c r="K22" s="199">
        <v>44111.720833333333</v>
      </c>
      <c r="L22" s="201">
        <v>39.508000000000003</v>
      </c>
      <c r="M22" s="203">
        <f t="shared" si="2"/>
        <v>-0.498</v>
      </c>
      <c r="N22" s="204">
        <f t="shared" si="3"/>
        <v>-0.39</v>
      </c>
      <c r="O22" s="205">
        <f t="shared" si="4"/>
        <v>0</v>
      </c>
      <c r="P22" s="206">
        <f t="shared" si="5"/>
        <v>0</v>
      </c>
      <c r="Q22" s="206">
        <f t="shared" si="6"/>
        <v>-0.39</v>
      </c>
      <c r="R22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2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118710</v>
      </c>
      <c r="T22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120990</v>
      </c>
      <c r="U22" s="208">
        <f ca="1">IF(Tabla336106734821[[#This Row],[Equity]]&lt;Tabla336106734821[[#This Row],[Equity Peak]],(Tabla336106734821[[#This Row],[Equity Peak]]-Tabla336106734821[[#This Row],[Equity]])/Tabla336106734821[[#This Row],[Equity Peak]],"")</f>
        <v>1.8844532606000497E-2</v>
      </c>
      <c r="V22" s="209">
        <f t="shared" si="7"/>
        <v>0</v>
      </c>
      <c r="W22" s="209">
        <f t="shared" si="8"/>
        <v>0</v>
      </c>
      <c r="X22" s="209">
        <f t="shared" si="9"/>
        <v>-0.39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0.42916666666860692</v>
      </c>
      <c r="AE22" s="210">
        <f t="shared" si="16"/>
        <v>0</v>
      </c>
      <c r="AF22" s="210">
        <f t="shared" si="17"/>
        <v>0.42916666666860692</v>
      </c>
      <c r="AG22" s="210">
        <f t="shared" si="18"/>
        <v>0</v>
      </c>
    </row>
    <row r="23" spans="2:33" ht="15" customHeight="1" x14ac:dyDescent="0.3">
      <c r="B23" s="196" t="s">
        <v>19</v>
      </c>
      <c r="C23" s="197" t="s">
        <v>13</v>
      </c>
      <c r="D23" s="198" t="str">
        <f t="shared" si="0"/>
        <v>C</v>
      </c>
      <c r="E23" s="199">
        <v>44104.125</v>
      </c>
      <c r="F23" s="200" t="s">
        <v>108</v>
      </c>
      <c r="G23" s="201">
        <v>39.180999999999997</v>
      </c>
      <c r="H23" s="201">
        <v>40.424999999999997</v>
      </c>
      <c r="I23" s="202">
        <f t="shared" si="1"/>
        <v>1.2439999999999998</v>
      </c>
      <c r="J23" s="201">
        <v>24.251999999999999</v>
      </c>
      <c r="K23" s="199">
        <v>44104.73541666667</v>
      </c>
      <c r="L23" s="201">
        <v>39.741</v>
      </c>
      <c r="M23" s="203">
        <f t="shared" si="2"/>
        <v>-0.56000000000000005</v>
      </c>
      <c r="N23" s="204">
        <f t="shared" si="3"/>
        <v>-0.45</v>
      </c>
      <c r="O23" s="205">
        <f t="shared" si="4"/>
        <v>0</v>
      </c>
      <c r="P23" s="206">
        <f t="shared" si="5"/>
        <v>0</v>
      </c>
      <c r="Q23" s="206">
        <f t="shared" si="6"/>
        <v>-0.45</v>
      </c>
      <c r="R23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3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119100</v>
      </c>
      <c r="T23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120990</v>
      </c>
      <c r="U23" s="208">
        <f ca="1">IF(Tabla336106734821[[#This Row],[Equity]]&lt;Tabla336106734821[[#This Row],[Equity Peak]],(Tabla336106734821[[#This Row],[Equity Peak]]-Tabla336106734821[[#This Row],[Equity]])/Tabla336106734821[[#This Row],[Equity Peak]],"")</f>
        <v>1.5621125712868833E-2</v>
      </c>
      <c r="V23" s="209">
        <f t="shared" si="7"/>
        <v>0</v>
      </c>
      <c r="W23" s="209">
        <f t="shared" si="8"/>
        <v>0</v>
      </c>
      <c r="X23" s="209">
        <f t="shared" si="9"/>
        <v>-0.45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0.61041666667006211</v>
      </c>
      <c r="AE23" s="210">
        <f t="shared" si="16"/>
        <v>0</v>
      </c>
      <c r="AF23" s="210">
        <f t="shared" si="17"/>
        <v>0.61041666667006211</v>
      </c>
      <c r="AG23" s="210">
        <f t="shared" si="18"/>
        <v>0</v>
      </c>
    </row>
    <row r="24" spans="2:33" ht="15" customHeight="1" x14ac:dyDescent="0.3">
      <c r="B24" s="196" t="s">
        <v>19</v>
      </c>
      <c r="C24" s="197" t="s">
        <v>15</v>
      </c>
      <c r="D24" s="198" t="str">
        <f t="shared" si="0"/>
        <v>C</v>
      </c>
      <c r="E24" s="199">
        <v>44098.958333333336</v>
      </c>
      <c r="F24" s="200" t="s">
        <v>108</v>
      </c>
      <c r="G24" s="201">
        <v>40.253999999999998</v>
      </c>
      <c r="H24" s="201">
        <v>39.017000000000003</v>
      </c>
      <c r="I24" s="202">
        <f t="shared" si="1"/>
        <v>1.2369999999999948</v>
      </c>
      <c r="J24" s="201">
        <v>55.103000000000002</v>
      </c>
      <c r="K24" s="199">
        <v>44099.714583333334</v>
      </c>
      <c r="L24" s="201">
        <v>39.770000000000003</v>
      </c>
      <c r="M24" s="203">
        <f t="shared" si="2"/>
        <v>-0.48399999999999999</v>
      </c>
      <c r="N24" s="204">
        <f t="shared" si="3"/>
        <v>-0.39</v>
      </c>
      <c r="O24" s="205">
        <f t="shared" si="4"/>
        <v>0</v>
      </c>
      <c r="P24" s="206">
        <f t="shared" si="5"/>
        <v>0</v>
      </c>
      <c r="Q24" s="206">
        <f t="shared" si="6"/>
        <v>-0.39</v>
      </c>
      <c r="R24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4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119550</v>
      </c>
      <c r="T24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120990</v>
      </c>
      <c r="U24" s="208">
        <f ca="1">IF(Tabla336106734821[[#This Row],[Equity]]&lt;Tabla336106734821[[#This Row],[Equity Peak]],(Tabla336106734821[[#This Row],[Equity Peak]]-Tabla336106734821[[#This Row],[Equity]])/Tabla336106734821[[#This Row],[Equity Peak]],"")</f>
        <v>1.1901810066947682E-2</v>
      </c>
      <c r="V24" s="209">
        <f t="shared" si="7"/>
        <v>0</v>
      </c>
      <c r="W24" s="209">
        <f t="shared" si="8"/>
        <v>0</v>
      </c>
      <c r="X24" s="209">
        <f t="shared" si="9"/>
        <v>-0.39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0.75624999999854481</v>
      </c>
      <c r="AE24" s="210">
        <f t="shared" si="16"/>
        <v>0</v>
      </c>
      <c r="AF24" s="210">
        <f t="shared" si="17"/>
        <v>0.75624999999854481</v>
      </c>
      <c r="AG24" s="210">
        <f t="shared" si="18"/>
        <v>0</v>
      </c>
    </row>
    <row r="25" spans="2:33" ht="15" customHeight="1" x14ac:dyDescent="0.3">
      <c r="B25" s="196" t="s">
        <v>19</v>
      </c>
      <c r="C25" s="197" t="s">
        <v>13</v>
      </c>
      <c r="D25" s="198" t="str">
        <f t="shared" si="0"/>
        <v>C</v>
      </c>
      <c r="E25" s="199">
        <v>44097.958333333336</v>
      </c>
      <c r="F25" s="200" t="s">
        <v>108</v>
      </c>
      <c r="G25" s="201">
        <v>39.564999999999998</v>
      </c>
      <c r="H25" s="201">
        <v>40.802999999999997</v>
      </c>
      <c r="I25" s="202">
        <f t="shared" si="1"/>
        <v>1.2379999999999995</v>
      </c>
      <c r="J25" s="201">
        <v>24.713000000000001</v>
      </c>
      <c r="K25" s="199">
        <v>44098.714583333334</v>
      </c>
      <c r="L25" s="201">
        <v>40.164999999999999</v>
      </c>
      <c r="M25" s="203">
        <f t="shared" si="2"/>
        <v>-0.6</v>
      </c>
      <c r="N25" s="204">
        <f t="shared" si="3"/>
        <v>-0.48</v>
      </c>
      <c r="O25" s="205">
        <f t="shared" si="4"/>
        <v>0</v>
      </c>
      <c r="P25" s="206">
        <f t="shared" si="5"/>
        <v>0</v>
      </c>
      <c r="Q25" s="206">
        <f t="shared" si="6"/>
        <v>-0.48</v>
      </c>
      <c r="R25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5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119940</v>
      </c>
      <c r="T25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120990</v>
      </c>
      <c r="U25" s="208">
        <f ca="1">IF(Tabla336106734821[[#This Row],[Equity]]&lt;Tabla336106734821[[#This Row],[Equity Peak]],(Tabla336106734821[[#This Row],[Equity Peak]]-Tabla336106734821[[#This Row],[Equity]])/Tabla336106734821[[#This Row],[Equity Peak]],"")</f>
        <v>8.6784031738160183E-3</v>
      </c>
      <c r="V25" s="209">
        <f t="shared" si="7"/>
        <v>0</v>
      </c>
      <c r="W25" s="209">
        <f t="shared" si="8"/>
        <v>0</v>
      </c>
      <c r="X25" s="209">
        <f t="shared" si="9"/>
        <v>-0.48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0.75624999999854481</v>
      </c>
      <c r="AE25" s="210">
        <f t="shared" si="16"/>
        <v>0</v>
      </c>
      <c r="AF25" s="210">
        <f t="shared" si="17"/>
        <v>0.75624999999854481</v>
      </c>
      <c r="AG25" s="210">
        <f t="shared" si="18"/>
        <v>0</v>
      </c>
    </row>
    <row r="26" spans="2:33" ht="15" customHeight="1" x14ac:dyDescent="0.3">
      <c r="B26" s="196" t="s">
        <v>19</v>
      </c>
      <c r="C26" s="197" t="s">
        <v>15</v>
      </c>
      <c r="D26" s="198" t="str">
        <f t="shared" si="0"/>
        <v>C</v>
      </c>
      <c r="E26" s="199">
        <v>44091.958333333336</v>
      </c>
      <c r="F26" s="200" t="s">
        <v>108</v>
      </c>
      <c r="G26" s="201">
        <v>41.277999999999999</v>
      </c>
      <c r="H26" s="201">
        <v>40.073999999999998</v>
      </c>
      <c r="I26" s="202">
        <f t="shared" si="1"/>
        <v>1.2040000000000006</v>
      </c>
      <c r="J26" s="201">
        <v>55.73</v>
      </c>
      <c r="K26" s="199">
        <v>44092.631249999999</v>
      </c>
      <c r="L26" s="201">
        <v>40.597000000000001</v>
      </c>
      <c r="M26" s="203">
        <f t="shared" si="2"/>
        <v>-0.68100000000000005</v>
      </c>
      <c r="N26" s="204">
        <f t="shared" si="3"/>
        <v>-0.56999999999999995</v>
      </c>
      <c r="O26" s="205">
        <f t="shared" si="4"/>
        <v>0</v>
      </c>
      <c r="P26" s="206">
        <f t="shared" si="5"/>
        <v>0</v>
      </c>
      <c r="Q26" s="206">
        <f t="shared" si="6"/>
        <v>-0.56999999999999995</v>
      </c>
      <c r="R26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6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120420</v>
      </c>
      <c r="T26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120990</v>
      </c>
      <c r="U26" s="208">
        <f ca="1">IF(Tabla336106734821[[#This Row],[Equity]]&lt;Tabla336106734821[[#This Row],[Equity Peak]],(Tabla336106734821[[#This Row],[Equity Peak]]-Tabla336106734821[[#This Row],[Equity]])/Tabla336106734821[[#This Row],[Equity Peak]],"")</f>
        <v>4.7111331515001242E-3</v>
      </c>
      <c r="V26" s="209">
        <f t="shared" si="7"/>
        <v>0</v>
      </c>
      <c r="W26" s="209">
        <f t="shared" si="8"/>
        <v>0</v>
      </c>
      <c r="X26" s="209">
        <f t="shared" si="9"/>
        <v>-0.56999999999999995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0.67291666666278616</v>
      </c>
      <c r="AE26" s="210">
        <f t="shared" si="16"/>
        <v>0</v>
      </c>
      <c r="AF26" s="210">
        <f t="shared" si="17"/>
        <v>0.67291666666278616</v>
      </c>
      <c r="AG26" s="210">
        <f t="shared" si="18"/>
        <v>0</v>
      </c>
    </row>
    <row r="27" spans="2:33" ht="15" customHeight="1" x14ac:dyDescent="0.3">
      <c r="B27" s="196" t="s">
        <v>19</v>
      </c>
      <c r="C27" s="197" t="s">
        <v>13</v>
      </c>
      <c r="D27" s="198" t="str">
        <f t="shared" si="0"/>
        <v>C</v>
      </c>
      <c r="E27" s="199">
        <v>44077.125</v>
      </c>
      <c r="F27" s="200" t="s">
        <v>108</v>
      </c>
      <c r="G27" s="201">
        <v>41.832999999999998</v>
      </c>
      <c r="H27" s="201">
        <v>42.957000000000001</v>
      </c>
      <c r="I27" s="202">
        <f t="shared" si="1"/>
        <v>1.1240000000000023</v>
      </c>
      <c r="J27" s="201">
        <v>28.35</v>
      </c>
      <c r="K27" s="199">
        <v>44090.683333333334</v>
      </c>
      <c r="L27" s="201">
        <v>39.646999999999998</v>
      </c>
      <c r="M27" s="203">
        <f t="shared" si="2"/>
        <v>2.1859999999999999</v>
      </c>
      <c r="N27" s="204">
        <f t="shared" si="3"/>
        <v>1.94</v>
      </c>
      <c r="O27" s="205">
        <f t="shared" si="4"/>
        <v>0</v>
      </c>
      <c r="P27" s="206">
        <f t="shared" si="5"/>
        <v>1.94</v>
      </c>
      <c r="Q27" s="206">
        <f t="shared" si="6"/>
        <v>0</v>
      </c>
      <c r="R27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7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120990</v>
      </c>
      <c r="T27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120990</v>
      </c>
      <c r="U27" s="208" t="str">
        <f ca="1">IF(Tabla336106734821[[#This Row],[Equity]]&lt;Tabla336106734821[[#This Row],[Equity Peak]],(Tabla336106734821[[#This Row],[Equity Peak]]-Tabla336106734821[[#This Row],[Equity]])/Tabla336106734821[[#This Row],[Equity Peak]],"")</f>
        <v/>
      </c>
      <c r="V27" s="209">
        <f t="shared" si="7"/>
        <v>0</v>
      </c>
      <c r="W27" s="209">
        <f t="shared" si="8"/>
        <v>0</v>
      </c>
      <c r="X27" s="209">
        <f t="shared" si="9"/>
        <v>1.94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13.558333333334303</v>
      </c>
      <c r="AE27" s="210">
        <f t="shared" si="16"/>
        <v>13.558333333334303</v>
      </c>
      <c r="AF27" s="210">
        <f t="shared" si="17"/>
        <v>0</v>
      </c>
      <c r="AG27" s="210">
        <f t="shared" si="18"/>
        <v>0</v>
      </c>
    </row>
    <row r="28" spans="2:33" ht="15" customHeight="1" x14ac:dyDescent="0.3">
      <c r="B28" s="196" t="s">
        <v>19</v>
      </c>
      <c r="C28" s="197" t="s">
        <v>15</v>
      </c>
      <c r="D28" s="198" t="str">
        <f t="shared" si="0"/>
        <v>C</v>
      </c>
      <c r="E28" s="199">
        <v>44047.958333333336</v>
      </c>
      <c r="F28" s="200" t="s">
        <v>108</v>
      </c>
      <c r="G28" s="201">
        <v>41.680999999999997</v>
      </c>
      <c r="H28" s="201">
        <v>40.100999999999999</v>
      </c>
      <c r="I28" s="202">
        <f t="shared" si="1"/>
        <v>1.5799999999999983</v>
      </c>
      <c r="J28" s="201">
        <v>60.643000000000001</v>
      </c>
      <c r="K28" s="199">
        <v>44050.6</v>
      </c>
      <c r="L28" s="201">
        <v>41.542999999999999</v>
      </c>
      <c r="M28" s="203">
        <f t="shared" si="2"/>
        <v>-0.13800000000000001</v>
      </c>
      <c r="N28" s="204">
        <f t="shared" si="3"/>
        <v>-0.09</v>
      </c>
      <c r="O28" s="205">
        <f t="shared" si="4"/>
        <v>0</v>
      </c>
      <c r="P28" s="206">
        <f t="shared" si="5"/>
        <v>0</v>
      </c>
      <c r="Q28" s="206">
        <f t="shared" si="6"/>
        <v>-0.09</v>
      </c>
      <c r="R28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8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119050</v>
      </c>
      <c r="T28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119510</v>
      </c>
      <c r="U28" s="208">
        <f ca="1">IF(Tabla336106734821[[#This Row],[Equity]]&lt;Tabla336106734821[[#This Row],[Equity Peak]],(Tabla336106734821[[#This Row],[Equity Peak]]-Tabla336106734821[[#This Row],[Equity]])/Tabla336106734821[[#This Row],[Equity Peak]],"")</f>
        <v>3.8490502886787716E-3</v>
      </c>
      <c r="V28" s="209">
        <f t="shared" si="7"/>
        <v>0</v>
      </c>
      <c r="W28" s="209">
        <f t="shared" si="8"/>
        <v>0</v>
      </c>
      <c r="X28" s="209">
        <f t="shared" si="9"/>
        <v>-0.09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2.6416666666627862</v>
      </c>
      <c r="AE28" s="210">
        <f t="shared" si="16"/>
        <v>0</v>
      </c>
      <c r="AF28" s="210">
        <f t="shared" si="17"/>
        <v>2.6416666666627862</v>
      </c>
      <c r="AG28" s="210">
        <f t="shared" si="18"/>
        <v>0</v>
      </c>
    </row>
    <row r="29" spans="2:33" ht="15" customHeight="1" x14ac:dyDescent="0.3">
      <c r="B29" s="196" t="s">
        <v>19</v>
      </c>
      <c r="C29" s="197" t="s">
        <v>13</v>
      </c>
      <c r="D29" s="198" t="str">
        <f t="shared" si="0"/>
        <v>C</v>
      </c>
      <c r="E29" s="199">
        <v>44042.958333333336</v>
      </c>
      <c r="F29" s="200" t="s">
        <v>108</v>
      </c>
      <c r="G29" s="201">
        <v>40.259</v>
      </c>
      <c r="H29" s="201">
        <v>41.875</v>
      </c>
      <c r="I29" s="202">
        <f t="shared" si="1"/>
        <v>1.6159999999999997</v>
      </c>
      <c r="J29" s="201">
        <v>20.866</v>
      </c>
      <c r="K29" s="199">
        <v>44046.713194444441</v>
      </c>
      <c r="L29" s="201">
        <v>40.857999999999997</v>
      </c>
      <c r="M29" s="203">
        <f t="shared" si="2"/>
        <v>-0.59899999999999998</v>
      </c>
      <c r="N29" s="204">
        <f t="shared" si="3"/>
        <v>-0.37</v>
      </c>
      <c r="O29" s="205">
        <f t="shared" si="4"/>
        <v>0</v>
      </c>
      <c r="P29" s="206">
        <f t="shared" si="5"/>
        <v>0</v>
      </c>
      <c r="Q29" s="206">
        <f t="shared" si="6"/>
        <v>-0.37</v>
      </c>
      <c r="R29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9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119140</v>
      </c>
      <c r="T29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119510</v>
      </c>
      <c r="U29" s="208">
        <f ca="1">IF(Tabla336106734821[[#This Row],[Equity]]&lt;Tabla336106734821[[#This Row],[Equity Peak]],(Tabla336106734821[[#This Row],[Equity Peak]]-Tabla336106734821[[#This Row],[Equity]])/Tabla336106734821[[#This Row],[Equity Peak]],"")</f>
        <v>3.0959752321981426E-3</v>
      </c>
      <c r="V29" s="209">
        <f t="shared" si="7"/>
        <v>0</v>
      </c>
      <c r="W29" s="209">
        <f t="shared" si="8"/>
        <v>0</v>
      </c>
      <c r="X29" s="209">
        <f t="shared" si="9"/>
        <v>-0.37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3.7548611111051287</v>
      </c>
      <c r="AE29" s="210">
        <f t="shared" si="16"/>
        <v>0</v>
      </c>
      <c r="AF29" s="210">
        <f t="shared" si="17"/>
        <v>3.7548611111051287</v>
      </c>
      <c r="AG29" s="210">
        <f t="shared" si="18"/>
        <v>0</v>
      </c>
    </row>
    <row r="30" spans="2:33" ht="15" customHeight="1" x14ac:dyDescent="0.3">
      <c r="B30" s="196" t="s">
        <v>19</v>
      </c>
      <c r="C30" s="197" t="s">
        <v>15</v>
      </c>
      <c r="D30" s="198" t="str">
        <f t="shared" si="0"/>
        <v>C</v>
      </c>
      <c r="E30" s="199">
        <v>43955.458333333336</v>
      </c>
      <c r="F30" s="200" t="s">
        <v>108</v>
      </c>
      <c r="G30" s="201">
        <v>20.016999999999999</v>
      </c>
      <c r="H30" s="201">
        <v>16.492999999999999</v>
      </c>
      <c r="I30" s="202">
        <f t="shared" si="1"/>
        <v>3.5240000000000009</v>
      </c>
      <c r="J30" s="201">
        <v>62.304000000000002</v>
      </c>
      <c r="K30" s="199">
        <v>44042.958333333336</v>
      </c>
      <c r="L30" s="201">
        <v>40.259</v>
      </c>
      <c r="M30" s="203">
        <f t="shared" si="2"/>
        <v>20.242000000000001</v>
      </c>
      <c r="N30" s="204">
        <f t="shared" si="3"/>
        <v>5.74</v>
      </c>
      <c r="O30" s="205">
        <f t="shared" si="4"/>
        <v>0</v>
      </c>
      <c r="P30" s="206">
        <f t="shared" si="5"/>
        <v>5.74</v>
      </c>
      <c r="Q30" s="206">
        <f t="shared" si="6"/>
        <v>0</v>
      </c>
      <c r="R30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0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119510</v>
      </c>
      <c r="T30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119510</v>
      </c>
      <c r="U30" s="208" t="str">
        <f ca="1">IF(Tabla336106734821[[#This Row],[Equity]]&lt;Tabla336106734821[[#This Row],[Equity Peak]],(Tabla336106734821[[#This Row],[Equity Peak]]-Tabla336106734821[[#This Row],[Equity]])/Tabla336106734821[[#This Row],[Equity Peak]],"")</f>
        <v/>
      </c>
      <c r="V30" s="209">
        <f t="shared" si="7"/>
        <v>0</v>
      </c>
      <c r="W30" s="209">
        <f t="shared" si="8"/>
        <v>0</v>
      </c>
      <c r="X30" s="209">
        <f t="shared" si="9"/>
        <v>5.74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87.5</v>
      </c>
      <c r="AE30" s="210">
        <f t="shared" si="16"/>
        <v>87.5</v>
      </c>
      <c r="AF30" s="210">
        <f t="shared" si="17"/>
        <v>0</v>
      </c>
      <c r="AG30" s="210">
        <f t="shared" si="18"/>
        <v>0</v>
      </c>
    </row>
    <row r="31" spans="2:33" ht="15" customHeight="1" x14ac:dyDescent="0.3">
      <c r="B31" s="196" t="s">
        <v>19</v>
      </c>
      <c r="C31" s="197" t="s">
        <v>15</v>
      </c>
      <c r="D31" s="198" t="str">
        <f t="shared" ref="D31:D36" si="19">IF(E31&lt;&gt;"",IF(K31&lt;&gt;"","C","O"),"")</f>
        <v>C</v>
      </c>
      <c r="E31" s="199">
        <v>43927.125</v>
      </c>
      <c r="F31" s="200" t="s">
        <v>108</v>
      </c>
      <c r="G31" s="201">
        <v>28.164999999999999</v>
      </c>
      <c r="H31" s="201">
        <v>25.420999999999999</v>
      </c>
      <c r="I31" s="202">
        <f t="shared" ref="I31:I36" si="20">ABS(G31-H31)</f>
        <v>2.7439999999999998</v>
      </c>
      <c r="J31" s="201">
        <v>61.097000000000001</v>
      </c>
      <c r="K31" s="199">
        <v>43955.458333333336</v>
      </c>
      <c r="L31" s="201">
        <v>20.016999999999999</v>
      </c>
      <c r="M31" s="203">
        <f t="shared" ref="M31:M36" si="21">ROUND(IF(C31="L",(L31-G31),(G31-L31)),4)</f>
        <v>-8.1479999999999997</v>
      </c>
      <c r="N31" s="204">
        <f t="shared" ref="N31:N36" si="22">IFERROR(ROUND((M31/I31),2),"")</f>
        <v>-2.97</v>
      </c>
      <c r="O31" s="205">
        <f t="shared" ref="O31:O36" si="23">IF(D31="O",IF(N31&lt;0,N31,0),0)</f>
        <v>0</v>
      </c>
      <c r="P31" s="206">
        <f t="shared" ref="P31:P36" si="24">IF(N31&gt;= 0,N31,0)</f>
        <v>0</v>
      </c>
      <c r="Q31" s="206">
        <f t="shared" ref="Q31:Q36" si="25">IF(N31&lt;0,N31,0)</f>
        <v>-2.97</v>
      </c>
      <c r="R31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1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113770</v>
      </c>
      <c r="T31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116740</v>
      </c>
      <c r="U31" s="208">
        <f ca="1">IF(Tabla336106734821[[#This Row],[Equity]]&lt;Tabla336106734821[[#This Row],[Equity Peak]],(Tabla336106734821[[#This Row],[Equity Peak]]-Tabla336106734821[[#This Row],[Equity]])/Tabla336106734821[[#This Row],[Equity Peak]],"")</f>
        <v>2.5441151276340584E-2</v>
      </c>
      <c r="V31" s="209">
        <f t="shared" ref="V31:V36" si="26">IF(B31="FX",N31,0)</f>
        <v>0</v>
      </c>
      <c r="W31" s="209">
        <f t="shared" ref="W31:W36" si="27">IF(D31="O",IF(V31&lt;0,V31,0),0)</f>
        <v>0</v>
      </c>
      <c r="X31" s="209">
        <f t="shared" ref="X31:X36" si="28">IF(B31="COM",N31,0)</f>
        <v>-2.97</v>
      </c>
      <c r="Y31" s="209">
        <f t="shared" ref="Y31:Y36" si="29">IF(D31="O",IF(X31&lt;0,X31,0),0)</f>
        <v>0</v>
      </c>
      <c r="Z31" s="209">
        <f t="shared" ref="Z31:Z36" si="30">IF(B31="IND",N31,0)</f>
        <v>0</v>
      </c>
      <c r="AA31" s="205">
        <f t="shared" ref="AA31:AA36" si="31">IF(D31="O",IF(Z31&lt;0,Z31,0),0)</f>
        <v>0</v>
      </c>
      <c r="AB31" s="209">
        <f t="shared" ref="AB31:AB36" si="32">IF(B31="CRYPTO",N31,0)</f>
        <v>0</v>
      </c>
      <c r="AC31" s="205">
        <f t="shared" ref="AC31:AC36" si="33">IF(D31="O",IF(AB31&lt;0,AB31,0),0)</f>
        <v>0</v>
      </c>
      <c r="AD31" s="210">
        <f t="shared" ref="AD31:AD36" si="34">IF(K31&lt;&gt;"",K31-E31,0)</f>
        <v>28.333333333335759</v>
      </c>
      <c r="AE31" s="210">
        <f t="shared" ref="AE31:AE36" si="35">IF(N31&gt;0,AD31,0)</f>
        <v>0</v>
      </c>
      <c r="AF31" s="210">
        <f t="shared" ref="AF31:AF36" si="36">IF(N31&lt;0,AD31,0)</f>
        <v>28.333333333335759</v>
      </c>
      <c r="AG31" s="210">
        <f t="shared" ref="AG31:AG36" si="37">IF(N31=0,AD31,0)</f>
        <v>0</v>
      </c>
    </row>
    <row r="32" spans="2:33" ht="15" customHeight="1" x14ac:dyDescent="0.3">
      <c r="B32" s="196" t="s">
        <v>19</v>
      </c>
      <c r="C32" s="197" t="s">
        <v>13</v>
      </c>
      <c r="D32" s="198" t="str">
        <f t="shared" si="19"/>
        <v>C</v>
      </c>
      <c r="E32" s="199">
        <v>43885.958333333336</v>
      </c>
      <c r="F32" s="200" t="s">
        <v>108</v>
      </c>
      <c r="G32" s="201">
        <v>51.279000000000003</v>
      </c>
      <c r="H32" s="201">
        <v>52.713999999999999</v>
      </c>
      <c r="I32" s="202">
        <f t="shared" si="20"/>
        <v>1.4349999999999952</v>
      </c>
      <c r="J32" s="201">
        <v>34.058</v>
      </c>
      <c r="K32" s="199">
        <v>43899.125</v>
      </c>
      <c r="L32" s="201">
        <v>34.058</v>
      </c>
      <c r="M32" s="203">
        <f t="shared" si="21"/>
        <v>17.221</v>
      </c>
      <c r="N32" s="204">
        <f t="shared" si="22"/>
        <v>12</v>
      </c>
      <c r="O32" s="205">
        <f t="shared" si="23"/>
        <v>0</v>
      </c>
      <c r="P32" s="206">
        <f t="shared" si="24"/>
        <v>12</v>
      </c>
      <c r="Q32" s="206">
        <f t="shared" si="25"/>
        <v>0</v>
      </c>
      <c r="R32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2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116740</v>
      </c>
      <c r="T32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116740</v>
      </c>
      <c r="U32" s="208" t="str">
        <f ca="1">IF(Tabla336106734821[[#This Row],[Equity]]&lt;Tabla336106734821[[#This Row],[Equity Peak]],(Tabla336106734821[[#This Row],[Equity Peak]]-Tabla336106734821[[#This Row],[Equity]])/Tabla336106734821[[#This Row],[Equity Peak]],"")</f>
        <v/>
      </c>
      <c r="V32" s="209">
        <f t="shared" si="26"/>
        <v>0</v>
      </c>
      <c r="W32" s="209">
        <f t="shared" si="27"/>
        <v>0</v>
      </c>
      <c r="X32" s="209">
        <f t="shared" si="28"/>
        <v>12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13.166666666664241</v>
      </c>
      <c r="AE32" s="210">
        <f t="shared" si="35"/>
        <v>13.166666666664241</v>
      </c>
      <c r="AF32" s="210">
        <f t="shared" si="36"/>
        <v>0</v>
      </c>
      <c r="AG32" s="210">
        <f t="shared" si="37"/>
        <v>0</v>
      </c>
    </row>
    <row r="33" spans="2:33" ht="15" customHeight="1" x14ac:dyDescent="0.3">
      <c r="B33" s="196" t="s">
        <v>19</v>
      </c>
      <c r="C33" s="197" t="s">
        <v>15</v>
      </c>
      <c r="D33" s="198" t="str">
        <f t="shared" si="19"/>
        <v>C</v>
      </c>
      <c r="E33" s="199">
        <v>43880.291666666664</v>
      </c>
      <c r="F33" s="200" t="s">
        <v>108</v>
      </c>
      <c r="G33" s="201">
        <v>52.866999999999997</v>
      </c>
      <c r="H33" s="201">
        <v>51.488999999999997</v>
      </c>
      <c r="I33" s="202">
        <f t="shared" si="20"/>
        <v>1.3780000000000001</v>
      </c>
      <c r="J33" s="201">
        <v>69.400999999999996</v>
      </c>
      <c r="K33" s="199">
        <v>43882.554861111108</v>
      </c>
      <c r="L33" s="201">
        <v>52.853000000000002</v>
      </c>
      <c r="M33" s="203">
        <f t="shared" si="21"/>
        <v>-1.4E-2</v>
      </c>
      <c r="N33" s="204">
        <f t="shared" si="22"/>
        <v>-0.01</v>
      </c>
      <c r="O33" s="205">
        <f t="shared" si="23"/>
        <v>0</v>
      </c>
      <c r="P33" s="206">
        <f t="shared" si="24"/>
        <v>0</v>
      </c>
      <c r="Q33" s="206">
        <f t="shared" si="25"/>
        <v>-0.01</v>
      </c>
      <c r="R33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3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104740</v>
      </c>
      <c r="T33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104750</v>
      </c>
      <c r="U33" s="208">
        <f ca="1">IF(Tabla336106734821[[#This Row],[Equity]]&lt;Tabla336106734821[[#This Row],[Equity Peak]],(Tabla336106734821[[#This Row],[Equity Peak]]-Tabla336106734821[[#This Row],[Equity]])/Tabla336106734821[[#This Row],[Equity Peak]],"")</f>
        <v>9.5465393794749408E-5</v>
      </c>
      <c r="V33" s="209">
        <f t="shared" si="26"/>
        <v>0</v>
      </c>
      <c r="W33" s="209">
        <f t="shared" si="27"/>
        <v>0</v>
      </c>
      <c r="X33" s="209">
        <f t="shared" si="28"/>
        <v>-0.01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2.2631944444437977</v>
      </c>
      <c r="AE33" s="210">
        <f t="shared" si="35"/>
        <v>0</v>
      </c>
      <c r="AF33" s="210">
        <f t="shared" si="36"/>
        <v>2.2631944444437977</v>
      </c>
      <c r="AG33" s="210">
        <f t="shared" si="37"/>
        <v>0</v>
      </c>
    </row>
    <row r="34" spans="2:33" ht="15" customHeight="1" x14ac:dyDescent="0.3">
      <c r="B34" s="196" t="s">
        <v>19</v>
      </c>
      <c r="C34" s="197" t="s">
        <v>13</v>
      </c>
      <c r="D34" s="198" t="str">
        <f t="shared" si="19"/>
        <v>C</v>
      </c>
      <c r="E34" s="199">
        <v>43839.458333333336</v>
      </c>
      <c r="F34" s="200" t="s">
        <v>108</v>
      </c>
      <c r="G34" s="201">
        <v>59.945999999999998</v>
      </c>
      <c r="H34" s="201">
        <v>61.194000000000003</v>
      </c>
      <c r="I34" s="202">
        <f t="shared" si="20"/>
        <v>1.2480000000000047</v>
      </c>
      <c r="J34" s="201">
        <v>44.973999999999997</v>
      </c>
      <c r="K34" s="199">
        <v>43880.291666666664</v>
      </c>
      <c r="L34" s="201">
        <v>52.866999999999997</v>
      </c>
      <c r="M34" s="203">
        <f t="shared" si="21"/>
        <v>7.0789999999999997</v>
      </c>
      <c r="N34" s="204">
        <f t="shared" si="22"/>
        <v>5.67</v>
      </c>
      <c r="O34" s="205">
        <f t="shared" si="23"/>
        <v>0</v>
      </c>
      <c r="P34" s="206">
        <f t="shared" si="24"/>
        <v>5.67</v>
      </c>
      <c r="Q34" s="206">
        <f t="shared" si="25"/>
        <v>0</v>
      </c>
      <c r="R34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4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104750</v>
      </c>
      <c r="T34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104750</v>
      </c>
      <c r="U34" s="208" t="str">
        <f ca="1">IF(Tabla336106734821[[#This Row],[Equity]]&lt;Tabla336106734821[[#This Row],[Equity Peak]],(Tabla336106734821[[#This Row],[Equity Peak]]-Tabla336106734821[[#This Row],[Equity]])/Tabla336106734821[[#This Row],[Equity Peak]],"")</f>
        <v/>
      </c>
      <c r="V34" s="209">
        <f t="shared" si="26"/>
        <v>0</v>
      </c>
      <c r="W34" s="209">
        <f t="shared" si="27"/>
        <v>0</v>
      </c>
      <c r="X34" s="209">
        <f t="shared" si="28"/>
        <v>5.67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40.833333333328483</v>
      </c>
      <c r="AE34" s="210">
        <f t="shared" si="35"/>
        <v>40.833333333328483</v>
      </c>
      <c r="AF34" s="210">
        <f t="shared" si="36"/>
        <v>0</v>
      </c>
      <c r="AG34" s="210">
        <f t="shared" si="37"/>
        <v>0</v>
      </c>
    </row>
    <row r="35" spans="2:33" ht="15" customHeight="1" x14ac:dyDescent="0.3">
      <c r="B35" s="196" t="s">
        <v>19</v>
      </c>
      <c r="C35" s="197" t="s">
        <v>15</v>
      </c>
      <c r="D35" s="198" t="str">
        <f t="shared" si="19"/>
        <v>C</v>
      </c>
      <c r="E35" s="199">
        <v>43836.291666666664</v>
      </c>
      <c r="F35" s="200" t="s">
        <v>108</v>
      </c>
      <c r="G35" s="201">
        <v>64.409000000000006</v>
      </c>
      <c r="H35" s="201">
        <v>63.231999999999999</v>
      </c>
      <c r="I35" s="202">
        <f t="shared" si="20"/>
        <v>1.1770000000000067</v>
      </c>
      <c r="J35" s="201">
        <v>78.537000000000006</v>
      </c>
      <c r="K35" s="199">
        <v>43836.505555555559</v>
      </c>
      <c r="L35" s="201">
        <v>63.667000000000002</v>
      </c>
      <c r="M35" s="203">
        <f t="shared" si="21"/>
        <v>-0.74199999999999999</v>
      </c>
      <c r="N35" s="204">
        <f t="shared" si="22"/>
        <v>-0.63</v>
      </c>
      <c r="O35" s="205">
        <f t="shared" si="23"/>
        <v>0</v>
      </c>
      <c r="P35" s="206">
        <f t="shared" si="24"/>
        <v>0</v>
      </c>
      <c r="Q35" s="206">
        <f t="shared" si="25"/>
        <v>-0.63</v>
      </c>
      <c r="R35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Yes</v>
      </c>
      <c r="S35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99080</v>
      </c>
      <c r="T35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100000</v>
      </c>
      <c r="U35" s="208">
        <f ca="1">IF(Tabla336106734821[[#This Row],[Equity]]&lt;Tabla336106734821[[#This Row],[Equity Peak]],(Tabla336106734821[[#This Row],[Equity Peak]]-Tabla336106734821[[#This Row],[Equity]])/Tabla336106734821[[#This Row],[Equity Peak]],"")</f>
        <v>9.1999999999999998E-3</v>
      </c>
      <c r="V35" s="209">
        <f t="shared" si="26"/>
        <v>0</v>
      </c>
      <c r="W35" s="209">
        <f t="shared" si="27"/>
        <v>0</v>
      </c>
      <c r="X35" s="209">
        <f t="shared" si="28"/>
        <v>-0.63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0.21388888889487134</v>
      </c>
      <c r="AE35" s="210">
        <f t="shared" si="35"/>
        <v>0</v>
      </c>
      <c r="AF35" s="210">
        <f t="shared" si="36"/>
        <v>0.21388888889487134</v>
      </c>
      <c r="AG35" s="210">
        <f t="shared" si="37"/>
        <v>0</v>
      </c>
    </row>
    <row r="36" spans="2:33" ht="15" customHeight="1" x14ac:dyDescent="0.3">
      <c r="B36" s="196" t="s">
        <v>19</v>
      </c>
      <c r="C36" s="197" t="s">
        <v>15</v>
      </c>
      <c r="D36" s="198" t="str">
        <f t="shared" si="19"/>
        <v>C</v>
      </c>
      <c r="E36" s="199">
        <v>43833.291666666664</v>
      </c>
      <c r="F36" s="200" t="s">
        <v>108</v>
      </c>
      <c r="G36" s="201">
        <v>62.912999999999997</v>
      </c>
      <c r="H36" s="201">
        <v>61.755000000000003</v>
      </c>
      <c r="I36" s="202">
        <f t="shared" si="20"/>
        <v>1.1579999999999941</v>
      </c>
      <c r="J36" s="201">
        <v>76.814999999999998</v>
      </c>
      <c r="K36" s="199">
        <v>43833.724999999999</v>
      </c>
      <c r="L36" s="201">
        <v>62.582000000000001</v>
      </c>
      <c r="M36" s="203">
        <f t="shared" si="21"/>
        <v>-0.33100000000000002</v>
      </c>
      <c r="N36" s="204">
        <f t="shared" si="22"/>
        <v>-0.28999999999999998</v>
      </c>
      <c r="O36" s="205">
        <f t="shared" si="23"/>
        <v>0</v>
      </c>
      <c r="P36" s="206">
        <f t="shared" si="24"/>
        <v>0</v>
      </c>
      <c r="Q36" s="206">
        <f t="shared" si="25"/>
        <v>-0.28999999999999998</v>
      </c>
      <c r="R36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Yes</v>
      </c>
      <c r="S36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99710</v>
      </c>
      <c r="T36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100000</v>
      </c>
      <c r="U36" s="208">
        <f ca="1">IF(Tabla336106734821[[#This Row],[Equity]]&lt;Tabla336106734821[[#This Row],[Equity Peak]],(Tabla336106734821[[#This Row],[Equity Peak]]-Tabla336106734821[[#This Row],[Equity]])/Tabla336106734821[[#This Row],[Equity Peak]],"")</f>
        <v>2.8999999999999998E-3</v>
      </c>
      <c r="V36" s="209">
        <f t="shared" si="26"/>
        <v>0</v>
      </c>
      <c r="W36" s="209">
        <f t="shared" si="27"/>
        <v>0</v>
      </c>
      <c r="X36" s="209">
        <f t="shared" si="28"/>
        <v>-0.28999999999999998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0.43333333333430346</v>
      </c>
      <c r="AE36" s="210">
        <f t="shared" si="35"/>
        <v>0</v>
      </c>
      <c r="AF36" s="210">
        <f t="shared" si="36"/>
        <v>0.43333333333430346</v>
      </c>
      <c r="AG36" s="210">
        <f t="shared" si="37"/>
        <v>0</v>
      </c>
    </row>
  </sheetData>
  <sheetProtection algorithmName="SHA-512" hashValue="9VxfUwezULOZ8tsd9Lh7+L9zlIfDDY/L9yh/VG91T8xsq3INBH0uVaUECwDlaodf+QQp7pVUPBNn1oVB1bf8/w==" saltValue="nAkvjGsNQu01X3Xmx+x9W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377" priority="3" operator="equal">
      <formula>"OK"</formula>
    </cfRule>
    <cfRule type="cellIs" dxfId="376" priority="4" operator="equal">
      <formula>"warning"</formula>
    </cfRule>
  </conditionalFormatting>
  <conditionalFormatting sqref="F13">
    <cfRule type="cellIs" dxfId="375" priority="1" operator="equal">
      <formula>"OK"</formula>
    </cfRule>
    <cfRule type="cellIs" dxfId="374" priority="2" operator="equal">
      <formula>"Error!!"</formula>
    </cfRule>
  </conditionalFormatting>
  <conditionalFormatting sqref="E15:H15 K15:L15">
    <cfRule type="expression" dxfId="373" priority="5">
      <formula>+$D15=#REF!</formula>
    </cfRule>
    <cfRule type="expression" dxfId="372" priority="6">
      <formula>+$D15=#REF!</formula>
    </cfRule>
  </conditionalFormatting>
  <conditionalFormatting sqref="D15 K16:L16 D16:H36 J17:L36">
    <cfRule type="expression" dxfId="371" priority="7">
      <formula>+$D15=$AG$8</formula>
    </cfRule>
    <cfRule type="expression" dxfId="37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DC588E5A-9E58-4DDA-A955-F359AC1E6509}">
      <formula1>$AE$4:$AE$6</formula1>
    </dataValidation>
    <dataValidation type="list" allowBlank="1" showInputMessage="1" showErrorMessage="1" promptTitle="Trade Direction" prompt="Select from List" sqref="C15:C16" xr:uid="{26C24FD5-3744-4D68-A8BE-2979FC1DC613}">
      <formula1>$AG$4:$AG$5</formula1>
    </dataValidation>
    <dataValidation type="list" allowBlank="1" showInputMessage="1" showErrorMessage="1" promptTitle="Instrument Type" prompt="Select Type from List_x000a_" sqref="B17:B36" xr:uid="{70C0A403-42A9-4B98-ACFF-C93457D845C7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1A4D-A6AC-4821-9B7F-235FC877808E}">
  <sheetPr codeName="Hoja28">
    <pageSetUpPr fitToPage="1"/>
  </sheetPr>
  <dimension ref="A1:AX34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COUNTA(Tabla336106734822[Inst])</f>
        <v>18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13.89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13.89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COUNTIF(Tabla336106734822[No. of Rs],"&gt;0")</f>
        <v>5</v>
      </c>
      <c r="G7" s="24">
        <f>IFERROR((F7/$F$6),"")</f>
        <v>0.27777777777777779</v>
      </c>
      <c r="H7" s="78">
        <f>IFERROR((+P13/F7),"")</f>
        <v>4.7880000000000003</v>
      </c>
      <c r="I7" s="227">
        <f>H7/H9</f>
        <v>6.1934328358208957</v>
      </c>
      <c r="J7" s="227">
        <f>AVERAGE(Tabla336106734822[No. of Rs])</f>
        <v>0.77166666666666672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COUNTIF(Tabla336106734822[No.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OFFSET(Tabla336106734822[[#Headers],[Equity]],1,0)</f>
        <v>113890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COUNTIF(Tabla336106734822[No. of Rs],"&lt;0")</f>
        <v>13</v>
      </c>
      <c r="G9" s="32">
        <f>IFERROR((F9/$F$6),"")</f>
        <v>0.72222222222222221</v>
      </c>
      <c r="H9" s="79">
        <f>IFERROR((-Q13/F9),"")</f>
        <v>0.77307692307692311</v>
      </c>
      <c r="I9" s="229"/>
      <c r="J9" s="229"/>
      <c r="K9" s="149"/>
      <c r="L9" s="230" t="s">
        <v>106</v>
      </c>
      <c r="M9" s="231"/>
      <c r="N9" s="125">
        <f ca="1">MAX(Tabla336106734822[Drawdown])</f>
        <v>3.900392716886826E-2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OFFSET(Tabla336106734822[[#Headers],[Drawdown]],1,0)</f>
        <v>8.7039777178170418E-3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COUNTIF(Tabla336106734822[Heat],"&lt;0")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IF(COUNTIFS(Tabla336106734822[O/C],"O")&lt;1,"None",COUNTIFS(Tabla336106734822[O/C],"O"))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SUM(Tabla336106734822[No. of Rs])</f>
        <v>13.89</v>
      </c>
      <c r="O13" s="42">
        <f>SUM(Tabla336106734822[Heat])</f>
        <v>0</v>
      </c>
      <c r="P13" s="43">
        <f>SUM(Tabla336106734822[[ TR WIN]])</f>
        <v>23.94</v>
      </c>
      <c r="Q13" s="43">
        <f>SUM(Tabla336106734822[[ TR LOSS]])</f>
        <v>-10.050000000000001</v>
      </c>
      <c r="R13" s="114"/>
      <c r="S13" s="115"/>
      <c r="T13" s="115"/>
      <c r="U13" s="121"/>
      <c r="V13" s="44">
        <f>SUM(Tabla336106734822[Currency])</f>
        <v>0</v>
      </c>
      <c r="W13" s="44">
        <f>SUM(Tabla336106734822[Heat3])</f>
        <v>0</v>
      </c>
      <c r="X13" s="44">
        <f>SUM(Tabla336106734822[Commodities])</f>
        <v>0</v>
      </c>
      <c r="Y13" s="44">
        <f>SUM(Tabla336106734822[Heat4])</f>
        <v>0</v>
      </c>
      <c r="Z13" s="44">
        <f>SUM(Tabla336106734822[Index])</f>
        <v>13.89</v>
      </c>
      <c r="AA13" s="44">
        <f>SUM(Tabla336106734822[Heat5])</f>
        <v>0</v>
      </c>
      <c r="AB13" s="44">
        <f>SUM(Tabla336106734822[Cryptocurrency])</f>
        <v>0</v>
      </c>
      <c r="AC13" s="44">
        <f>SUM(Tabla336106734822[Heat6])</f>
        <v>0</v>
      </c>
      <c r="AD13" s="75">
        <f>AVERAGEIF(Tabla336106734822[Length of 
Trade],"&lt;&gt;0")</f>
        <v>5.4857638888881617</v>
      </c>
      <c r="AE13" s="75">
        <f>AVERAGEIF(Tabla336106734822[Win],"&lt;&gt;0")</f>
        <v>15.866805555555038</v>
      </c>
      <c r="AF13" s="75">
        <f>AVERAGEIF(Tabla336106734822[Loss],"&lt;&gt;0")</f>
        <v>1.4930555555547471</v>
      </c>
      <c r="AG13" s="76" t="e">
        <f>AVERAGEIF(Tabla336106734822[Breakeven],"&lt;&gt;0")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34" si="0">IF(E17&lt;&gt;"",IF(K17&lt;&gt;"","C","O"),"")</f>
        <v>C</v>
      </c>
      <c r="E17" s="199">
        <v>44182.340277777781</v>
      </c>
      <c r="F17" s="200" t="s">
        <v>90</v>
      </c>
      <c r="G17" s="201">
        <v>6758.8</v>
      </c>
      <c r="H17" s="201">
        <v>6716.82</v>
      </c>
      <c r="I17" s="202">
        <f t="shared" ref="I17:I34" si="1">ABS(G17-H17)</f>
        <v>41.980000000000473</v>
      </c>
      <c r="J17" s="201">
        <v>7318.51</v>
      </c>
      <c r="K17" s="199">
        <v>44183.091666666667</v>
      </c>
      <c r="L17" s="201">
        <v>6716.82</v>
      </c>
      <c r="M17" s="203">
        <f t="shared" ref="M17:M34" si="2">ROUND(IF(C17="L",(L17-G17),(G17-L17)),4)</f>
        <v>-41.98</v>
      </c>
      <c r="N17" s="204">
        <f t="shared" ref="N17:N34" si="3">IFERROR(ROUND((M17/I17),2),"")</f>
        <v>-1</v>
      </c>
      <c r="O17" s="205">
        <f t="shared" ref="O17:O34" si="4">IF(D17="O",IF(N17&lt;0,N17,0),0)</f>
        <v>0</v>
      </c>
      <c r="P17" s="206">
        <f t="shared" ref="P17:P34" si="5">IF(N17&gt;= 0,N17,0)</f>
        <v>0</v>
      </c>
      <c r="Q17" s="206">
        <f t="shared" ref="Q17:Q34" si="6">IF(N17&lt;0,N17,0)</f>
        <v>-1</v>
      </c>
      <c r="R17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17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113890</v>
      </c>
      <c r="T17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114890</v>
      </c>
      <c r="U17" s="208">
        <f ca="1">IF(Tabla336106734822[[#This Row],[Equity]]&lt;Tabla336106734822[[#This Row],[Equity Peak]],(Tabla336106734822[[#This Row],[Equity Peak]]-Tabla336106734822[[#This Row],[Equity]])/Tabla336106734822[[#This Row],[Equity Peak]],"")</f>
        <v>8.7039777178170418E-3</v>
      </c>
      <c r="V17" s="209">
        <f t="shared" ref="V17:V34" si="7">IF(B17="FX",N17,0)</f>
        <v>0</v>
      </c>
      <c r="W17" s="209">
        <f t="shared" ref="W17:W34" si="8">IF(D17="O",IF(V17&lt;0,V17,0),0)</f>
        <v>0</v>
      </c>
      <c r="X17" s="209">
        <f t="shared" ref="X17:X34" si="9">IF(B17="COM",N17,0)</f>
        <v>0</v>
      </c>
      <c r="Y17" s="209">
        <f t="shared" ref="Y17:Y34" si="10">IF(D17="O",IF(X17&lt;0,X17,0),0)</f>
        <v>0</v>
      </c>
      <c r="Z17" s="209">
        <f t="shared" ref="Z17:Z34" si="11">IF(B17="IND",N17,0)</f>
        <v>-1</v>
      </c>
      <c r="AA17" s="205">
        <f t="shared" ref="AA17:AA34" si="12">IF(D17="O",IF(Z17&lt;0,Z17,0),0)</f>
        <v>0</v>
      </c>
      <c r="AB17" s="209">
        <f t="shared" ref="AB17:AB34" si="13">IF(B17="CRYPTO",N17,0)</f>
        <v>0</v>
      </c>
      <c r="AC17" s="205">
        <f t="shared" ref="AC17:AC34" si="14">IF(D17="O",IF(AB17&lt;0,AB17,0),0)</f>
        <v>0</v>
      </c>
      <c r="AD17" s="210">
        <f t="shared" ref="AD17:AD34" si="15">IF(K17&lt;&gt;"",K17-E17,0)</f>
        <v>0.75138888888614019</v>
      </c>
      <c r="AE17" s="210">
        <f t="shared" ref="AE17:AE34" si="16">IF(N17&gt;0,AD17,0)</f>
        <v>0</v>
      </c>
      <c r="AF17" s="210">
        <f t="shared" ref="AF17:AF34" si="17">IF(N17&lt;0,AD17,0)</f>
        <v>0.75138888888614019</v>
      </c>
      <c r="AG17" s="210">
        <f t="shared" ref="AG17:AG34" si="18">IF(N17=0,AD17,0)</f>
        <v>0</v>
      </c>
    </row>
    <row r="18" spans="2:33" ht="15" customHeight="1" x14ac:dyDescent="0.3">
      <c r="B18" s="196" t="s">
        <v>5</v>
      </c>
      <c r="C18" s="197" t="s">
        <v>15</v>
      </c>
      <c r="D18" s="198" t="str">
        <f t="shared" si="0"/>
        <v>C</v>
      </c>
      <c r="E18" s="199">
        <v>44140.673611111109</v>
      </c>
      <c r="F18" s="200" t="s">
        <v>90</v>
      </c>
      <c r="G18" s="201">
        <v>6164</v>
      </c>
      <c r="H18" s="201">
        <v>6083.03</v>
      </c>
      <c r="I18" s="202">
        <f t="shared" si="1"/>
        <v>80.970000000000255</v>
      </c>
      <c r="J18" s="201">
        <v>7243.57</v>
      </c>
      <c r="K18" s="199">
        <v>44162.176388888889</v>
      </c>
      <c r="L18" s="201">
        <v>6591.13</v>
      </c>
      <c r="M18" s="203">
        <f t="shared" si="2"/>
        <v>427.13</v>
      </c>
      <c r="N18" s="204">
        <f t="shared" si="3"/>
        <v>5.28</v>
      </c>
      <c r="O18" s="205">
        <f t="shared" si="4"/>
        <v>0</v>
      </c>
      <c r="P18" s="206">
        <f t="shared" si="5"/>
        <v>5.28</v>
      </c>
      <c r="Q18" s="206">
        <f t="shared" si="6"/>
        <v>0</v>
      </c>
      <c r="R18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18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114890</v>
      </c>
      <c r="T18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114890</v>
      </c>
      <c r="U18" s="208" t="str">
        <f ca="1">IF(Tabla336106734822[[#This Row],[Equity]]&lt;Tabla336106734822[[#This Row],[Equity Peak]],(Tabla336106734822[[#This Row],[Equity Peak]]-Tabla336106734822[[#This Row],[Equity]])/Tabla336106734822[[#This Row],[Equity Peak]],"")</f>
        <v/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5.28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21.502777777779556</v>
      </c>
      <c r="AE18" s="210">
        <f t="shared" si="16"/>
        <v>21.502777777779556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13</v>
      </c>
      <c r="D19" s="198" t="str">
        <f t="shared" si="0"/>
        <v>C</v>
      </c>
      <c r="E19" s="199">
        <v>44133.243055555555</v>
      </c>
      <c r="F19" s="200" t="s">
        <v>90</v>
      </c>
      <c r="G19" s="201">
        <v>5960.8</v>
      </c>
      <c r="H19" s="201">
        <v>6020.18</v>
      </c>
      <c r="I19" s="202">
        <f t="shared" si="1"/>
        <v>59.380000000000109</v>
      </c>
      <c r="J19" s="201">
        <v>5169.09</v>
      </c>
      <c r="K19" s="199">
        <v>44137.557638888888</v>
      </c>
      <c r="L19" s="201">
        <v>5999.21</v>
      </c>
      <c r="M19" s="203">
        <f t="shared" si="2"/>
        <v>-38.409999999999997</v>
      </c>
      <c r="N19" s="204">
        <f t="shared" si="3"/>
        <v>-0.65</v>
      </c>
      <c r="O19" s="205">
        <f t="shared" si="4"/>
        <v>0</v>
      </c>
      <c r="P19" s="206">
        <f t="shared" si="5"/>
        <v>0</v>
      </c>
      <c r="Q19" s="206">
        <f t="shared" si="6"/>
        <v>-0.65</v>
      </c>
      <c r="R19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19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109610</v>
      </c>
      <c r="T19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112040</v>
      </c>
      <c r="U19" s="208">
        <f ca="1">IF(Tabla336106734822[[#This Row],[Equity]]&lt;Tabla336106734822[[#This Row],[Equity Peak]],(Tabla336106734822[[#This Row],[Equity Peak]]-Tabla336106734822[[#This Row],[Equity]])/Tabla336106734822[[#This Row],[Equity Peak]],"")</f>
        <v>2.1688682613352373E-2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-0.65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4.3145833333328483</v>
      </c>
      <c r="AE19" s="210">
        <f t="shared" si="16"/>
        <v>0</v>
      </c>
      <c r="AF19" s="210">
        <f t="shared" si="17"/>
        <v>4.3145833333328483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15</v>
      </c>
      <c r="D20" s="198" t="str">
        <f t="shared" si="0"/>
        <v>C</v>
      </c>
      <c r="E20" s="199">
        <v>44111.243055555555</v>
      </c>
      <c r="F20" s="200" t="s">
        <v>90</v>
      </c>
      <c r="G20" s="201">
        <v>6016.7</v>
      </c>
      <c r="H20" s="201">
        <v>5959.47</v>
      </c>
      <c r="I20" s="202">
        <f t="shared" si="1"/>
        <v>57.229999999999563</v>
      </c>
      <c r="J20" s="201">
        <v>6779.7</v>
      </c>
      <c r="K20" s="199">
        <v>44125.757638888892</v>
      </c>
      <c r="L20" s="201">
        <v>6128.43</v>
      </c>
      <c r="M20" s="203">
        <f t="shared" si="2"/>
        <v>111.73</v>
      </c>
      <c r="N20" s="204">
        <f t="shared" si="3"/>
        <v>1.95</v>
      </c>
      <c r="O20" s="205">
        <f t="shared" si="4"/>
        <v>0</v>
      </c>
      <c r="P20" s="206">
        <f t="shared" si="5"/>
        <v>1.95</v>
      </c>
      <c r="Q20" s="206">
        <f t="shared" si="6"/>
        <v>0</v>
      </c>
      <c r="R20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0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110260</v>
      </c>
      <c r="T20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112040</v>
      </c>
      <c r="U20" s="208">
        <f ca="1">IF(Tabla336106734822[[#This Row],[Equity]]&lt;Tabla336106734822[[#This Row],[Equity Peak]],(Tabla336106734822[[#This Row],[Equity Peak]]-Tabla336106734822[[#This Row],[Equity]])/Tabla336106734822[[#This Row],[Equity Peak]],"")</f>
        <v>1.5887183148875401E-2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1.95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14.514583333337214</v>
      </c>
      <c r="AE20" s="210">
        <f t="shared" si="16"/>
        <v>14.514583333337214</v>
      </c>
      <c r="AF20" s="210">
        <f t="shared" si="17"/>
        <v>0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13</v>
      </c>
      <c r="D21" s="198" t="str">
        <f t="shared" si="0"/>
        <v>C</v>
      </c>
      <c r="E21" s="199">
        <v>44074.756944444445</v>
      </c>
      <c r="F21" s="200" t="s">
        <v>90</v>
      </c>
      <c r="G21" s="201">
        <v>6005.8</v>
      </c>
      <c r="H21" s="201">
        <v>6064.24</v>
      </c>
      <c r="I21" s="202">
        <f t="shared" si="1"/>
        <v>58.4399999999996</v>
      </c>
      <c r="J21" s="201">
        <v>5226.66</v>
      </c>
      <c r="K21" s="199">
        <v>44076.123611111114</v>
      </c>
      <c r="L21" s="201">
        <v>6012.8</v>
      </c>
      <c r="M21" s="203">
        <f t="shared" si="2"/>
        <v>-7</v>
      </c>
      <c r="N21" s="204">
        <f t="shared" si="3"/>
        <v>-0.12</v>
      </c>
      <c r="O21" s="205">
        <f t="shared" si="4"/>
        <v>0</v>
      </c>
      <c r="P21" s="206">
        <f t="shared" si="5"/>
        <v>0</v>
      </c>
      <c r="Q21" s="206">
        <f t="shared" si="6"/>
        <v>-0.12</v>
      </c>
      <c r="R21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1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108310</v>
      </c>
      <c r="T21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112040</v>
      </c>
      <c r="U21" s="208">
        <f ca="1">IF(Tabla336106734822[[#This Row],[Equity]]&lt;Tabla336106734822[[#This Row],[Equity Peak]],(Tabla336106734822[[#This Row],[Equity Peak]]-Tabla336106734822[[#This Row],[Equity]])/Tabla336106734822[[#This Row],[Equity Peak]],"")</f>
        <v>3.3291681542306321E-2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-0.12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1.3666666666686069</v>
      </c>
      <c r="AE21" s="210">
        <f t="shared" si="16"/>
        <v>0</v>
      </c>
      <c r="AF21" s="210">
        <f t="shared" si="17"/>
        <v>1.3666666666686069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15</v>
      </c>
      <c r="D22" s="198" t="str">
        <f t="shared" si="0"/>
        <v>C</v>
      </c>
      <c r="E22" s="199">
        <v>44048.118055555555</v>
      </c>
      <c r="F22" s="200" t="s">
        <v>90</v>
      </c>
      <c r="G22" s="201">
        <v>6025.6</v>
      </c>
      <c r="H22" s="201">
        <v>5960.23</v>
      </c>
      <c r="I22" s="202">
        <f t="shared" si="1"/>
        <v>65.3700000000008</v>
      </c>
      <c r="J22" s="201">
        <v>6897.17</v>
      </c>
      <c r="K22" s="199">
        <v>44064.617361111108</v>
      </c>
      <c r="L22" s="201">
        <v>6075.35</v>
      </c>
      <c r="M22" s="203">
        <f t="shared" si="2"/>
        <v>49.75</v>
      </c>
      <c r="N22" s="204">
        <f t="shared" si="3"/>
        <v>0.76</v>
      </c>
      <c r="O22" s="205">
        <f t="shared" si="4"/>
        <v>0</v>
      </c>
      <c r="P22" s="206">
        <f t="shared" si="5"/>
        <v>0.76</v>
      </c>
      <c r="Q22" s="206">
        <f t="shared" si="6"/>
        <v>0</v>
      </c>
      <c r="R22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2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108430</v>
      </c>
      <c r="T22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112040</v>
      </c>
      <c r="U22" s="208">
        <f ca="1">IF(Tabla336106734822[[#This Row],[Equity]]&lt;Tabla336106734822[[#This Row],[Equity Peak]],(Tabla336106734822[[#This Row],[Equity Peak]]-Tabla336106734822[[#This Row],[Equity]])/Tabla336106734822[[#This Row],[Equity Peak]],"")</f>
        <v>3.2220635487325955E-2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0.76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16.499305555553292</v>
      </c>
      <c r="AE22" s="210">
        <f t="shared" si="16"/>
        <v>16.499305555553292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13</v>
      </c>
      <c r="D23" s="198" t="str">
        <f t="shared" si="0"/>
        <v>C</v>
      </c>
      <c r="E23" s="199">
        <v>44043.923611111109</v>
      </c>
      <c r="F23" s="200" t="s">
        <v>90</v>
      </c>
      <c r="G23" s="201">
        <v>5890.9</v>
      </c>
      <c r="H23" s="201">
        <v>5969.05</v>
      </c>
      <c r="I23" s="202">
        <f t="shared" si="1"/>
        <v>78.150000000000546</v>
      </c>
      <c r="J23" s="201">
        <v>4848.8999999999996</v>
      </c>
      <c r="K23" s="199">
        <v>44046.605555555558</v>
      </c>
      <c r="L23" s="201">
        <v>5969.05</v>
      </c>
      <c r="M23" s="203">
        <f t="shared" si="2"/>
        <v>-78.150000000000006</v>
      </c>
      <c r="N23" s="204">
        <f t="shared" si="3"/>
        <v>-1</v>
      </c>
      <c r="O23" s="205">
        <f t="shared" si="4"/>
        <v>0</v>
      </c>
      <c r="P23" s="206">
        <f t="shared" si="5"/>
        <v>0</v>
      </c>
      <c r="Q23" s="206">
        <f t="shared" si="6"/>
        <v>-1</v>
      </c>
      <c r="R23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3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107670</v>
      </c>
      <c r="T23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112040</v>
      </c>
      <c r="U23" s="208">
        <f ca="1">IF(Tabla336106734822[[#This Row],[Equity]]&lt;Tabla336106734822[[#This Row],[Equity Peak]],(Tabla336106734822[[#This Row],[Equity Peak]]-Tabla336106734822[[#This Row],[Equity]])/Tabla336106734822[[#This Row],[Equity Peak]],"")</f>
        <v>3.900392716886826E-2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-1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2.6819444444481633</v>
      </c>
      <c r="AE23" s="210">
        <f t="shared" si="16"/>
        <v>0</v>
      </c>
      <c r="AF23" s="210">
        <f t="shared" si="17"/>
        <v>2.6819444444481633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15</v>
      </c>
      <c r="D24" s="198" t="str">
        <f t="shared" si="0"/>
        <v>C</v>
      </c>
      <c r="E24" s="199">
        <v>43956.590277777781</v>
      </c>
      <c r="F24" s="200" t="s">
        <v>90</v>
      </c>
      <c r="G24" s="201">
        <v>5402.2</v>
      </c>
      <c r="H24" s="201">
        <v>5310.39</v>
      </c>
      <c r="I24" s="202">
        <f t="shared" si="1"/>
        <v>91.809999999999491</v>
      </c>
      <c r="J24" s="201">
        <v>6626.34</v>
      </c>
      <c r="K24" s="199">
        <v>43963.152083333334</v>
      </c>
      <c r="L24" s="201">
        <v>5401.67</v>
      </c>
      <c r="M24" s="203">
        <f t="shared" si="2"/>
        <v>-0.53</v>
      </c>
      <c r="N24" s="204">
        <f t="shared" si="3"/>
        <v>-0.01</v>
      </c>
      <c r="O24" s="205">
        <f t="shared" si="4"/>
        <v>0</v>
      </c>
      <c r="P24" s="206">
        <f t="shared" si="5"/>
        <v>0</v>
      </c>
      <c r="Q24" s="206">
        <f t="shared" si="6"/>
        <v>-0.01</v>
      </c>
      <c r="R24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4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108670</v>
      </c>
      <c r="T24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112040</v>
      </c>
      <c r="U24" s="208">
        <f ca="1">IF(Tabla336106734822[[#This Row],[Equity]]&lt;Tabla336106734822[[#This Row],[Equity Peak]],(Tabla336106734822[[#This Row],[Equity Peak]]-Tabla336106734822[[#This Row],[Equity]])/Tabla336106734822[[#This Row],[Equity Peak]],"")</f>
        <v>3.0078543377365225E-2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-0.01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6.5618055555532919</v>
      </c>
      <c r="AE24" s="210">
        <f t="shared" si="16"/>
        <v>0</v>
      </c>
      <c r="AF24" s="210">
        <f t="shared" si="17"/>
        <v>6.5618055555532919</v>
      </c>
      <c r="AG24" s="210">
        <f t="shared" si="18"/>
        <v>0</v>
      </c>
    </row>
    <row r="25" spans="2:33" ht="15" customHeight="1" x14ac:dyDescent="0.3">
      <c r="B25" s="196" t="s">
        <v>5</v>
      </c>
      <c r="C25" s="197" t="s">
        <v>13</v>
      </c>
      <c r="D25" s="198" t="str">
        <f t="shared" si="0"/>
        <v>C</v>
      </c>
      <c r="E25" s="199">
        <v>43955.118055555555</v>
      </c>
      <c r="F25" s="200" t="s">
        <v>90</v>
      </c>
      <c r="G25" s="201">
        <v>5156</v>
      </c>
      <c r="H25" s="201">
        <v>5248.2</v>
      </c>
      <c r="I25" s="202">
        <f t="shared" si="1"/>
        <v>92.199999999999818</v>
      </c>
      <c r="J25" s="201">
        <v>3926.71</v>
      </c>
      <c r="K25" s="199">
        <v>43955.213194444441</v>
      </c>
      <c r="L25" s="201">
        <v>5248.2</v>
      </c>
      <c r="M25" s="203">
        <f t="shared" si="2"/>
        <v>-92.2</v>
      </c>
      <c r="N25" s="204">
        <f t="shared" si="3"/>
        <v>-1</v>
      </c>
      <c r="O25" s="205">
        <f t="shared" si="4"/>
        <v>0</v>
      </c>
      <c r="P25" s="206">
        <f t="shared" si="5"/>
        <v>0</v>
      </c>
      <c r="Q25" s="206">
        <f t="shared" si="6"/>
        <v>-1</v>
      </c>
      <c r="R25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5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108680</v>
      </c>
      <c r="T25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112040</v>
      </c>
      <c r="U25" s="208">
        <f ca="1">IF(Tabla336106734822[[#This Row],[Equity]]&lt;Tabla336106734822[[#This Row],[Equity Peak]],(Tabla336106734822[[#This Row],[Equity Peak]]-Tabla336106734822[[#This Row],[Equity]])/Tabla336106734822[[#This Row],[Equity Peak]],"")</f>
        <v>2.9989289539450195E-2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-1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9.5138888886140194E-2</v>
      </c>
      <c r="AE25" s="210">
        <f t="shared" si="16"/>
        <v>0</v>
      </c>
      <c r="AF25" s="210">
        <f t="shared" si="17"/>
        <v>9.5138888886140194E-2</v>
      </c>
      <c r="AG25" s="210">
        <f t="shared" si="18"/>
        <v>0</v>
      </c>
    </row>
    <row r="26" spans="2:33" ht="15" customHeight="1" x14ac:dyDescent="0.3">
      <c r="B26" s="196" t="s">
        <v>5</v>
      </c>
      <c r="C26" s="197" t="s">
        <v>15</v>
      </c>
      <c r="D26" s="198" t="str">
        <f t="shared" si="0"/>
        <v>C</v>
      </c>
      <c r="E26" s="199">
        <v>43951.118055555555</v>
      </c>
      <c r="F26" s="200" t="s">
        <v>90</v>
      </c>
      <c r="G26" s="201">
        <v>5472</v>
      </c>
      <c r="H26" s="201">
        <v>5392.64</v>
      </c>
      <c r="I26" s="202">
        <f t="shared" si="1"/>
        <v>79.359999999999673</v>
      </c>
      <c r="J26" s="201">
        <v>6530.14</v>
      </c>
      <c r="K26" s="199">
        <v>43951.781944444447</v>
      </c>
      <c r="L26" s="201">
        <v>5434.44</v>
      </c>
      <c r="M26" s="203">
        <f t="shared" si="2"/>
        <v>-37.56</v>
      </c>
      <c r="N26" s="204">
        <f t="shared" si="3"/>
        <v>-0.47</v>
      </c>
      <c r="O26" s="205">
        <f t="shared" si="4"/>
        <v>0</v>
      </c>
      <c r="P26" s="206">
        <f t="shared" si="5"/>
        <v>0</v>
      </c>
      <c r="Q26" s="206">
        <f t="shared" si="6"/>
        <v>-0.47</v>
      </c>
      <c r="R26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6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109680</v>
      </c>
      <c r="T26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112040</v>
      </c>
      <c r="U26" s="208">
        <f ca="1">IF(Tabla336106734822[[#This Row],[Equity]]&lt;Tabla336106734822[[#This Row],[Equity Peak]],(Tabla336106734822[[#This Row],[Equity Peak]]-Tabla336106734822[[#This Row],[Equity]])/Tabla336106734822[[#This Row],[Equity Peak]],"")</f>
        <v>2.1063905747947163E-2</v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-0.47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0.66388888889196096</v>
      </c>
      <c r="AE26" s="210">
        <f t="shared" si="16"/>
        <v>0</v>
      </c>
      <c r="AF26" s="210">
        <f t="shared" si="17"/>
        <v>0.66388888889196096</v>
      </c>
      <c r="AG26" s="210">
        <f t="shared" si="18"/>
        <v>0</v>
      </c>
    </row>
    <row r="27" spans="2:33" ht="15" customHeight="1" x14ac:dyDescent="0.3">
      <c r="B27" s="196" t="s">
        <v>5</v>
      </c>
      <c r="C27" s="197" t="s">
        <v>13</v>
      </c>
      <c r="D27" s="198" t="str">
        <f t="shared" si="0"/>
        <v>C</v>
      </c>
      <c r="E27" s="199">
        <v>43942.590277777781</v>
      </c>
      <c r="F27" s="200" t="s">
        <v>90</v>
      </c>
      <c r="G27" s="201">
        <v>5145.6000000000004</v>
      </c>
      <c r="H27" s="201">
        <v>5260.45</v>
      </c>
      <c r="I27" s="202">
        <f t="shared" si="1"/>
        <v>114.84999999999945</v>
      </c>
      <c r="J27" s="201">
        <v>3614.31</v>
      </c>
      <c r="K27" s="199">
        <v>43943.353472222225</v>
      </c>
      <c r="L27" s="201">
        <v>5248.07</v>
      </c>
      <c r="M27" s="203">
        <f t="shared" si="2"/>
        <v>-102.47</v>
      </c>
      <c r="N27" s="204">
        <f t="shared" si="3"/>
        <v>-0.89</v>
      </c>
      <c r="O27" s="205">
        <f t="shared" si="4"/>
        <v>0</v>
      </c>
      <c r="P27" s="206">
        <f t="shared" si="5"/>
        <v>0</v>
      </c>
      <c r="Q27" s="206">
        <f t="shared" si="6"/>
        <v>-0.89</v>
      </c>
      <c r="R27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7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110150</v>
      </c>
      <c r="T27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112040</v>
      </c>
      <c r="U27" s="208">
        <f ca="1">IF(Tabla336106734822[[#This Row],[Equity]]&lt;Tabla336106734822[[#This Row],[Equity Peak]],(Tabla336106734822[[#This Row],[Equity Peak]]-Tabla336106734822[[#This Row],[Equity]])/Tabla336106734822[[#This Row],[Equity Peak]],"")</f>
        <v>1.6868975365940734E-2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-0.89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0.76319444444379769</v>
      </c>
      <c r="AE27" s="210">
        <f t="shared" si="16"/>
        <v>0</v>
      </c>
      <c r="AF27" s="210">
        <f t="shared" si="17"/>
        <v>0.76319444444379769</v>
      </c>
      <c r="AG27" s="210">
        <f t="shared" si="18"/>
        <v>0</v>
      </c>
    </row>
    <row r="28" spans="2:33" ht="15" customHeight="1" x14ac:dyDescent="0.3">
      <c r="B28" s="196" t="s">
        <v>5</v>
      </c>
      <c r="C28" s="197" t="s">
        <v>15</v>
      </c>
      <c r="D28" s="198" t="str">
        <f t="shared" si="0"/>
        <v>C</v>
      </c>
      <c r="E28" s="199">
        <v>43936.423611111109</v>
      </c>
      <c r="F28" s="200" t="s">
        <v>90</v>
      </c>
      <c r="G28" s="201">
        <v>5485.1</v>
      </c>
      <c r="H28" s="201">
        <v>5356.2</v>
      </c>
      <c r="I28" s="202">
        <f t="shared" si="1"/>
        <v>128.90000000000055</v>
      </c>
      <c r="J28" s="201">
        <v>7203.81</v>
      </c>
      <c r="K28" s="199">
        <v>43936.756944444445</v>
      </c>
      <c r="L28" s="201">
        <v>5356.2</v>
      </c>
      <c r="M28" s="203">
        <f t="shared" si="2"/>
        <v>-128.9</v>
      </c>
      <c r="N28" s="204">
        <f t="shared" si="3"/>
        <v>-1</v>
      </c>
      <c r="O28" s="205">
        <f t="shared" si="4"/>
        <v>0</v>
      </c>
      <c r="P28" s="206">
        <f t="shared" si="5"/>
        <v>0</v>
      </c>
      <c r="Q28" s="206">
        <f t="shared" si="6"/>
        <v>-1</v>
      </c>
      <c r="R28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8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111040</v>
      </c>
      <c r="T28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112040</v>
      </c>
      <c r="U28" s="208">
        <f ca="1">IF(Tabla336106734822[[#This Row],[Equity]]&lt;Tabla336106734822[[#This Row],[Equity Peak]],(Tabla336106734822[[#This Row],[Equity Peak]]-Tabla336106734822[[#This Row],[Equity]])/Tabla336106734822[[#This Row],[Equity Peak]],"")</f>
        <v>8.9253837915030353E-3</v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-1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0.33333333333575865</v>
      </c>
      <c r="AE28" s="210">
        <f t="shared" si="16"/>
        <v>0</v>
      </c>
      <c r="AF28" s="210">
        <f t="shared" si="17"/>
        <v>0.33333333333575865</v>
      </c>
      <c r="AG28" s="210">
        <f t="shared" si="18"/>
        <v>0</v>
      </c>
    </row>
    <row r="29" spans="2:33" ht="15" customHeight="1" x14ac:dyDescent="0.3">
      <c r="B29" s="196" t="s">
        <v>5</v>
      </c>
      <c r="C29" s="197" t="s">
        <v>13</v>
      </c>
      <c r="D29" s="198" t="str">
        <f t="shared" si="0"/>
        <v>C</v>
      </c>
      <c r="E29" s="199">
        <v>43886.201388888891</v>
      </c>
      <c r="F29" s="200" t="s">
        <v>90</v>
      </c>
      <c r="G29" s="201">
        <v>6882.1</v>
      </c>
      <c r="H29" s="201">
        <v>6959.24</v>
      </c>
      <c r="I29" s="202">
        <f t="shared" si="1"/>
        <v>77.139999999999418</v>
      </c>
      <c r="J29" s="201">
        <v>5853.53</v>
      </c>
      <c r="K29" s="199">
        <v>43899.185416666667</v>
      </c>
      <c r="L29" s="201">
        <v>5853.53</v>
      </c>
      <c r="M29" s="203">
        <f t="shared" si="2"/>
        <v>1028.57</v>
      </c>
      <c r="N29" s="204">
        <f t="shared" si="3"/>
        <v>13.33</v>
      </c>
      <c r="O29" s="205">
        <f t="shared" si="4"/>
        <v>0</v>
      </c>
      <c r="P29" s="206">
        <f t="shared" si="5"/>
        <v>13.33</v>
      </c>
      <c r="Q29" s="206">
        <f t="shared" si="6"/>
        <v>0</v>
      </c>
      <c r="R29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9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112040</v>
      </c>
      <c r="T29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112040</v>
      </c>
      <c r="U29" s="208" t="str">
        <f ca="1">IF(Tabla336106734822[[#This Row],[Equity]]&lt;Tabla336106734822[[#This Row],[Equity Peak]],(Tabla336106734822[[#This Row],[Equity Peak]]-Tabla336106734822[[#This Row],[Equity]])/Tabla336106734822[[#This Row],[Equity Peak]],"")</f>
        <v/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13.33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12.984027777776646</v>
      </c>
      <c r="AE29" s="210">
        <f t="shared" si="16"/>
        <v>12.984027777776646</v>
      </c>
      <c r="AF29" s="210">
        <f t="shared" si="17"/>
        <v>0</v>
      </c>
      <c r="AG29" s="210">
        <f t="shared" si="18"/>
        <v>0</v>
      </c>
    </row>
    <row r="30" spans="2:33" ht="15" customHeight="1" x14ac:dyDescent="0.3">
      <c r="B30" s="196" t="s">
        <v>5</v>
      </c>
      <c r="C30" s="197" t="s">
        <v>15</v>
      </c>
      <c r="D30" s="198" t="str">
        <f t="shared" si="0"/>
        <v>C</v>
      </c>
      <c r="E30" s="199">
        <v>43880.840277777781</v>
      </c>
      <c r="F30" s="200" t="s">
        <v>90</v>
      </c>
      <c r="G30" s="201">
        <v>7164.3</v>
      </c>
      <c r="H30" s="201">
        <v>7132.66</v>
      </c>
      <c r="I30" s="202">
        <f t="shared" si="1"/>
        <v>31.640000000000327</v>
      </c>
      <c r="J30" s="201">
        <v>7586.16</v>
      </c>
      <c r="K30" s="199">
        <v>43881.783333333333</v>
      </c>
      <c r="L30" s="201">
        <v>7135.6</v>
      </c>
      <c r="M30" s="203">
        <f t="shared" si="2"/>
        <v>-28.7</v>
      </c>
      <c r="N30" s="204">
        <f t="shared" si="3"/>
        <v>-0.91</v>
      </c>
      <c r="O30" s="205">
        <f t="shared" si="4"/>
        <v>0</v>
      </c>
      <c r="P30" s="206">
        <f t="shared" si="5"/>
        <v>0</v>
      </c>
      <c r="Q30" s="206">
        <f t="shared" si="6"/>
        <v>-0.91</v>
      </c>
      <c r="R30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30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98710</v>
      </c>
      <c r="T30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0" s="208">
        <f ca="1">IF(Tabla336106734822[[#This Row],[Equity]]&lt;Tabla336106734822[[#This Row],[Equity Peak]],(Tabla336106734822[[#This Row],[Equity Peak]]-Tabla336106734822[[#This Row],[Equity]])/Tabla336106734822[[#This Row],[Equity Peak]],"")</f>
        <v>1.29E-2</v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-0.91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0.94305555555183673</v>
      </c>
      <c r="AE30" s="210">
        <f t="shared" si="16"/>
        <v>0</v>
      </c>
      <c r="AF30" s="210">
        <f t="shared" si="17"/>
        <v>0.94305555555183673</v>
      </c>
      <c r="AG30" s="210">
        <f t="shared" si="18"/>
        <v>0</v>
      </c>
    </row>
    <row r="31" spans="2:33" ht="15" customHeight="1" x14ac:dyDescent="0.3">
      <c r="B31" s="196" t="s">
        <v>5</v>
      </c>
      <c r="C31" s="197" t="s">
        <v>15</v>
      </c>
      <c r="D31" s="198" t="str">
        <f t="shared" si="0"/>
        <v>C</v>
      </c>
      <c r="E31" s="199">
        <v>43844.201388888891</v>
      </c>
      <c r="F31" s="200" t="s">
        <v>90</v>
      </c>
      <c r="G31" s="201">
        <v>6948.5</v>
      </c>
      <c r="H31" s="201">
        <v>6909.65</v>
      </c>
      <c r="I31" s="202">
        <f t="shared" si="1"/>
        <v>38.850000000000364</v>
      </c>
      <c r="J31" s="201">
        <v>7466.5</v>
      </c>
      <c r="K31" s="199">
        <v>43858.034722222219</v>
      </c>
      <c r="L31" s="201">
        <v>7050.33</v>
      </c>
      <c r="M31" s="203">
        <f t="shared" si="2"/>
        <v>101.83</v>
      </c>
      <c r="N31" s="204">
        <f t="shared" si="3"/>
        <v>2.62</v>
      </c>
      <c r="O31" s="205">
        <f t="shared" si="4"/>
        <v>0</v>
      </c>
      <c r="P31" s="206">
        <f t="shared" si="5"/>
        <v>2.62</v>
      </c>
      <c r="Q31" s="206">
        <f t="shared" si="6"/>
        <v>0</v>
      </c>
      <c r="R31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31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99620</v>
      </c>
      <c r="T31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1" s="208">
        <f ca="1">IF(Tabla336106734822[[#This Row],[Equity]]&lt;Tabla336106734822[[#This Row],[Equity Peak]],(Tabla336106734822[[#This Row],[Equity Peak]]-Tabla336106734822[[#This Row],[Equity]])/Tabla336106734822[[#This Row],[Equity Peak]],"")</f>
        <v>3.8E-3</v>
      </c>
      <c r="V31" s="209">
        <f t="shared" si="7"/>
        <v>0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2.62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13.833333333328483</v>
      </c>
      <c r="AE31" s="210">
        <f t="shared" si="16"/>
        <v>13.833333333328483</v>
      </c>
      <c r="AF31" s="210">
        <f t="shared" si="17"/>
        <v>0</v>
      </c>
      <c r="AG31" s="210">
        <f t="shared" si="18"/>
        <v>0</v>
      </c>
    </row>
    <row r="32" spans="2:33" ht="15" customHeight="1" x14ac:dyDescent="0.3">
      <c r="B32" s="196" t="s">
        <v>5</v>
      </c>
      <c r="C32" s="197" t="s">
        <v>15</v>
      </c>
      <c r="D32" s="198" t="str">
        <f t="shared" si="0"/>
        <v>C</v>
      </c>
      <c r="E32" s="199">
        <v>43840.201388888891</v>
      </c>
      <c r="F32" s="200" t="s">
        <v>90</v>
      </c>
      <c r="G32" s="201">
        <v>6924.6</v>
      </c>
      <c r="H32" s="201">
        <v>6880.14</v>
      </c>
      <c r="I32" s="202">
        <f t="shared" si="1"/>
        <v>44.460000000000036</v>
      </c>
      <c r="J32" s="201">
        <v>7517.46</v>
      </c>
      <c r="K32" s="199">
        <v>43840.75277777778</v>
      </c>
      <c r="L32" s="201">
        <v>6880.14</v>
      </c>
      <c r="M32" s="203">
        <f t="shared" si="2"/>
        <v>-44.46</v>
      </c>
      <c r="N32" s="204">
        <f t="shared" si="3"/>
        <v>-1</v>
      </c>
      <c r="O32" s="205">
        <f t="shared" si="4"/>
        <v>0</v>
      </c>
      <c r="P32" s="206">
        <f t="shared" si="5"/>
        <v>0</v>
      </c>
      <c r="Q32" s="206">
        <f t="shared" si="6"/>
        <v>-1</v>
      </c>
      <c r="R32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32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97000</v>
      </c>
      <c r="T32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2" s="208">
        <f ca="1">IF(Tabla336106734822[[#This Row],[Equity]]&lt;Tabla336106734822[[#This Row],[Equity Peak]],(Tabla336106734822[[#This Row],[Equity Peak]]-Tabla336106734822[[#This Row],[Equity]])/Tabla336106734822[[#This Row],[Equity Peak]],"")</f>
        <v>0.03</v>
      </c>
      <c r="V32" s="209">
        <f t="shared" si="7"/>
        <v>0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-1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0.55138888888905058</v>
      </c>
      <c r="AE32" s="210">
        <f t="shared" si="16"/>
        <v>0</v>
      </c>
      <c r="AF32" s="210">
        <f t="shared" si="17"/>
        <v>0.55138888888905058</v>
      </c>
      <c r="AG32" s="210">
        <f t="shared" si="18"/>
        <v>0</v>
      </c>
    </row>
    <row r="33" spans="2:33" ht="15" customHeight="1" x14ac:dyDescent="0.3">
      <c r="B33" s="196" t="s">
        <v>5</v>
      </c>
      <c r="C33" s="197" t="s">
        <v>15</v>
      </c>
      <c r="D33" s="198" t="str">
        <f t="shared" si="0"/>
        <v>C</v>
      </c>
      <c r="E33" s="199">
        <v>43837.840277777781</v>
      </c>
      <c r="F33" s="200" t="s">
        <v>90</v>
      </c>
      <c r="G33" s="201">
        <v>6825.6</v>
      </c>
      <c r="H33" s="201">
        <v>6771.47</v>
      </c>
      <c r="I33" s="202">
        <f t="shared" si="1"/>
        <v>54.130000000000109</v>
      </c>
      <c r="J33" s="201">
        <v>7547.31</v>
      </c>
      <c r="K33" s="199">
        <v>43838.138194444444</v>
      </c>
      <c r="L33" s="201">
        <v>6771.47</v>
      </c>
      <c r="M33" s="203">
        <f t="shared" si="2"/>
        <v>-54.13</v>
      </c>
      <c r="N33" s="204">
        <f t="shared" si="3"/>
        <v>-1</v>
      </c>
      <c r="O33" s="205">
        <f t="shared" si="4"/>
        <v>0</v>
      </c>
      <c r="P33" s="206">
        <f t="shared" si="5"/>
        <v>0</v>
      </c>
      <c r="Q33" s="206">
        <f t="shared" si="6"/>
        <v>-1</v>
      </c>
      <c r="R33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33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98000</v>
      </c>
      <c r="T33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3" s="208">
        <f ca="1">IF(Tabla336106734822[[#This Row],[Equity]]&lt;Tabla336106734822[[#This Row],[Equity Peak]],(Tabla336106734822[[#This Row],[Equity Peak]]-Tabla336106734822[[#This Row],[Equity]])/Tabla336106734822[[#This Row],[Equity Peak]],"")</f>
        <v>0.02</v>
      </c>
      <c r="V33" s="209">
        <f t="shared" si="7"/>
        <v>0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-1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0.29791666666278616</v>
      </c>
      <c r="AE33" s="210">
        <f t="shared" si="16"/>
        <v>0</v>
      </c>
      <c r="AF33" s="210">
        <f t="shared" si="17"/>
        <v>0.29791666666278616</v>
      </c>
      <c r="AG33" s="210">
        <f t="shared" si="18"/>
        <v>0</v>
      </c>
    </row>
    <row r="34" spans="2:33" ht="15" customHeight="1" x14ac:dyDescent="0.3">
      <c r="B34" s="196" t="s">
        <v>5</v>
      </c>
      <c r="C34" s="197" t="s">
        <v>13</v>
      </c>
      <c r="D34" s="198" t="str">
        <f t="shared" si="0"/>
        <v>C</v>
      </c>
      <c r="E34" s="199">
        <v>43832.340277777781</v>
      </c>
      <c r="F34" s="200" t="s">
        <v>90</v>
      </c>
      <c r="G34" s="201">
        <v>6687.2</v>
      </c>
      <c r="H34" s="201">
        <v>6731.18</v>
      </c>
      <c r="I34" s="202">
        <f t="shared" si="1"/>
        <v>43.980000000000473</v>
      </c>
      <c r="J34" s="201">
        <v>6100.77</v>
      </c>
      <c r="K34" s="199">
        <v>43832.425694444442</v>
      </c>
      <c r="L34" s="201">
        <v>6731.18</v>
      </c>
      <c r="M34" s="203">
        <f t="shared" si="2"/>
        <v>-43.98</v>
      </c>
      <c r="N34" s="204">
        <f t="shared" si="3"/>
        <v>-1</v>
      </c>
      <c r="O34" s="205">
        <f t="shared" si="4"/>
        <v>0</v>
      </c>
      <c r="P34" s="206">
        <f t="shared" si="5"/>
        <v>0</v>
      </c>
      <c r="Q34" s="206">
        <f t="shared" si="6"/>
        <v>-1</v>
      </c>
      <c r="R34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Yes</v>
      </c>
      <c r="S34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99000</v>
      </c>
      <c r="T34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100000</v>
      </c>
      <c r="U34" s="208">
        <f ca="1">IF(Tabla336106734822[[#This Row],[Equity]]&lt;Tabla336106734822[[#This Row],[Equity Peak]],(Tabla336106734822[[#This Row],[Equity Peak]]-Tabla336106734822[[#This Row],[Equity]])/Tabla336106734822[[#This Row],[Equity Peak]],"")</f>
        <v>0.01</v>
      </c>
      <c r="V34" s="209">
        <f t="shared" si="7"/>
        <v>0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-1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8.5416666661330964E-2</v>
      </c>
      <c r="AE34" s="210">
        <f t="shared" si="16"/>
        <v>0</v>
      </c>
      <c r="AF34" s="210">
        <f t="shared" si="17"/>
        <v>8.5416666661330964E-2</v>
      </c>
      <c r="AG34" s="210">
        <f t="shared" si="18"/>
        <v>0</v>
      </c>
    </row>
  </sheetData>
  <sheetProtection algorithmName="SHA-512" hashValue="t5fMiCcjfoNHJGuOENqExjDY1CT0qXAeL6ozi2z3QzhO43Iwo24KPCrNMfI4cY/esjYDtVXJAyLM3/o6JqeuPw==" saltValue="s19MHk/CVskDp+j6Sx9Co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335" priority="3" operator="equal">
      <formula>"OK"</formula>
    </cfRule>
    <cfRule type="cellIs" dxfId="334" priority="4" operator="equal">
      <formula>"warning"</formula>
    </cfRule>
  </conditionalFormatting>
  <conditionalFormatting sqref="F13">
    <cfRule type="cellIs" dxfId="333" priority="1" operator="equal">
      <formula>"OK"</formula>
    </cfRule>
    <cfRule type="cellIs" dxfId="332" priority="2" operator="equal">
      <formula>"Error!!"</formula>
    </cfRule>
  </conditionalFormatting>
  <conditionalFormatting sqref="E15:H15 K15:L15">
    <cfRule type="expression" dxfId="331" priority="5">
      <formula>+$D15=#REF!</formula>
    </cfRule>
    <cfRule type="expression" dxfId="330" priority="6">
      <formula>+$D15=#REF!</formula>
    </cfRule>
  </conditionalFormatting>
  <conditionalFormatting sqref="D15 K16:L16 D16:H34 J17:L34">
    <cfRule type="expression" dxfId="329" priority="7">
      <formula>+$D15=$AG$8</formula>
    </cfRule>
    <cfRule type="expression" dxfId="32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DF92C5EE-8796-465E-8962-CDC43936CECC}">
      <formula1>$AE$4:$AE$6</formula1>
    </dataValidation>
    <dataValidation type="list" allowBlank="1" showInputMessage="1" showErrorMessage="1" promptTitle="Trade Direction" prompt="Select from List" sqref="C15:C16" xr:uid="{1DAB9098-AF19-437D-8081-0752F8F81916}">
      <formula1>$AG$4:$AG$5</formula1>
    </dataValidation>
    <dataValidation type="list" allowBlank="1" showInputMessage="1" showErrorMessage="1" promptTitle="Instrument Type" prompt="Select Type from List_x000a_" sqref="B17:B34" xr:uid="{94EDD2AE-0B4A-4397-AF38-628FFACC3DF2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FCD4-2ECC-4A6B-8B13-798EFE5F2AFA}">
  <sheetPr codeName="Hoja16">
    <pageSetUpPr fitToPage="1"/>
  </sheetPr>
  <dimension ref="A1:AX24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COUNTA(Tabla336106734810[Inst])</f>
        <v>8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1.52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1.52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COUNTIF(Tabla336106734810[No. of Rs],"&gt;0")</f>
        <v>2</v>
      </c>
      <c r="G7" s="24">
        <f>IFERROR((F7/$F$6),"")</f>
        <v>0.25</v>
      </c>
      <c r="H7" s="78">
        <f>IFERROR((+P13/F7),"")</f>
        <v>2.42</v>
      </c>
      <c r="I7" s="227">
        <f>H7/H9</f>
        <v>4.3734939759036155</v>
      </c>
      <c r="J7" s="227">
        <f>AVERAGE(Tabla336106734810[No. of Rs])</f>
        <v>0.19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COUNTIF(Tabla336106734810[No.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OFFSET(Tabla336106734810[[#Headers],[Equity]],1,0)</f>
        <v>101520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COUNTIF(Tabla336106734810[No. of Rs],"&lt;0")</f>
        <v>6</v>
      </c>
      <c r="G9" s="32">
        <f>IFERROR((F9/$F$6),"")</f>
        <v>0.75</v>
      </c>
      <c r="H9" s="79">
        <f>IFERROR((-Q13/F9),"")</f>
        <v>0.55333333333333323</v>
      </c>
      <c r="I9" s="229"/>
      <c r="J9" s="229"/>
      <c r="K9" s="149"/>
      <c r="L9" s="230" t="s">
        <v>106</v>
      </c>
      <c r="M9" s="231"/>
      <c r="N9" s="125">
        <f ca="1">MAX(Tabla336106734810[Drawdown])</f>
        <v>2.395612853569367E-2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OFFSET(Tabla336106734810[[#Headers],[Drawdown]],1,0)</f>
        <v>2.3282663074850874E-2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COUNTIF(Tabla336106734810[Heat],"&lt;0")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IF(COUNTIFS(Tabla336106734810[O/C],"O")&lt;1,"None",COUNTIFS(Tabla336106734810[O/C],"O"))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SUM(Tabla336106734810[No. of Rs])</f>
        <v>1.52</v>
      </c>
      <c r="O13" s="42">
        <f>SUM(Tabla336106734810[Heat])</f>
        <v>0</v>
      </c>
      <c r="P13" s="43">
        <f>SUM(Tabla336106734810[[ TR WIN]])</f>
        <v>4.84</v>
      </c>
      <c r="Q13" s="43">
        <f>SUM(Tabla336106734810[[ TR LOSS]])</f>
        <v>-3.3199999999999994</v>
      </c>
      <c r="R13" s="114"/>
      <c r="S13" s="115"/>
      <c r="T13" s="115"/>
      <c r="U13" s="121"/>
      <c r="V13" s="44">
        <f>SUM(Tabla336106734810[Currency])</f>
        <v>0</v>
      </c>
      <c r="W13" s="44">
        <f>SUM(Tabla336106734810[Heat3])</f>
        <v>0</v>
      </c>
      <c r="X13" s="44">
        <f>SUM(Tabla336106734810[Commodities])</f>
        <v>0</v>
      </c>
      <c r="Y13" s="44">
        <f>SUM(Tabla336106734810[Heat4])</f>
        <v>0</v>
      </c>
      <c r="Z13" s="44">
        <f>SUM(Tabla336106734810[Index])</f>
        <v>1.52</v>
      </c>
      <c r="AA13" s="44">
        <f>SUM(Tabla336106734810[Heat5])</f>
        <v>0</v>
      </c>
      <c r="AB13" s="44">
        <f>SUM(Tabla336106734810[Cryptocurrency])</f>
        <v>0</v>
      </c>
      <c r="AC13" s="44">
        <f>SUM(Tabla336106734810[Heat6])</f>
        <v>0</v>
      </c>
      <c r="AD13" s="75">
        <f>AVERAGEIF(Tabla336106734810[Length of 
Trade],"&lt;&gt;0")</f>
        <v>12.233506944446162</v>
      </c>
      <c r="AE13" s="75">
        <f>AVERAGEIF(Tabla336106734810[Win],"&lt;&gt;0")</f>
        <v>21.365625000002183</v>
      </c>
      <c r="AF13" s="75">
        <f>AVERAGEIF(Tabla336106734810[Loss],"&lt;&gt;0")</f>
        <v>9.1894675925941556</v>
      </c>
      <c r="AG13" s="76" t="e">
        <f>AVERAGEIF(Tabla336106734810[Breakeven],"&lt;&gt;0")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24" si="0">IF(E17&lt;&gt;"",IF(K17&lt;&gt;"","C","O"),"")</f>
        <v>C</v>
      </c>
      <c r="E17" s="199">
        <v>44181.5</v>
      </c>
      <c r="F17" s="200" t="s">
        <v>91</v>
      </c>
      <c r="G17" s="201">
        <v>13579.25</v>
      </c>
      <c r="H17" s="201">
        <v>13327.61</v>
      </c>
      <c r="I17" s="202">
        <f t="shared" ref="I17:I24" si="1">ABS(G17-H17)</f>
        <v>251.63999999999942</v>
      </c>
      <c r="J17" s="201">
        <v>14585.8</v>
      </c>
      <c r="K17" s="199">
        <v>44186.39166666667</v>
      </c>
      <c r="L17" s="201">
        <v>13386.39</v>
      </c>
      <c r="M17" s="203">
        <f t="shared" ref="M17:M24" si="2">ROUND(IF(C17="L",(L17-G17),(G17-L17)),4)</f>
        <v>-192.86</v>
      </c>
      <c r="N17" s="204">
        <f t="shared" ref="N17:N24" si="3">IFERROR(ROUND((M17/I17),2),"")</f>
        <v>-0.77</v>
      </c>
      <c r="O17" s="205">
        <f t="shared" ref="O17:O24" si="4">IF(D17="O",IF(N17&lt;0,N17,0),0)</f>
        <v>0</v>
      </c>
      <c r="P17" s="206">
        <f t="shared" ref="P17:P24" si="5">IF(N17&gt;= 0,N17,0)</f>
        <v>0</v>
      </c>
      <c r="Q17" s="206">
        <f t="shared" ref="Q17:Q24" si="6">IF(N17&lt;0,N17,0)</f>
        <v>-0.77</v>
      </c>
      <c r="R17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7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101520</v>
      </c>
      <c r="T17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103940</v>
      </c>
      <c r="U17" s="208">
        <f ca="1">IF(Tabla336106734810[[#This Row],[Equity]]&lt;Tabla336106734810[[#This Row],[Equity Peak]],(Tabla336106734810[[#This Row],[Equity Peak]]-Tabla336106734810[[#This Row],[Equity]])/Tabla336106734810[[#This Row],[Equity Peak]],"")</f>
        <v>2.3282663074850874E-2</v>
      </c>
      <c r="V17" s="209">
        <f t="shared" ref="V17:V24" si="7">IF(B17="FX",N17,0)</f>
        <v>0</v>
      </c>
      <c r="W17" s="209">
        <f t="shared" ref="W17:W24" si="8">IF(D17="O",IF(V17&lt;0,V17,0),0)</f>
        <v>0</v>
      </c>
      <c r="X17" s="209">
        <f t="shared" ref="X17:X24" si="9">IF(B17="COM",N17,0)</f>
        <v>0</v>
      </c>
      <c r="Y17" s="209">
        <f t="shared" ref="Y17:Y24" si="10">IF(D17="O",IF(X17&lt;0,X17,0),0)</f>
        <v>0</v>
      </c>
      <c r="Z17" s="209">
        <f t="shared" ref="Z17:Z24" si="11">IF(B17="IND",N17,0)</f>
        <v>-0.77</v>
      </c>
      <c r="AA17" s="205">
        <f t="shared" ref="AA17:AA24" si="12">IF(D17="O",IF(Z17&lt;0,Z17,0),0)</f>
        <v>0</v>
      </c>
      <c r="AB17" s="209">
        <f t="shared" ref="AB17:AB24" si="13">IF(B17="CRYPTO",N17,0)</f>
        <v>0</v>
      </c>
      <c r="AC17" s="205">
        <f t="shared" ref="AC17:AC24" si="14">IF(D17="O",IF(AB17&lt;0,AB17,0),0)</f>
        <v>0</v>
      </c>
      <c r="AD17" s="210">
        <f t="shared" ref="AD17:AD24" si="15">IF(K17&lt;&gt;"",K17-E17,0)</f>
        <v>4.8916666666700621</v>
      </c>
      <c r="AE17" s="210">
        <f t="shared" ref="AE17:AE24" si="16">IF(N17&gt;0,AD17,0)</f>
        <v>0</v>
      </c>
      <c r="AF17" s="210">
        <f t="shared" ref="AF17:AF24" si="17">IF(N17&lt;0,AD17,0)</f>
        <v>4.8916666666700621</v>
      </c>
      <c r="AG17" s="210">
        <f t="shared" ref="AG17:AG24" si="18">IF(N17=0,AD17,0)</f>
        <v>0</v>
      </c>
    </row>
    <row r="18" spans="2:33" ht="15" customHeight="1" x14ac:dyDescent="0.3">
      <c r="B18" s="196" t="s">
        <v>5</v>
      </c>
      <c r="C18" s="197" t="s">
        <v>15</v>
      </c>
      <c r="D18" s="198" t="str">
        <f t="shared" si="0"/>
        <v>C</v>
      </c>
      <c r="E18" s="199">
        <v>44144.541666666664</v>
      </c>
      <c r="F18" s="200" t="s">
        <v>91</v>
      </c>
      <c r="G18" s="201">
        <v>12723.75</v>
      </c>
      <c r="H18" s="201">
        <v>12312.45</v>
      </c>
      <c r="I18" s="202">
        <f t="shared" si="1"/>
        <v>411.29999999999927</v>
      </c>
      <c r="J18" s="201">
        <v>14368.93</v>
      </c>
      <c r="K18" s="199">
        <v>44176.537499999999</v>
      </c>
      <c r="L18" s="201">
        <v>13068.94</v>
      </c>
      <c r="M18" s="203">
        <f t="shared" si="2"/>
        <v>345.19</v>
      </c>
      <c r="N18" s="204">
        <f t="shared" si="3"/>
        <v>0.84</v>
      </c>
      <c r="O18" s="205">
        <f t="shared" si="4"/>
        <v>0</v>
      </c>
      <c r="P18" s="206">
        <f t="shared" si="5"/>
        <v>0.84</v>
      </c>
      <c r="Q18" s="206">
        <f t="shared" si="6"/>
        <v>0</v>
      </c>
      <c r="R18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8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102290</v>
      </c>
      <c r="T18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103940</v>
      </c>
      <c r="U18" s="208">
        <f ca="1">IF(Tabla336106734810[[#This Row],[Equity]]&lt;Tabla336106734810[[#This Row],[Equity Peak]],(Tabla336106734810[[#This Row],[Equity Peak]]-Tabla336106734810[[#This Row],[Equity]])/Tabla336106734810[[#This Row],[Equity Peak]],"")</f>
        <v>1.5874543005580142E-2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0.84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31.995833333334303</v>
      </c>
      <c r="AE18" s="210">
        <f t="shared" si="16"/>
        <v>31.995833333334303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44112.666666666664</v>
      </c>
      <c r="F19" s="200" t="s">
        <v>91</v>
      </c>
      <c r="G19" s="201">
        <v>13038.15</v>
      </c>
      <c r="H19" s="201">
        <v>12722.2</v>
      </c>
      <c r="I19" s="202">
        <f t="shared" si="1"/>
        <v>315.94999999999891</v>
      </c>
      <c r="J19" s="201">
        <v>14301.94</v>
      </c>
      <c r="K19" s="199">
        <v>44119.40902777778</v>
      </c>
      <c r="L19" s="201">
        <v>12884.04</v>
      </c>
      <c r="M19" s="203">
        <f t="shared" si="2"/>
        <v>-154.11000000000001</v>
      </c>
      <c r="N19" s="204">
        <f t="shared" si="3"/>
        <v>-0.49</v>
      </c>
      <c r="O19" s="205">
        <f t="shared" si="4"/>
        <v>0</v>
      </c>
      <c r="P19" s="206">
        <f t="shared" si="5"/>
        <v>0</v>
      </c>
      <c r="Q19" s="206">
        <f t="shared" si="6"/>
        <v>-0.49</v>
      </c>
      <c r="R19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9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101450</v>
      </c>
      <c r="T19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103940</v>
      </c>
      <c r="U19" s="208">
        <f ca="1">IF(Tabla336106734810[[#This Row],[Equity]]&lt;Tabla336106734810[[#This Row],[Equity Peak]],(Tabla336106734810[[#This Row],[Equity Peak]]-Tabla336106734810[[#This Row],[Equity]])/Tabla336106734810[[#This Row],[Equity Peak]],"")</f>
        <v>2.395612853569367E-2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-0.49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6.742361111115315</v>
      </c>
      <c r="AE19" s="210">
        <f t="shared" si="16"/>
        <v>0</v>
      </c>
      <c r="AF19" s="210">
        <f t="shared" si="17"/>
        <v>6.742361111115315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15</v>
      </c>
      <c r="D20" s="198" t="str">
        <f t="shared" si="0"/>
        <v>C</v>
      </c>
      <c r="E20" s="199">
        <v>44054.5</v>
      </c>
      <c r="F20" s="200" t="s">
        <v>91</v>
      </c>
      <c r="G20" s="201">
        <v>13001.05</v>
      </c>
      <c r="H20" s="201">
        <v>12658.35</v>
      </c>
      <c r="I20" s="202">
        <f t="shared" si="1"/>
        <v>342.69999999999891</v>
      </c>
      <c r="J20" s="201">
        <v>14371.85</v>
      </c>
      <c r="K20" s="199">
        <v>44064.637499999997</v>
      </c>
      <c r="L20" s="201">
        <v>12658.35</v>
      </c>
      <c r="M20" s="203">
        <f t="shared" si="2"/>
        <v>-342.7</v>
      </c>
      <c r="N20" s="204">
        <f t="shared" si="3"/>
        <v>-1</v>
      </c>
      <c r="O20" s="205">
        <f t="shared" si="4"/>
        <v>0</v>
      </c>
      <c r="P20" s="206">
        <f t="shared" si="5"/>
        <v>0</v>
      </c>
      <c r="Q20" s="206">
        <f t="shared" si="6"/>
        <v>-1</v>
      </c>
      <c r="R20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0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101940</v>
      </c>
      <c r="T20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103940</v>
      </c>
      <c r="U20" s="208">
        <f ca="1">IF(Tabla336106734810[[#This Row],[Equity]]&lt;Tabla336106734810[[#This Row],[Equity Peak]],(Tabla336106734810[[#This Row],[Equity Peak]]-Tabla336106734810[[#This Row],[Equity]])/Tabla336106734810[[#This Row],[Equity Peak]],"")</f>
        <v>1.9241870309794112E-2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-1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10.13749999999709</v>
      </c>
      <c r="AE20" s="210">
        <f t="shared" si="16"/>
        <v>0</v>
      </c>
      <c r="AF20" s="210">
        <f t="shared" si="17"/>
        <v>10.13749999999709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13</v>
      </c>
      <c r="D21" s="198" t="str">
        <f t="shared" si="0"/>
        <v>C</v>
      </c>
      <c r="E21" s="199">
        <v>43966.166666666664</v>
      </c>
      <c r="F21" s="200" t="s">
        <v>91</v>
      </c>
      <c r="G21" s="201">
        <v>10434.16</v>
      </c>
      <c r="H21" s="201">
        <v>10896.36</v>
      </c>
      <c r="I21" s="202">
        <f t="shared" si="1"/>
        <v>462.20000000000073</v>
      </c>
      <c r="J21" s="201">
        <v>8585.36</v>
      </c>
      <c r="K21" s="199">
        <v>43969.661805555559</v>
      </c>
      <c r="L21" s="201">
        <v>10896.36</v>
      </c>
      <c r="M21" s="203">
        <f t="shared" si="2"/>
        <v>-462.2</v>
      </c>
      <c r="N21" s="204">
        <f t="shared" si="3"/>
        <v>-1</v>
      </c>
      <c r="O21" s="205">
        <f t="shared" si="4"/>
        <v>0</v>
      </c>
      <c r="P21" s="206">
        <f t="shared" si="5"/>
        <v>0</v>
      </c>
      <c r="Q21" s="206">
        <f t="shared" si="6"/>
        <v>-1</v>
      </c>
      <c r="R21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1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102940</v>
      </c>
      <c r="T21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103940</v>
      </c>
      <c r="U21" s="208">
        <f ca="1">IF(Tabla336106734810[[#This Row],[Equity]]&lt;Tabla336106734810[[#This Row],[Equity Peak]],(Tabla336106734810[[#This Row],[Equity Peak]]-Tabla336106734810[[#This Row],[Equity]])/Tabla336106734810[[#This Row],[Equity Peak]],"")</f>
        <v>9.6209351548970558E-3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-1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3.4951388888948713</v>
      </c>
      <c r="AE21" s="210">
        <f t="shared" si="16"/>
        <v>0</v>
      </c>
      <c r="AF21" s="210">
        <f t="shared" si="17"/>
        <v>3.4951388888948713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13</v>
      </c>
      <c r="D22" s="198" t="str">
        <f t="shared" si="0"/>
        <v>C</v>
      </c>
      <c r="E22" s="199">
        <v>43885.875</v>
      </c>
      <c r="F22" s="200" t="s">
        <v>91</v>
      </c>
      <c r="G22" s="201">
        <v>13003.98</v>
      </c>
      <c r="H22" s="201">
        <v>13390.5</v>
      </c>
      <c r="I22" s="202">
        <f t="shared" si="1"/>
        <v>386.52000000000044</v>
      </c>
      <c r="J22" s="201">
        <v>11457.9</v>
      </c>
      <c r="K22" s="199">
        <v>43896.61041666667</v>
      </c>
      <c r="L22" s="201">
        <v>11457.9</v>
      </c>
      <c r="M22" s="203">
        <f t="shared" si="2"/>
        <v>1546.08</v>
      </c>
      <c r="N22" s="204">
        <f t="shared" si="3"/>
        <v>4</v>
      </c>
      <c r="O22" s="205">
        <f t="shared" si="4"/>
        <v>0</v>
      </c>
      <c r="P22" s="206">
        <f t="shared" si="5"/>
        <v>4</v>
      </c>
      <c r="Q22" s="206">
        <f t="shared" si="6"/>
        <v>0</v>
      </c>
      <c r="R22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2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103940</v>
      </c>
      <c r="T22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103940</v>
      </c>
      <c r="U22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4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10.735416666670062</v>
      </c>
      <c r="AE22" s="210">
        <f t="shared" si="16"/>
        <v>10.735416666670062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15</v>
      </c>
      <c r="D23" s="198" t="str">
        <f t="shared" si="0"/>
        <v>C</v>
      </c>
      <c r="E23" s="199">
        <v>43867.5</v>
      </c>
      <c r="F23" s="200" t="s">
        <v>91</v>
      </c>
      <c r="G23" s="201">
        <v>13558.17</v>
      </c>
      <c r="H23" s="201">
        <v>13283.59</v>
      </c>
      <c r="I23" s="202">
        <f t="shared" si="1"/>
        <v>274.57999999999993</v>
      </c>
      <c r="J23" s="201">
        <v>14656.48</v>
      </c>
      <c r="K23" s="199">
        <v>43882.767361111109</v>
      </c>
      <c r="L23" s="201">
        <v>13554.75</v>
      </c>
      <c r="M23" s="203">
        <f t="shared" si="2"/>
        <v>-3.42</v>
      </c>
      <c r="N23" s="204">
        <f t="shared" si="3"/>
        <v>-0.01</v>
      </c>
      <c r="O23" s="205">
        <f t="shared" si="4"/>
        <v>0</v>
      </c>
      <c r="P23" s="206">
        <f t="shared" si="5"/>
        <v>0</v>
      </c>
      <c r="Q23" s="206">
        <f t="shared" si="6"/>
        <v>-0.01</v>
      </c>
      <c r="R23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Yes</v>
      </c>
      <c r="S23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99940</v>
      </c>
      <c r="T23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100000</v>
      </c>
      <c r="U23" s="208">
        <f ca="1">IF(Tabla336106734810[[#This Row],[Equity]]&lt;Tabla336106734810[[#This Row],[Equity Peak]],(Tabla336106734810[[#This Row],[Equity Peak]]-Tabla336106734810[[#This Row],[Equity]])/Tabla336106734810[[#This Row],[Equity Peak]],"")</f>
        <v>5.9999999999999995E-4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-0.01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15.267361111109494</v>
      </c>
      <c r="AE23" s="210">
        <f t="shared" si="16"/>
        <v>0</v>
      </c>
      <c r="AF23" s="210">
        <f t="shared" si="17"/>
        <v>15.267361111109494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15</v>
      </c>
      <c r="D24" s="198" t="str">
        <f t="shared" si="0"/>
        <v>C</v>
      </c>
      <c r="E24" s="199">
        <v>43839.166666666664</v>
      </c>
      <c r="F24" s="200" t="s">
        <v>91</v>
      </c>
      <c r="G24" s="201">
        <v>13416.46</v>
      </c>
      <c r="H24" s="201">
        <v>13101.44</v>
      </c>
      <c r="I24" s="202">
        <f t="shared" si="1"/>
        <v>315.01999999999862</v>
      </c>
      <c r="J24" s="201">
        <v>14676.53</v>
      </c>
      <c r="K24" s="199">
        <v>43853.769444444442</v>
      </c>
      <c r="L24" s="201">
        <v>13399.48</v>
      </c>
      <c r="M24" s="203">
        <f t="shared" si="2"/>
        <v>-16.98</v>
      </c>
      <c r="N24" s="204">
        <f t="shared" si="3"/>
        <v>-0.05</v>
      </c>
      <c r="O24" s="205">
        <f t="shared" si="4"/>
        <v>0</v>
      </c>
      <c r="P24" s="206">
        <f t="shared" si="5"/>
        <v>0</v>
      </c>
      <c r="Q24" s="206">
        <f t="shared" si="6"/>
        <v>-0.05</v>
      </c>
      <c r="R24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Yes</v>
      </c>
      <c r="S24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99950</v>
      </c>
      <c r="T24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100000</v>
      </c>
      <c r="U24" s="208">
        <f ca="1">IF(Tabla336106734810[[#This Row],[Equity]]&lt;Tabla336106734810[[#This Row],[Equity Peak]],(Tabla336106734810[[#This Row],[Equity Peak]]-Tabla336106734810[[#This Row],[Equity]])/Tabla336106734810[[#This Row],[Equity Peak]],"")</f>
        <v>5.0000000000000001E-4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-0.05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14.602777777778101</v>
      </c>
      <c r="AE24" s="210">
        <f t="shared" si="16"/>
        <v>0</v>
      </c>
      <c r="AF24" s="210">
        <f t="shared" si="17"/>
        <v>14.602777777778101</v>
      </c>
      <c r="AG24" s="210">
        <f t="shared" si="18"/>
        <v>0</v>
      </c>
    </row>
  </sheetData>
  <sheetProtection algorithmName="SHA-512" hashValue="10is2RON4OVoRqDUEocE2F57R5bmfyWnM4kkef3LGxO0aCrRctOMH66522IWTthsDIL5iYJz3Ct2kFtCbFpCYg==" saltValue="qotqV1MI9/rfg1VgE9PMC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93" priority="3" operator="equal">
      <formula>"OK"</formula>
    </cfRule>
    <cfRule type="cellIs" dxfId="292" priority="4" operator="equal">
      <formula>"warning"</formula>
    </cfRule>
  </conditionalFormatting>
  <conditionalFormatting sqref="F13">
    <cfRule type="cellIs" dxfId="291" priority="1" operator="equal">
      <formula>"OK"</formula>
    </cfRule>
    <cfRule type="cellIs" dxfId="290" priority="2" operator="equal">
      <formula>"Error!!"</formula>
    </cfRule>
  </conditionalFormatting>
  <conditionalFormatting sqref="E15:H15 K15:L15">
    <cfRule type="expression" dxfId="289" priority="5">
      <formula>+$D15=#REF!</formula>
    </cfRule>
    <cfRule type="expression" dxfId="288" priority="6">
      <formula>+$D15=#REF!</formula>
    </cfRule>
  </conditionalFormatting>
  <conditionalFormatting sqref="D15 K16:L16 D16:H24 J17:L24">
    <cfRule type="expression" dxfId="287" priority="7">
      <formula>+$D15=$AG$8</formula>
    </cfRule>
    <cfRule type="expression" dxfId="28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A047C651-5DC2-4B2C-BE2E-122315CC2EA4}">
      <formula1>$AE$4:$AE$6</formula1>
    </dataValidation>
    <dataValidation type="list" allowBlank="1" showInputMessage="1" showErrorMessage="1" promptTitle="Trade Direction" prompt="Select from List" sqref="C15:C16" xr:uid="{01F994FC-B8A6-4941-864F-659B53D6DEA5}">
      <formula1>$AG$4:$AG$5</formula1>
    </dataValidation>
    <dataValidation type="list" allowBlank="1" showInputMessage="1" showErrorMessage="1" promptTitle="Instrument Type" prompt="Select Type from List_x000a_" sqref="B17:B24" xr:uid="{EFDCDC49-89F5-4C18-BD21-68F0A3322770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5565-9CC8-4560-8B30-0F11881B1080}">
  <sheetPr codeName="Hoja17">
    <pageSetUpPr fitToPage="1"/>
  </sheetPr>
  <dimension ref="A1:AX28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COUNTA(Tabla336106734811[Inst])</f>
        <v>12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5.9399999999999986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5.9399999999999986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COUNTIF(Tabla336106734811[No. of Rs],"&gt;0")</f>
        <v>6</v>
      </c>
      <c r="G7" s="24">
        <f>IFERROR((F7/$F$6),"")</f>
        <v>0.5</v>
      </c>
      <c r="H7" s="78">
        <f>IFERROR((+P13/F7),"")</f>
        <v>1.9583333333333333</v>
      </c>
      <c r="I7" s="227">
        <f>H7/H9</f>
        <v>2.0223752151462993</v>
      </c>
      <c r="J7" s="227">
        <f>AVERAGE(Tabla336106734811[No. of Rs])</f>
        <v>0.49499999999999988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COUNTIF(Tabla336106734811[No.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OFFSET(Tabla336106734811[[#Headers],[Equity]],1,0)</f>
        <v>105940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COUNTIF(Tabla336106734811[No. of Rs],"&lt;0")</f>
        <v>6</v>
      </c>
      <c r="G9" s="32">
        <f>IFERROR((F9/$F$6),"")</f>
        <v>0.5</v>
      </c>
      <c r="H9" s="79">
        <f>IFERROR((-Q13/F9),"")</f>
        <v>0.96833333333333338</v>
      </c>
      <c r="I9" s="229"/>
      <c r="J9" s="229"/>
      <c r="K9" s="149"/>
      <c r="L9" s="230" t="s">
        <v>106</v>
      </c>
      <c r="M9" s="231"/>
      <c r="N9" s="125">
        <f ca="1">MAX(Tabla336106734811[Drawdown])</f>
        <v>3.7891596220785681E-2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OFFSET(Tabla336106734811[[#Headers],[Drawdown]],1,0)</f>
        <v>9.3510379652141391E-3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COUNTIF(Tabla336106734811[Heat],"&lt;0")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IF(COUNTIFS(Tabla336106734811[O/C],"O")&lt;1,"None",COUNTIFS(Tabla336106734811[O/C],"O"))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SUM(Tabla336106734811[No. of Rs])</f>
        <v>5.9399999999999986</v>
      </c>
      <c r="O13" s="42">
        <f>SUM(Tabla336106734811[Heat])</f>
        <v>0</v>
      </c>
      <c r="P13" s="43">
        <f>SUM(Tabla336106734811[[ TR WIN]])</f>
        <v>11.75</v>
      </c>
      <c r="Q13" s="43">
        <f>SUM(Tabla336106734811[[ TR LOSS]])</f>
        <v>-5.8100000000000005</v>
      </c>
      <c r="R13" s="114"/>
      <c r="S13" s="115"/>
      <c r="T13" s="115"/>
      <c r="U13" s="121"/>
      <c r="V13" s="44">
        <f>SUM(Tabla336106734811[Currency])</f>
        <v>0</v>
      </c>
      <c r="W13" s="44">
        <f>SUM(Tabla336106734811[Heat3])</f>
        <v>0</v>
      </c>
      <c r="X13" s="44">
        <f>SUM(Tabla336106734811[Commodities])</f>
        <v>0</v>
      </c>
      <c r="Y13" s="44">
        <f>SUM(Tabla336106734811[Heat4])</f>
        <v>0</v>
      </c>
      <c r="Z13" s="44">
        <f>SUM(Tabla336106734811[Index])</f>
        <v>5.9399999999999986</v>
      </c>
      <c r="AA13" s="44">
        <f>SUM(Tabla336106734811[Heat5])</f>
        <v>0</v>
      </c>
      <c r="AB13" s="44">
        <f>SUM(Tabla336106734811[Cryptocurrency])</f>
        <v>0</v>
      </c>
      <c r="AC13" s="44">
        <f>SUM(Tabla336106734811[Heat6])</f>
        <v>0</v>
      </c>
      <c r="AD13" s="75">
        <f>AVERAGEIF(Tabla336106734811[Length of 
Trade],"&lt;&gt;0")</f>
        <v>8.3578125000009695</v>
      </c>
      <c r="AE13" s="75">
        <f>AVERAGEIF(Tabla336106734811[Win],"&lt;&gt;0")</f>
        <v>13.603240740741361</v>
      </c>
      <c r="AF13" s="75">
        <f>AVERAGEIF(Tabla336106734811[Loss],"&lt;&gt;0")</f>
        <v>3.1123842592605797</v>
      </c>
      <c r="AG13" s="76" t="e">
        <f>AVERAGEIF(Tabla336106734811[Breakeven],"&lt;&gt;0")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19" si="0">IF(E17&lt;&gt;"",IF(K17&lt;&gt;"","C","O"),"")</f>
        <v>C</v>
      </c>
      <c r="E17" s="199">
        <v>44172.708333333336</v>
      </c>
      <c r="F17" s="200" t="s">
        <v>92</v>
      </c>
      <c r="G17" s="201">
        <v>12584.5</v>
      </c>
      <c r="H17" s="201">
        <v>12246.19</v>
      </c>
      <c r="I17" s="202">
        <f t="shared" ref="I17:I19" si="1">ABS(G17-H17)</f>
        <v>338.30999999999949</v>
      </c>
      <c r="J17" s="201">
        <v>14839.88</v>
      </c>
      <c r="K17" s="199">
        <v>44175.67291666667</v>
      </c>
      <c r="L17" s="201">
        <v>12246.19</v>
      </c>
      <c r="M17" s="203">
        <f t="shared" ref="M17:M19" si="2">ROUND(IF(C17="L",(L17-G17),(G17-L17)),4)</f>
        <v>-338.31</v>
      </c>
      <c r="N17" s="204">
        <f t="shared" ref="N17:N19" si="3">IFERROR(ROUND((M17/I17),2),"")</f>
        <v>-1</v>
      </c>
      <c r="O17" s="205">
        <f t="shared" ref="O17:O19" si="4">IF(D17="O",IF(N17&lt;0,N17,0),0)</f>
        <v>0</v>
      </c>
      <c r="P17" s="206">
        <f t="shared" ref="P17:P19" si="5">IF(N17&gt;= 0,N17,0)</f>
        <v>0</v>
      </c>
      <c r="Q17" s="206">
        <f t="shared" ref="Q17:Q19" si="6">IF(N17&lt;0,N17,0)</f>
        <v>-1</v>
      </c>
      <c r="R1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105940</v>
      </c>
      <c r="T1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106940</v>
      </c>
      <c r="U17" s="208">
        <f ca="1">IF(Tabla336106734811[[#This Row],[Equity]]&lt;Tabla336106734811[[#This Row],[Equity Peak]],(Tabla336106734811[[#This Row],[Equity Peak]]-Tabla336106734811[[#This Row],[Equity]])/Tabla336106734811[[#This Row],[Equity Peak]],"")</f>
        <v>9.3510379652141391E-3</v>
      </c>
      <c r="V17" s="209">
        <f t="shared" ref="V17:V19" si="7">IF(B17="FX",N17,0)</f>
        <v>0</v>
      </c>
      <c r="W17" s="209">
        <f t="shared" ref="W17:W19" si="8">IF(D17="O",IF(V17&lt;0,V17,0),0)</f>
        <v>0</v>
      </c>
      <c r="X17" s="209">
        <f t="shared" ref="X17:X19" si="9">IF(B17="COM",N17,0)</f>
        <v>0</v>
      </c>
      <c r="Y17" s="209">
        <f t="shared" ref="Y17:Y19" si="10">IF(D17="O",IF(X17&lt;0,X17,0),0)</f>
        <v>0</v>
      </c>
      <c r="Z17" s="209">
        <f t="shared" ref="Z17:Z19" si="11">IF(B17="IND",N17,0)</f>
        <v>-1</v>
      </c>
      <c r="AA17" s="205">
        <f t="shared" ref="AA17:AA19" si="12">IF(D17="O",IF(Z17&lt;0,Z17,0),0)</f>
        <v>0</v>
      </c>
      <c r="AB17" s="209">
        <f t="shared" ref="AB17:AB19" si="13">IF(B17="CRYPTO",N17,0)</f>
        <v>0</v>
      </c>
      <c r="AC17" s="205">
        <f t="shared" ref="AC17:AC19" si="14">IF(D17="O",IF(AB17&lt;0,AB17,0),0)</f>
        <v>0</v>
      </c>
      <c r="AD17" s="210">
        <f t="shared" ref="AD17:AD19" si="15">IF(K17&lt;&gt;"",K17-E17,0)</f>
        <v>2.9645833333343035</v>
      </c>
      <c r="AE17" s="210">
        <f t="shared" ref="AE17:AE19" si="16">IF(N17&gt;0,AD17,0)</f>
        <v>0</v>
      </c>
      <c r="AF17" s="210">
        <f t="shared" ref="AF17:AF19" si="17">IF(N17&lt;0,AD17,0)</f>
        <v>2.9645833333343035</v>
      </c>
      <c r="AG17" s="210">
        <f t="shared" ref="AG17:AG19" si="18">IF(N17=0,AD17,0)</f>
        <v>0</v>
      </c>
    </row>
    <row r="18" spans="2:33" ht="15" customHeight="1" x14ac:dyDescent="0.3">
      <c r="B18" s="196" t="s">
        <v>5</v>
      </c>
      <c r="C18" s="197" t="s">
        <v>15</v>
      </c>
      <c r="D18" s="198" t="str">
        <f t="shared" si="0"/>
        <v>C</v>
      </c>
      <c r="E18" s="199">
        <v>44139.833333333336</v>
      </c>
      <c r="F18" s="200" t="s">
        <v>92</v>
      </c>
      <c r="G18" s="201">
        <v>11812.3</v>
      </c>
      <c r="H18" s="201">
        <v>11487.32</v>
      </c>
      <c r="I18" s="202">
        <f t="shared" si="1"/>
        <v>324.97999999999956</v>
      </c>
      <c r="J18" s="201">
        <v>13978.81</v>
      </c>
      <c r="K18" s="199">
        <v>44144.605555555558</v>
      </c>
      <c r="L18" s="201">
        <v>12126.23</v>
      </c>
      <c r="M18" s="203">
        <f t="shared" si="2"/>
        <v>313.93</v>
      </c>
      <c r="N18" s="204">
        <f t="shared" si="3"/>
        <v>0.97</v>
      </c>
      <c r="O18" s="205">
        <f t="shared" si="4"/>
        <v>0</v>
      </c>
      <c r="P18" s="206">
        <f t="shared" si="5"/>
        <v>0.97</v>
      </c>
      <c r="Q18" s="206">
        <f t="shared" si="6"/>
        <v>0</v>
      </c>
      <c r="R1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106940</v>
      </c>
      <c r="T1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106940</v>
      </c>
      <c r="U18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0.97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4.7722222222218988</v>
      </c>
      <c r="AE18" s="210">
        <f t="shared" si="16"/>
        <v>4.7722222222218988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44103.017361111109</v>
      </c>
      <c r="F19" s="200" t="s">
        <v>92</v>
      </c>
      <c r="G19" s="201">
        <v>11397.67</v>
      </c>
      <c r="H19" s="201">
        <v>11093.84</v>
      </c>
      <c r="I19" s="202">
        <f t="shared" si="1"/>
        <v>303.82999999999993</v>
      </c>
      <c r="J19" s="201">
        <v>13423.23</v>
      </c>
      <c r="K19" s="199">
        <v>44118.804861111108</v>
      </c>
      <c r="L19" s="201">
        <v>11956.11</v>
      </c>
      <c r="M19" s="203">
        <f t="shared" si="2"/>
        <v>558.44000000000005</v>
      </c>
      <c r="N19" s="204">
        <f t="shared" si="3"/>
        <v>1.84</v>
      </c>
      <c r="O19" s="205">
        <f t="shared" si="4"/>
        <v>0</v>
      </c>
      <c r="P19" s="206">
        <f t="shared" si="5"/>
        <v>1.84</v>
      </c>
      <c r="Q19" s="206">
        <f t="shared" si="6"/>
        <v>0</v>
      </c>
      <c r="R1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105970</v>
      </c>
      <c r="T1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105970</v>
      </c>
      <c r="U19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1.84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15.787499999998545</v>
      </c>
      <c r="AE19" s="210">
        <f t="shared" si="16"/>
        <v>15.787499999998545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15</v>
      </c>
      <c r="D20" s="198" t="str">
        <f t="shared" ref="D20:D28" si="19">IF(E20&lt;&gt;"",IF(K20&lt;&gt;"","C","O"),"")</f>
        <v>C</v>
      </c>
      <c r="E20" s="199">
        <v>44061.017361111109</v>
      </c>
      <c r="F20" s="200" t="s">
        <v>92</v>
      </c>
      <c r="G20" s="201">
        <v>11292.4</v>
      </c>
      <c r="H20" s="201">
        <v>11026.4</v>
      </c>
      <c r="I20" s="202">
        <f t="shared" ref="I20:I28" si="20">ABS(G20-H20)</f>
        <v>266</v>
      </c>
      <c r="J20" s="201">
        <v>13065.74</v>
      </c>
      <c r="K20" s="199">
        <v>44076.70416666667</v>
      </c>
      <c r="L20" s="201">
        <v>12276.03</v>
      </c>
      <c r="M20" s="203">
        <f t="shared" ref="M20:M28" si="21">ROUND(IF(C20="L",(L20-G20),(G20-L20)),4)</f>
        <v>983.63</v>
      </c>
      <c r="N20" s="204">
        <f t="shared" ref="N20:N28" si="22">IFERROR(ROUND((M20/I20),2),"")</f>
        <v>3.7</v>
      </c>
      <c r="O20" s="205">
        <f t="shared" ref="O20:O28" si="23">IF(D20="O",IF(N20&lt;0,N20,0),0)</f>
        <v>0</v>
      </c>
      <c r="P20" s="206">
        <f t="shared" ref="P20:P28" si="24">IF(N20&gt;= 0,N20,0)</f>
        <v>3.7</v>
      </c>
      <c r="Q20" s="206">
        <f t="shared" ref="Q20:Q28" si="25">IF(N20&lt;0,N20,0)</f>
        <v>0</v>
      </c>
      <c r="R2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104130</v>
      </c>
      <c r="T2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104130</v>
      </c>
      <c r="U20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0" s="209">
        <f t="shared" ref="V20:V28" si="26">IF(B20="FX",N20,0)</f>
        <v>0</v>
      </c>
      <c r="W20" s="209">
        <f t="shared" ref="W20:W28" si="27">IF(D20="O",IF(V20&lt;0,V20,0),0)</f>
        <v>0</v>
      </c>
      <c r="X20" s="209">
        <f t="shared" ref="X20:X28" si="28">IF(B20="COM",N20,0)</f>
        <v>0</v>
      </c>
      <c r="Y20" s="209">
        <f t="shared" ref="Y20:Y28" si="29">IF(D20="O",IF(X20&lt;0,X20,0),0)</f>
        <v>0</v>
      </c>
      <c r="Z20" s="209">
        <f t="shared" ref="Z20:Z28" si="30">IF(B20="IND",N20,0)</f>
        <v>3.7</v>
      </c>
      <c r="AA20" s="205">
        <f t="shared" ref="AA20:AA28" si="31">IF(D20="O",IF(Z20&lt;0,Z20,0),0)</f>
        <v>0</v>
      </c>
      <c r="AB20" s="209">
        <f t="shared" ref="AB20:AB28" si="32">IF(B20="CRYPTO",N20,0)</f>
        <v>0</v>
      </c>
      <c r="AC20" s="205">
        <f t="shared" ref="AC20:AC28" si="33">IF(D20="O",IF(AB20&lt;0,AB20,0),0)</f>
        <v>0</v>
      </c>
      <c r="AD20" s="210">
        <f t="shared" ref="AD20:AD28" si="34">IF(K20&lt;&gt;"",K20-E20,0)</f>
        <v>15.686805555560568</v>
      </c>
      <c r="AE20" s="210">
        <f t="shared" ref="AE20:AE28" si="35">IF(N20&gt;0,AD20,0)</f>
        <v>15.686805555560568</v>
      </c>
      <c r="AF20" s="210">
        <f t="shared" ref="AF20:AF28" si="36">IF(N20&lt;0,AD20,0)</f>
        <v>0</v>
      </c>
      <c r="AG20" s="210">
        <f t="shared" ref="AG20:AG28" si="37">IF(N20=0,AD20,0)</f>
        <v>0</v>
      </c>
    </row>
    <row r="21" spans="2:33" ht="15" customHeight="1" x14ac:dyDescent="0.3">
      <c r="B21" s="196" t="s">
        <v>5</v>
      </c>
      <c r="C21" s="197" t="s">
        <v>15</v>
      </c>
      <c r="D21" s="198" t="str">
        <f t="shared" si="19"/>
        <v>C</v>
      </c>
      <c r="E21" s="199">
        <v>44040.333333333336</v>
      </c>
      <c r="F21" s="200" t="s">
        <v>92</v>
      </c>
      <c r="G21" s="201">
        <v>10714.8</v>
      </c>
      <c r="H21" s="201">
        <v>10440.33</v>
      </c>
      <c r="I21" s="202">
        <f t="shared" si="20"/>
        <v>274.46999999999935</v>
      </c>
      <c r="J21" s="201">
        <v>12544.62</v>
      </c>
      <c r="K21" s="199">
        <v>44050.839583333334</v>
      </c>
      <c r="L21" s="201">
        <v>11097.31</v>
      </c>
      <c r="M21" s="203">
        <f t="shared" si="21"/>
        <v>382.51</v>
      </c>
      <c r="N21" s="204">
        <f t="shared" si="22"/>
        <v>1.39</v>
      </c>
      <c r="O21" s="205">
        <f t="shared" si="23"/>
        <v>0</v>
      </c>
      <c r="P21" s="206">
        <f t="shared" si="24"/>
        <v>1.39</v>
      </c>
      <c r="Q21" s="206">
        <f t="shared" si="25"/>
        <v>0</v>
      </c>
      <c r="R2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100430</v>
      </c>
      <c r="T2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100550</v>
      </c>
      <c r="U21" s="208">
        <f ca="1">IF(Tabla336106734811[[#This Row],[Equity]]&lt;Tabla336106734811[[#This Row],[Equity Peak]],(Tabla336106734811[[#This Row],[Equity Peak]]-Tabla336106734811[[#This Row],[Equity]])/Tabla336106734811[[#This Row],[Equity Peak]],"")</f>
        <v>1.1934361014420687E-3</v>
      </c>
      <c r="V21" s="209">
        <f t="shared" si="26"/>
        <v>0</v>
      </c>
      <c r="W21" s="209">
        <f t="shared" si="27"/>
        <v>0</v>
      </c>
      <c r="X21" s="209">
        <f t="shared" si="28"/>
        <v>0</v>
      </c>
      <c r="Y21" s="209">
        <f t="shared" si="29"/>
        <v>0</v>
      </c>
      <c r="Z21" s="209">
        <f t="shared" si="30"/>
        <v>1.39</v>
      </c>
      <c r="AA21" s="205">
        <f t="shared" si="31"/>
        <v>0</v>
      </c>
      <c r="AB21" s="209">
        <f t="shared" si="32"/>
        <v>0</v>
      </c>
      <c r="AC21" s="205">
        <f t="shared" si="33"/>
        <v>0</v>
      </c>
      <c r="AD21" s="210">
        <f t="shared" si="34"/>
        <v>10.506249999998545</v>
      </c>
      <c r="AE21" s="210">
        <f t="shared" si="35"/>
        <v>10.506249999998545</v>
      </c>
      <c r="AF21" s="210">
        <f t="shared" si="36"/>
        <v>0</v>
      </c>
      <c r="AG21" s="210">
        <f t="shared" si="37"/>
        <v>0</v>
      </c>
    </row>
    <row r="22" spans="2:33" ht="15" customHeight="1" x14ac:dyDescent="0.3">
      <c r="B22" s="196" t="s">
        <v>5</v>
      </c>
      <c r="C22" s="197" t="s">
        <v>15</v>
      </c>
      <c r="D22" s="198" t="str">
        <f t="shared" si="19"/>
        <v>C</v>
      </c>
      <c r="E22" s="199">
        <v>43998.166666666664</v>
      </c>
      <c r="F22" s="200" t="s">
        <v>92</v>
      </c>
      <c r="G22" s="201">
        <v>9870.2999999999993</v>
      </c>
      <c r="H22" s="201">
        <v>9470.6</v>
      </c>
      <c r="I22" s="202">
        <f t="shared" si="20"/>
        <v>399.69999999999891</v>
      </c>
      <c r="J22" s="201">
        <v>12534.94</v>
      </c>
      <c r="K22" s="199">
        <v>44025.92291666667</v>
      </c>
      <c r="L22" s="201">
        <v>10789.49</v>
      </c>
      <c r="M22" s="203">
        <f t="shared" si="21"/>
        <v>919.19</v>
      </c>
      <c r="N22" s="204">
        <f t="shared" si="22"/>
        <v>2.2999999999999998</v>
      </c>
      <c r="O22" s="205">
        <f t="shared" si="23"/>
        <v>0</v>
      </c>
      <c r="P22" s="206">
        <f t="shared" si="24"/>
        <v>2.2999999999999998</v>
      </c>
      <c r="Q22" s="206">
        <f t="shared" si="25"/>
        <v>0</v>
      </c>
      <c r="R2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99040</v>
      </c>
      <c r="T2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100550</v>
      </c>
      <c r="U22" s="208">
        <f ca="1">IF(Tabla336106734811[[#This Row],[Equity]]&lt;Tabla336106734811[[#This Row],[Equity Peak]],(Tabla336106734811[[#This Row],[Equity Peak]]-Tabla336106734811[[#This Row],[Equity]])/Tabla336106734811[[#This Row],[Equity Peak]],"")</f>
        <v>1.5017404276479364E-2</v>
      </c>
      <c r="V22" s="209">
        <f t="shared" si="26"/>
        <v>0</v>
      </c>
      <c r="W22" s="209">
        <f t="shared" si="27"/>
        <v>0</v>
      </c>
      <c r="X22" s="209">
        <f t="shared" si="28"/>
        <v>0</v>
      </c>
      <c r="Y22" s="209">
        <f t="shared" si="29"/>
        <v>0</v>
      </c>
      <c r="Z22" s="209">
        <f t="shared" si="30"/>
        <v>2.2999999999999998</v>
      </c>
      <c r="AA22" s="205">
        <f t="shared" si="31"/>
        <v>0</v>
      </c>
      <c r="AB22" s="209">
        <f t="shared" si="32"/>
        <v>0</v>
      </c>
      <c r="AC22" s="205">
        <f t="shared" si="33"/>
        <v>0</v>
      </c>
      <c r="AD22" s="210">
        <f t="shared" si="34"/>
        <v>27.756250000005821</v>
      </c>
      <c r="AE22" s="210">
        <f t="shared" si="35"/>
        <v>27.756250000005821</v>
      </c>
      <c r="AF22" s="210">
        <f t="shared" si="36"/>
        <v>0</v>
      </c>
      <c r="AG22" s="210">
        <f t="shared" si="37"/>
        <v>0</v>
      </c>
    </row>
    <row r="23" spans="2:33" ht="15" customHeight="1" x14ac:dyDescent="0.3">
      <c r="B23" s="196" t="s">
        <v>5</v>
      </c>
      <c r="C23" s="197" t="s">
        <v>15</v>
      </c>
      <c r="D23" s="198" t="str">
        <f t="shared" si="19"/>
        <v>C</v>
      </c>
      <c r="E23" s="199">
        <v>43987.833333333336</v>
      </c>
      <c r="F23" s="200" t="s">
        <v>92</v>
      </c>
      <c r="G23" s="201">
        <v>9832.52</v>
      </c>
      <c r="H23" s="201">
        <v>9412.49</v>
      </c>
      <c r="I23" s="202">
        <f t="shared" si="20"/>
        <v>420.03000000000065</v>
      </c>
      <c r="J23" s="201">
        <v>12632.69</v>
      </c>
      <c r="K23" s="199">
        <v>43997.34652777778</v>
      </c>
      <c r="L23" s="201">
        <v>9490.5300000000007</v>
      </c>
      <c r="M23" s="203">
        <f t="shared" si="21"/>
        <v>-341.99</v>
      </c>
      <c r="N23" s="204">
        <f t="shared" si="22"/>
        <v>-0.81</v>
      </c>
      <c r="O23" s="205">
        <f t="shared" si="23"/>
        <v>0</v>
      </c>
      <c r="P23" s="206">
        <f t="shared" si="24"/>
        <v>0</v>
      </c>
      <c r="Q23" s="206">
        <f t="shared" si="25"/>
        <v>-0.81</v>
      </c>
      <c r="R2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96740</v>
      </c>
      <c r="T2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100550</v>
      </c>
      <c r="U23" s="208">
        <f ca="1">IF(Tabla336106734811[[#This Row],[Equity]]&lt;Tabla336106734811[[#This Row],[Equity Peak]],(Tabla336106734811[[#This Row],[Equity Peak]]-Tabla336106734811[[#This Row],[Equity]])/Tabla336106734811[[#This Row],[Equity Peak]],"")</f>
        <v>3.7891596220785681E-2</v>
      </c>
      <c r="V23" s="209">
        <f t="shared" si="26"/>
        <v>0</v>
      </c>
      <c r="W23" s="209">
        <f t="shared" si="27"/>
        <v>0</v>
      </c>
      <c r="X23" s="209">
        <f t="shared" si="28"/>
        <v>0</v>
      </c>
      <c r="Y23" s="209">
        <f t="shared" si="29"/>
        <v>0</v>
      </c>
      <c r="Z23" s="209">
        <f t="shared" si="30"/>
        <v>-0.81</v>
      </c>
      <c r="AA23" s="205">
        <f t="shared" si="31"/>
        <v>0</v>
      </c>
      <c r="AB23" s="209">
        <f t="shared" si="32"/>
        <v>0</v>
      </c>
      <c r="AC23" s="205">
        <f t="shared" si="33"/>
        <v>0</v>
      </c>
      <c r="AD23" s="210">
        <f t="shared" si="34"/>
        <v>9.5131944444437977</v>
      </c>
      <c r="AE23" s="210">
        <f t="shared" si="35"/>
        <v>0</v>
      </c>
      <c r="AF23" s="210">
        <f t="shared" si="36"/>
        <v>9.5131944444437977</v>
      </c>
      <c r="AG23" s="210">
        <f t="shared" si="37"/>
        <v>0</v>
      </c>
    </row>
    <row r="24" spans="2:33" ht="15" customHeight="1" x14ac:dyDescent="0.3">
      <c r="B24" s="196" t="s">
        <v>5</v>
      </c>
      <c r="C24" s="197" t="s">
        <v>13</v>
      </c>
      <c r="D24" s="198" t="str">
        <f t="shared" si="19"/>
        <v>C</v>
      </c>
      <c r="E24" s="199">
        <v>43923.017361111109</v>
      </c>
      <c r="F24" s="200" t="s">
        <v>92</v>
      </c>
      <c r="G24" s="201">
        <v>7478.55</v>
      </c>
      <c r="H24" s="201">
        <v>7813.05</v>
      </c>
      <c r="I24" s="202">
        <f t="shared" si="20"/>
        <v>334.5</v>
      </c>
      <c r="J24" s="201">
        <v>5248.55</v>
      </c>
      <c r="K24" s="199">
        <v>43927.19027777778</v>
      </c>
      <c r="L24" s="201">
        <v>7813.05</v>
      </c>
      <c r="M24" s="203">
        <f t="shared" si="21"/>
        <v>-334.5</v>
      </c>
      <c r="N24" s="204">
        <f t="shared" si="22"/>
        <v>-1</v>
      </c>
      <c r="O24" s="205">
        <f t="shared" si="23"/>
        <v>0</v>
      </c>
      <c r="P24" s="206">
        <f t="shared" si="24"/>
        <v>0</v>
      </c>
      <c r="Q24" s="206">
        <f t="shared" si="25"/>
        <v>-1</v>
      </c>
      <c r="R2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97550</v>
      </c>
      <c r="T2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100550</v>
      </c>
      <c r="U24" s="208">
        <f ca="1">IF(Tabla336106734811[[#This Row],[Equity]]&lt;Tabla336106734811[[#This Row],[Equity Peak]],(Tabla336106734811[[#This Row],[Equity Peak]]-Tabla336106734811[[#This Row],[Equity]])/Tabla336106734811[[#This Row],[Equity Peak]],"")</f>
        <v>2.9835902536051714E-2</v>
      </c>
      <c r="V24" s="209">
        <f t="shared" si="26"/>
        <v>0</v>
      </c>
      <c r="W24" s="209">
        <f t="shared" si="27"/>
        <v>0</v>
      </c>
      <c r="X24" s="209">
        <f t="shared" si="28"/>
        <v>0</v>
      </c>
      <c r="Y24" s="209">
        <f t="shared" si="29"/>
        <v>0</v>
      </c>
      <c r="Z24" s="209">
        <f t="shared" si="30"/>
        <v>-1</v>
      </c>
      <c r="AA24" s="205">
        <f t="shared" si="31"/>
        <v>0</v>
      </c>
      <c r="AB24" s="209">
        <f t="shared" si="32"/>
        <v>0</v>
      </c>
      <c r="AC24" s="205">
        <f t="shared" si="33"/>
        <v>0</v>
      </c>
      <c r="AD24" s="210">
        <f t="shared" si="34"/>
        <v>4.1729166666700621</v>
      </c>
      <c r="AE24" s="210">
        <f t="shared" si="35"/>
        <v>0</v>
      </c>
      <c r="AF24" s="210">
        <f t="shared" si="36"/>
        <v>4.1729166666700621</v>
      </c>
      <c r="AG24" s="210">
        <f t="shared" si="37"/>
        <v>0</v>
      </c>
    </row>
    <row r="25" spans="2:33" ht="15" customHeight="1" x14ac:dyDescent="0.3">
      <c r="B25" s="196" t="s">
        <v>5</v>
      </c>
      <c r="C25" s="197" t="s">
        <v>13</v>
      </c>
      <c r="D25" s="198" t="str">
        <f t="shared" si="19"/>
        <v>C</v>
      </c>
      <c r="E25" s="199">
        <v>43913.208333333336</v>
      </c>
      <c r="F25" s="200" t="s">
        <v>92</v>
      </c>
      <c r="G25" s="201">
        <v>6736.9</v>
      </c>
      <c r="H25" s="201">
        <v>7019.1</v>
      </c>
      <c r="I25" s="202">
        <f t="shared" si="20"/>
        <v>282.20000000000073</v>
      </c>
      <c r="J25" s="201">
        <v>4855.6000000000004</v>
      </c>
      <c r="K25" s="199">
        <v>43913.59652777778</v>
      </c>
      <c r="L25" s="201">
        <v>7019.1</v>
      </c>
      <c r="M25" s="203">
        <f t="shared" si="21"/>
        <v>-282.2</v>
      </c>
      <c r="N25" s="204">
        <f t="shared" si="22"/>
        <v>-1</v>
      </c>
      <c r="O25" s="205">
        <f t="shared" si="23"/>
        <v>0</v>
      </c>
      <c r="P25" s="206">
        <f t="shared" si="24"/>
        <v>0</v>
      </c>
      <c r="Q25" s="206">
        <f t="shared" si="25"/>
        <v>-1</v>
      </c>
      <c r="R2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98550</v>
      </c>
      <c r="T2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100550</v>
      </c>
      <c r="U25" s="208">
        <f ca="1">IF(Tabla336106734811[[#This Row],[Equity]]&lt;Tabla336106734811[[#This Row],[Equity Peak]],(Tabla336106734811[[#This Row],[Equity Peak]]-Tabla336106734811[[#This Row],[Equity]])/Tabla336106734811[[#This Row],[Equity Peak]],"")</f>
        <v>1.9890601690701143E-2</v>
      </c>
      <c r="V25" s="209">
        <f t="shared" si="26"/>
        <v>0</v>
      </c>
      <c r="W25" s="209">
        <f t="shared" si="27"/>
        <v>0</v>
      </c>
      <c r="X25" s="209">
        <f t="shared" si="28"/>
        <v>0</v>
      </c>
      <c r="Y25" s="209">
        <f t="shared" si="29"/>
        <v>0</v>
      </c>
      <c r="Z25" s="209">
        <f t="shared" si="30"/>
        <v>-1</v>
      </c>
      <c r="AA25" s="205">
        <f t="shared" si="31"/>
        <v>0</v>
      </c>
      <c r="AB25" s="209">
        <f t="shared" si="32"/>
        <v>0</v>
      </c>
      <c r="AC25" s="205">
        <f t="shared" si="33"/>
        <v>0</v>
      </c>
      <c r="AD25" s="210">
        <f t="shared" si="34"/>
        <v>0.38819444444379769</v>
      </c>
      <c r="AE25" s="210">
        <f t="shared" si="35"/>
        <v>0</v>
      </c>
      <c r="AF25" s="210">
        <f t="shared" si="36"/>
        <v>0.38819444444379769</v>
      </c>
      <c r="AG25" s="210">
        <f t="shared" si="37"/>
        <v>0</v>
      </c>
    </row>
    <row r="26" spans="2:33" ht="15" customHeight="1" x14ac:dyDescent="0.3">
      <c r="B26" s="196" t="s">
        <v>5</v>
      </c>
      <c r="C26" s="197" t="s">
        <v>13</v>
      </c>
      <c r="D26" s="198" t="str">
        <f t="shared" si="19"/>
        <v>C</v>
      </c>
      <c r="E26" s="199">
        <v>43903.017361111109</v>
      </c>
      <c r="F26" s="200" t="s">
        <v>92</v>
      </c>
      <c r="G26" s="201">
        <v>7225.57</v>
      </c>
      <c r="H26" s="201">
        <v>7438.27</v>
      </c>
      <c r="I26" s="202">
        <f t="shared" si="20"/>
        <v>212.70000000000073</v>
      </c>
      <c r="J26" s="201">
        <v>5807.56</v>
      </c>
      <c r="K26" s="199">
        <v>43903.407638888886</v>
      </c>
      <c r="L26" s="201">
        <v>7438.27</v>
      </c>
      <c r="M26" s="203">
        <f t="shared" si="21"/>
        <v>-212.7</v>
      </c>
      <c r="N26" s="204">
        <f t="shared" si="22"/>
        <v>-1</v>
      </c>
      <c r="O26" s="205">
        <f t="shared" si="23"/>
        <v>0</v>
      </c>
      <c r="P26" s="206">
        <f t="shared" si="24"/>
        <v>0</v>
      </c>
      <c r="Q26" s="206">
        <f t="shared" si="25"/>
        <v>-1</v>
      </c>
      <c r="R26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6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99550</v>
      </c>
      <c r="T26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100550</v>
      </c>
      <c r="U26" s="208">
        <f ca="1">IF(Tabla336106734811[[#This Row],[Equity]]&lt;Tabla336106734811[[#This Row],[Equity Peak]],(Tabla336106734811[[#This Row],[Equity Peak]]-Tabla336106734811[[#This Row],[Equity]])/Tabla336106734811[[#This Row],[Equity Peak]],"")</f>
        <v>9.9453008453505715E-3</v>
      </c>
      <c r="V26" s="209">
        <f t="shared" si="26"/>
        <v>0</v>
      </c>
      <c r="W26" s="209">
        <f t="shared" si="27"/>
        <v>0</v>
      </c>
      <c r="X26" s="209">
        <f t="shared" si="28"/>
        <v>0</v>
      </c>
      <c r="Y26" s="209">
        <f t="shared" si="29"/>
        <v>0</v>
      </c>
      <c r="Z26" s="209">
        <f t="shared" si="30"/>
        <v>-1</v>
      </c>
      <c r="AA26" s="205">
        <f t="shared" si="31"/>
        <v>0</v>
      </c>
      <c r="AB26" s="209">
        <f t="shared" si="32"/>
        <v>0</v>
      </c>
      <c r="AC26" s="205">
        <f t="shared" si="33"/>
        <v>0</v>
      </c>
      <c r="AD26" s="210">
        <f t="shared" si="34"/>
        <v>0.39027777777664596</v>
      </c>
      <c r="AE26" s="210">
        <f t="shared" si="35"/>
        <v>0</v>
      </c>
      <c r="AF26" s="210">
        <f t="shared" si="36"/>
        <v>0.39027777777664596</v>
      </c>
      <c r="AG26" s="210">
        <f t="shared" si="37"/>
        <v>0</v>
      </c>
    </row>
    <row r="27" spans="2:33" ht="15" customHeight="1" x14ac:dyDescent="0.3">
      <c r="B27" s="196" t="s">
        <v>5</v>
      </c>
      <c r="C27" s="197" t="s">
        <v>15</v>
      </c>
      <c r="D27" s="198" t="str">
        <f t="shared" si="19"/>
        <v>C</v>
      </c>
      <c r="E27" s="199">
        <v>43865.833333333336</v>
      </c>
      <c r="F27" s="200" t="s">
        <v>92</v>
      </c>
      <c r="G27" s="201">
        <v>9323.7999999999993</v>
      </c>
      <c r="H27" s="201">
        <v>9213.56</v>
      </c>
      <c r="I27" s="202">
        <f t="shared" si="20"/>
        <v>110.23999999999978</v>
      </c>
      <c r="J27" s="201">
        <v>10058.719999999999</v>
      </c>
      <c r="K27" s="199">
        <v>43872.943749999999</v>
      </c>
      <c r="L27" s="201">
        <v>9494.25</v>
      </c>
      <c r="M27" s="203">
        <f t="shared" si="21"/>
        <v>170.45</v>
      </c>
      <c r="N27" s="204">
        <f t="shared" si="22"/>
        <v>1.55</v>
      </c>
      <c r="O27" s="205">
        <f t="shared" si="23"/>
        <v>0</v>
      </c>
      <c r="P27" s="206">
        <f t="shared" si="24"/>
        <v>1.55</v>
      </c>
      <c r="Q27" s="206">
        <f t="shared" si="25"/>
        <v>0</v>
      </c>
      <c r="R2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100550</v>
      </c>
      <c r="T2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100550</v>
      </c>
      <c r="U27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7" s="209">
        <f t="shared" si="26"/>
        <v>0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1.55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7.1104166666627862</v>
      </c>
      <c r="AE27" s="210">
        <f t="shared" si="35"/>
        <v>7.1104166666627862</v>
      </c>
      <c r="AF27" s="210">
        <f t="shared" si="36"/>
        <v>0</v>
      </c>
      <c r="AG27" s="210">
        <f t="shared" si="37"/>
        <v>0</v>
      </c>
    </row>
    <row r="28" spans="2:33" ht="15" customHeight="1" x14ac:dyDescent="0.3">
      <c r="B28" s="196" t="s">
        <v>5</v>
      </c>
      <c r="C28" s="197" t="s">
        <v>15</v>
      </c>
      <c r="D28" s="198" t="str">
        <f t="shared" si="19"/>
        <v>C</v>
      </c>
      <c r="E28" s="199">
        <v>43859.166666666664</v>
      </c>
      <c r="F28" s="200" t="s">
        <v>92</v>
      </c>
      <c r="G28" s="201">
        <v>9130.5</v>
      </c>
      <c r="H28" s="201">
        <v>9027.24</v>
      </c>
      <c r="I28" s="202">
        <f t="shared" si="20"/>
        <v>103.26000000000022</v>
      </c>
      <c r="J28" s="201">
        <v>9818.89</v>
      </c>
      <c r="K28" s="199">
        <v>43860.411805555559</v>
      </c>
      <c r="L28" s="201">
        <v>9027.24</v>
      </c>
      <c r="M28" s="203">
        <f t="shared" si="21"/>
        <v>-103.26</v>
      </c>
      <c r="N28" s="204">
        <f t="shared" si="22"/>
        <v>-1</v>
      </c>
      <c r="O28" s="205">
        <f t="shared" si="23"/>
        <v>0</v>
      </c>
      <c r="P28" s="206">
        <f t="shared" si="24"/>
        <v>0</v>
      </c>
      <c r="Q28" s="206">
        <f t="shared" si="25"/>
        <v>-1</v>
      </c>
      <c r="R2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Yes</v>
      </c>
      <c r="S2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99000</v>
      </c>
      <c r="T2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100000</v>
      </c>
      <c r="U28" s="208">
        <f ca="1">IF(Tabla336106734811[[#This Row],[Equity]]&lt;Tabla336106734811[[#This Row],[Equity Peak]],(Tabla336106734811[[#This Row],[Equity Peak]]-Tabla336106734811[[#This Row],[Equity]])/Tabla336106734811[[#This Row],[Equity Peak]],"")</f>
        <v>0.01</v>
      </c>
      <c r="V28" s="209">
        <f t="shared" si="26"/>
        <v>0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-1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1.2451388888948713</v>
      </c>
      <c r="AE28" s="210">
        <f t="shared" si="35"/>
        <v>0</v>
      </c>
      <c r="AF28" s="210">
        <f t="shared" si="36"/>
        <v>1.2451388888948713</v>
      </c>
      <c r="AG28" s="210">
        <f t="shared" si="37"/>
        <v>0</v>
      </c>
    </row>
  </sheetData>
  <sheetProtection algorithmName="SHA-512" hashValue="eEfa22i8jeoIdUkcSDiIk4STouFS46DMgpEjoTOnjjzd0N6i6KzrUXhrGWNe/YV+3VmvP+xydIp7DWIaQsFK1w==" saltValue="U8dH6g61KJT1EUm1WkT+Q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51" priority="3" operator="equal">
      <formula>"OK"</formula>
    </cfRule>
    <cfRule type="cellIs" dxfId="250" priority="4" operator="equal">
      <formula>"warning"</formula>
    </cfRule>
  </conditionalFormatting>
  <conditionalFormatting sqref="F13">
    <cfRule type="cellIs" dxfId="249" priority="1" operator="equal">
      <formula>"OK"</formula>
    </cfRule>
    <cfRule type="cellIs" dxfId="248" priority="2" operator="equal">
      <formula>"Error!!"</formula>
    </cfRule>
  </conditionalFormatting>
  <conditionalFormatting sqref="E15:H15 K15:L15">
    <cfRule type="expression" dxfId="247" priority="5">
      <formula>+$D15=#REF!</formula>
    </cfRule>
    <cfRule type="expression" dxfId="246" priority="6">
      <formula>+$D15=#REF!</formula>
    </cfRule>
  </conditionalFormatting>
  <conditionalFormatting sqref="D15 K16:L16 D16:H28 J17:L28">
    <cfRule type="expression" dxfId="245" priority="7">
      <formula>+$D15=$AG$8</formula>
    </cfRule>
    <cfRule type="expression" dxfId="24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321AB621-6E27-46C1-B973-C9CCECB36BD9}">
      <formula1>$AE$4:$AE$6</formula1>
    </dataValidation>
    <dataValidation type="list" allowBlank="1" showInputMessage="1" showErrorMessage="1" promptTitle="Trade Direction" prompt="Select from List" sqref="C15:C16" xr:uid="{6CE6270A-BAC0-4ABD-99F0-943D5461B873}">
      <formula1>$AG$4:$AG$5</formula1>
    </dataValidation>
    <dataValidation type="list" allowBlank="1" showInputMessage="1" showErrorMessage="1" promptTitle="Instrument Type" prompt="Select Type from List_x000a_" sqref="B17:B28" xr:uid="{7D20BD0C-54F0-42C1-8CF4-285D357A1383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668B-023F-4025-8065-BA49B1D6490F}">
  <sheetPr codeName="Hoja18">
    <pageSetUpPr fitToPage="1"/>
  </sheetPr>
  <dimension ref="A1:AX38"/>
  <sheetViews>
    <sheetView showGridLines="0" showZeros="0" zoomScale="115" zoomScaleNormal="115" zoomScalePageLayoutView="99" workbookViewId="0">
      <pane ySplit="16" topLeftCell="A18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COUNTA(Tabla336106734812[Inst])</f>
        <v>22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3.01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3.01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COUNTIF(Tabla336106734812[No. of Rs],"&gt;0")</f>
        <v>7</v>
      </c>
      <c r="G7" s="24">
        <f>IFERROR((F7/$F$6),"")</f>
        <v>0.31818181818181818</v>
      </c>
      <c r="H7" s="78">
        <f>IFERROR((+P13/F7),"")</f>
        <v>2.35</v>
      </c>
      <c r="I7" s="227">
        <f>H7/H9</f>
        <v>2.6227678571428568</v>
      </c>
      <c r="J7" s="227">
        <f>AVERAGE(Tabla336106734812[No. of Rs])</f>
        <v>0.13681818181818181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COUNTIF(Tabla336106734812[No.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OFFSET(Tabla336106734812[[#Headers],[Equity]],1,0)</f>
        <v>103010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COUNTIF(Tabla336106734812[No. of Rs],"&lt;0")</f>
        <v>15</v>
      </c>
      <c r="G9" s="32">
        <f>IFERROR((F9/$F$6),"")</f>
        <v>0.68181818181818177</v>
      </c>
      <c r="H9" s="79">
        <f>IFERROR((-Q13/F9),"")</f>
        <v>0.89600000000000013</v>
      </c>
      <c r="I9" s="229"/>
      <c r="J9" s="229"/>
      <c r="K9" s="149"/>
      <c r="L9" s="230" t="s">
        <v>106</v>
      </c>
      <c r="M9" s="231"/>
      <c r="N9" s="125">
        <f ca="1">MAX(Tabla336106734812[Drawdown])</f>
        <v>5.7672307837761179E-2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OFFSET(Tabla336106734812[[#Headers],[Drawdown]],1,0)</f>
        <v>2.6094355677413254E-2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COUNTIF(Tabla336106734812[Heat],"&lt;0")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IF(COUNTIFS(Tabla336106734812[O/C],"O")&lt;1,"None",COUNTIFS(Tabla336106734812[O/C],"O"))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SUM(Tabla336106734812[No. of Rs])</f>
        <v>3.01</v>
      </c>
      <c r="O13" s="42">
        <f>SUM(Tabla336106734812[Heat])</f>
        <v>0</v>
      </c>
      <c r="P13" s="43">
        <f>SUM(Tabla336106734812[[ TR WIN]])</f>
        <v>16.45</v>
      </c>
      <c r="Q13" s="43">
        <f>SUM(Tabla336106734812[[ TR LOSS]])</f>
        <v>-13.440000000000001</v>
      </c>
      <c r="R13" s="114"/>
      <c r="S13" s="115"/>
      <c r="T13" s="115"/>
      <c r="U13" s="121"/>
      <c r="V13" s="44">
        <f>SUM(Tabla336106734812[Currency])</f>
        <v>0</v>
      </c>
      <c r="W13" s="44">
        <f>SUM(Tabla336106734812[Heat3])</f>
        <v>0</v>
      </c>
      <c r="X13" s="44">
        <f>SUM(Tabla336106734812[Commodities])</f>
        <v>0</v>
      </c>
      <c r="Y13" s="44">
        <f>SUM(Tabla336106734812[Heat4])</f>
        <v>0</v>
      </c>
      <c r="Z13" s="44">
        <f>SUM(Tabla336106734812[Index])</f>
        <v>3.01</v>
      </c>
      <c r="AA13" s="44">
        <f>SUM(Tabla336106734812[Heat5])</f>
        <v>0</v>
      </c>
      <c r="AB13" s="44">
        <f>SUM(Tabla336106734812[Cryptocurrency])</f>
        <v>0</v>
      </c>
      <c r="AC13" s="44">
        <f>SUM(Tabla336106734812[Heat6])</f>
        <v>0</v>
      </c>
      <c r="AD13" s="75">
        <f>AVERAGEIF(Tabla336106734812[Length of 
Trade],"&lt;&gt;0")</f>
        <v>4.2643623737382192</v>
      </c>
      <c r="AE13" s="75">
        <f>AVERAGEIF(Tabla336106734812[Win],"&lt;&gt;0")</f>
        <v>8.8278769841261759</v>
      </c>
      <c r="AF13" s="75">
        <f>AVERAGEIF(Tabla336106734812[Loss],"&lt;&gt;0")</f>
        <v>2.1347222222238389</v>
      </c>
      <c r="AG13" s="76" t="e">
        <f>AVERAGEIF(Tabla336106734812[Breakeven],"&lt;&gt;0")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33" si="0">IF(E17&lt;&gt;"",IF(K17&lt;&gt;"","C","O"),"")</f>
        <v>C</v>
      </c>
      <c r="E17" s="199">
        <v>44182.5</v>
      </c>
      <c r="F17" s="200" t="s">
        <v>93</v>
      </c>
      <c r="G17" s="201">
        <v>3720.99</v>
      </c>
      <c r="H17" s="201">
        <v>3700.81</v>
      </c>
      <c r="I17" s="202">
        <f t="shared" ref="I17:I33" si="1">ABS(G17-H17)</f>
        <v>20.179999999999836</v>
      </c>
      <c r="J17" s="201">
        <v>3774.81</v>
      </c>
      <c r="K17" s="199">
        <v>44183.714583333334</v>
      </c>
      <c r="L17" s="201">
        <v>3700.81</v>
      </c>
      <c r="M17" s="203">
        <f t="shared" ref="M17:M33" si="2">ROUND(IF(C17="L",(L17-G17),(G17-L17)),4)</f>
        <v>-20.18</v>
      </c>
      <c r="N17" s="204">
        <f t="shared" ref="N17:N33" si="3">IFERROR(ROUND((M17/I17),2),"")</f>
        <v>-1</v>
      </c>
      <c r="O17" s="205">
        <f t="shared" ref="O17:O33" si="4">IF(D17="O",IF(N17&lt;0,N17,0),0)</f>
        <v>0</v>
      </c>
      <c r="P17" s="206">
        <f t="shared" ref="P17:P33" si="5">IF(N17&gt;= 0,N17,0)</f>
        <v>0</v>
      </c>
      <c r="Q17" s="206">
        <f t="shared" ref="Q17:Q33" si="6">IF(N17&lt;0,N17,0)</f>
        <v>-1</v>
      </c>
      <c r="R1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103010</v>
      </c>
      <c r="T1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17" s="208">
        <f ca="1">IF(Tabla336106734812[[#This Row],[Equity]]&lt;Tabla336106734812[[#This Row],[Equity Peak]],(Tabla336106734812[[#This Row],[Equity Peak]]-Tabla336106734812[[#This Row],[Equity]])/Tabla336106734812[[#This Row],[Equity Peak]],"")</f>
        <v>2.6094355677413254E-2</v>
      </c>
      <c r="V17" s="209">
        <f t="shared" ref="V17:V33" si="7">IF(B17="FX",N17,0)</f>
        <v>0</v>
      </c>
      <c r="W17" s="209">
        <f t="shared" ref="W17:W33" si="8">IF(D17="O",IF(V17&lt;0,V17,0),0)</f>
        <v>0</v>
      </c>
      <c r="X17" s="209">
        <f t="shared" ref="X17:X33" si="9">IF(B17="COM",N17,0)</f>
        <v>0</v>
      </c>
      <c r="Y17" s="209">
        <f t="shared" ref="Y17:Y33" si="10">IF(D17="O",IF(X17&lt;0,X17,0),0)</f>
        <v>0</v>
      </c>
      <c r="Z17" s="209">
        <f t="shared" ref="Z17:Z33" si="11">IF(B17="IND",N17,0)</f>
        <v>-1</v>
      </c>
      <c r="AA17" s="205">
        <f t="shared" ref="AA17:AA33" si="12">IF(D17="O",IF(Z17&lt;0,Z17,0),0)</f>
        <v>0</v>
      </c>
      <c r="AB17" s="209">
        <f t="shared" ref="AB17:AB33" si="13">IF(B17="CRYPTO",N17,0)</f>
        <v>0</v>
      </c>
      <c r="AC17" s="205">
        <f t="shared" ref="AC17:AC33" si="14">IF(D17="O",IF(AB17&lt;0,AB17,0),0)</f>
        <v>0</v>
      </c>
      <c r="AD17" s="210">
        <f t="shared" ref="AD17:AD33" si="15">IF(K17&lt;&gt;"",K17-E17,0)</f>
        <v>1.2145833333343035</v>
      </c>
      <c r="AE17" s="210">
        <f t="shared" ref="AE17:AE33" si="16">IF(N17&gt;0,AD17,0)</f>
        <v>0</v>
      </c>
      <c r="AF17" s="210">
        <f t="shared" ref="AF17:AF33" si="17">IF(N17&lt;0,AD17,0)</f>
        <v>1.2145833333343035</v>
      </c>
      <c r="AG17" s="210">
        <f t="shared" ref="AG17:AG33" si="18">IF(N17=0,AD17,0)</f>
        <v>0</v>
      </c>
    </row>
    <row r="18" spans="2:33" ht="15" customHeight="1" x14ac:dyDescent="0.3">
      <c r="B18" s="196" t="s">
        <v>5</v>
      </c>
      <c r="C18" s="197" t="s">
        <v>15</v>
      </c>
      <c r="D18" s="198" t="str">
        <f t="shared" si="0"/>
        <v>C</v>
      </c>
      <c r="E18" s="199">
        <v>44139.833333333336</v>
      </c>
      <c r="F18" s="200" t="s">
        <v>93</v>
      </c>
      <c r="G18" s="201">
        <v>3476.25</v>
      </c>
      <c r="H18" s="201">
        <v>3402.12</v>
      </c>
      <c r="I18" s="202">
        <f t="shared" si="1"/>
        <v>74.130000000000109</v>
      </c>
      <c r="J18" s="201">
        <v>3673.93</v>
      </c>
      <c r="K18" s="199">
        <v>44144.652083333334</v>
      </c>
      <c r="L18" s="201">
        <v>3673.93</v>
      </c>
      <c r="M18" s="203">
        <f t="shared" si="2"/>
        <v>197.68</v>
      </c>
      <c r="N18" s="204">
        <f t="shared" si="3"/>
        <v>2.67</v>
      </c>
      <c r="O18" s="205">
        <f t="shared" si="4"/>
        <v>0</v>
      </c>
      <c r="P18" s="206">
        <f t="shared" si="5"/>
        <v>2.67</v>
      </c>
      <c r="Q18" s="206">
        <f t="shared" si="6"/>
        <v>0</v>
      </c>
      <c r="R1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104010</v>
      </c>
      <c r="T1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18" s="208">
        <f ca="1">IF(Tabla336106734812[[#This Row],[Equity]]&lt;Tabla336106734812[[#This Row],[Equity Peak]],(Tabla336106734812[[#This Row],[Equity Peak]]-Tabla336106734812[[#This Row],[Equity]])/Tabla336106734812[[#This Row],[Equity Peak]],"")</f>
        <v>1.6639878982698308E-2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2.67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4.8187499999985448</v>
      </c>
      <c r="AE18" s="210">
        <f t="shared" si="16"/>
        <v>4.8187499999985448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13</v>
      </c>
      <c r="D19" s="198" t="str">
        <f t="shared" si="0"/>
        <v>C</v>
      </c>
      <c r="E19" s="199">
        <v>44132.666666666664</v>
      </c>
      <c r="F19" s="200" t="s">
        <v>93</v>
      </c>
      <c r="G19" s="201">
        <v>3325.11</v>
      </c>
      <c r="H19" s="201">
        <v>3360.4</v>
      </c>
      <c r="I19" s="202">
        <f t="shared" si="1"/>
        <v>35.289999999999964</v>
      </c>
      <c r="J19" s="201">
        <v>3231</v>
      </c>
      <c r="K19" s="199">
        <v>44138.70416666667</v>
      </c>
      <c r="L19" s="201">
        <v>3360.4</v>
      </c>
      <c r="M19" s="203">
        <f t="shared" si="2"/>
        <v>-35.29</v>
      </c>
      <c r="N19" s="204">
        <f t="shared" si="3"/>
        <v>-1</v>
      </c>
      <c r="O19" s="205">
        <f t="shared" si="4"/>
        <v>0</v>
      </c>
      <c r="P19" s="206">
        <f t="shared" si="5"/>
        <v>0</v>
      </c>
      <c r="Q19" s="206">
        <f t="shared" si="6"/>
        <v>-1</v>
      </c>
      <c r="R1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101340</v>
      </c>
      <c r="T1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19" s="208">
        <f ca="1">IF(Tabla336106734812[[#This Row],[Equity]]&lt;Tabla336106734812[[#This Row],[Equity Peak]],(Tabla336106734812[[#This Row],[Equity Peak]]-Tabla336106734812[[#This Row],[Equity]])/Tabla336106734812[[#This Row],[Equity Peak]],"")</f>
        <v>4.1883331757587218E-2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-1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6.0375000000058208</v>
      </c>
      <c r="AE19" s="210">
        <f t="shared" si="16"/>
        <v>0</v>
      </c>
      <c r="AF19" s="210">
        <f t="shared" si="17"/>
        <v>6.0375000000058208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15</v>
      </c>
      <c r="D20" s="198" t="str">
        <f t="shared" si="0"/>
        <v>C</v>
      </c>
      <c r="E20" s="199">
        <v>44112.833333333336</v>
      </c>
      <c r="F20" s="200" t="s">
        <v>93</v>
      </c>
      <c r="G20" s="201">
        <v>3442.48</v>
      </c>
      <c r="H20" s="201">
        <v>3408.11</v>
      </c>
      <c r="I20" s="202">
        <f t="shared" si="1"/>
        <v>34.369999999999891</v>
      </c>
      <c r="J20" s="201">
        <v>3534.12</v>
      </c>
      <c r="K20" s="199">
        <v>44116.806250000001</v>
      </c>
      <c r="L20" s="201">
        <v>3534.12</v>
      </c>
      <c r="M20" s="203">
        <f t="shared" si="2"/>
        <v>91.64</v>
      </c>
      <c r="N20" s="204">
        <f t="shared" si="3"/>
        <v>2.67</v>
      </c>
      <c r="O20" s="205">
        <f t="shared" si="4"/>
        <v>0</v>
      </c>
      <c r="P20" s="206">
        <f t="shared" si="5"/>
        <v>2.67</v>
      </c>
      <c r="Q20" s="206">
        <f t="shared" si="6"/>
        <v>0</v>
      </c>
      <c r="R2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102340</v>
      </c>
      <c r="T2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20" s="208">
        <f ca="1">IF(Tabla336106734812[[#This Row],[Equity]]&lt;Tabla336106734812[[#This Row],[Equity Peak]],(Tabla336106734812[[#This Row],[Equity Peak]]-Tabla336106734812[[#This Row],[Equity]])/Tabla336106734812[[#This Row],[Equity Peak]],"")</f>
        <v>3.2428855062872269E-2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2.67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3.9729166666656965</v>
      </c>
      <c r="AE20" s="210">
        <f t="shared" si="16"/>
        <v>3.9729166666656965</v>
      </c>
      <c r="AF20" s="210">
        <f t="shared" si="17"/>
        <v>0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15</v>
      </c>
      <c r="D21" s="198" t="str">
        <f t="shared" si="0"/>
        <v>C</v>
      </c>
      <c r="E21" s="199">
        <v>44110.017361111109</v>
      </c>
      <c r="F21" s="200" t="s">
        <v>93</v>
      </c>
      <c r="G21" s="201">
        <v>3402.37</v>
      </c>
      <c r="H21" s="201">
        <v>3362.88</v>
      </c>
      <c r="I21" s="202">
        <f t="shared" si="1"/>
        <v>39.489999999999782</v>
      </c>
      <c r="J21" s="201">
        <v>3507.68</v>
      </c>
      <c r="K21" s="199">
        <v>44110.921527777777</v>
      </c>
      <c r="L21" s="201">
        <v>3362.88</v>
      </c>
      <c r="M21" s="203">
        <f t="shared" si="2"/>
        <v>-39.49</v>
      </c>
      <c r="N21" s="204">
        <f t="shared" si="3"/>
        <v>-1</v>
      </c>
      <c r="O21" s="205">
        <f t="shared" si="4"/>
        <v>0</v>
      </c>
      <c r="P21" s="206">
        <f t="shared" si="5"/>
        <v>0</v>
      </c>
      <c r="Q21" s="206">
        <f t="shared" si="6"/>
        <v>-1</v>
      </c>
      <c r="R2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99670</v>
      </c>
      <c r="T2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21" s="208">
        <f ca="1">IF(Tabla336106734812[[#This Row],[Equity]]&lt;Tabla336106734812[[#This Row],[Equity Peak]],(Tabla336106734812[[#This Row],[Equity Peak]]-Tabla336106734812[[#This Row],[Equity]])/Tabla336106734812[[#This Row],[Equity Peak]],"")</f>
        <v>5.7672307837761179E-2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-1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0.90416666666715173</v>
      </c>
      <c r="AE21" s="210">
        <f t="shared" si="16"/>
        <v>0</v>
      </c>
      <c r="AF21" s="210">
        <f t="shared" si="17"/>
        <v>0.90416666666715173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15</v>
      </c>
      <c r="D22" s="198" t="str">
        <f t="shared" si="0"/>
        <v>C</v>
      </c>
      <c r="E22" s="199">
        <v>44105.5</v>
      </c>
      <c r="F22" s="200" t="s">
        <v>93</v>
      </c>
      <c r="G22" s="201">
        <v>3379.5</v>
      </c>
      <c r="H22" s="201">
        <v>3336.61</v>
      </c>
      <c r="I22" s="202">
        <f t="shared" si="1"/>
        <v>42.889999999999873</v>
      </c>
      <c r="J22" s="201">
        <v>3493.88</v>
      </c>
      <c r="K22" s="199">
        <v>44106.337500000001</v>
      </c>
      <c r="L22" s="201">
        <v>3336.61</v>
      </c>
      <c r="M22" s="203">
        <f t="shared" si="2"/>
        <v>-42.89</v>
      </c>
      <c r="N22" s="204">
        <f t="shared" si="3"/>
        <v>-1</v>
      </c>
      <c r="O22" s="205">
        <f t="shared" si="4"/>
        <v>0</v>
      </c>
      <c r="P22" s="206">
        <f t="shared" si="5"/>
        <v>0</v>
      </c>
      <c r="Q22" s="206">
        <f t="shared" si="6"/>
        <v>-1</v>
      </c>
      <c r="R2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100670</v>
      </c>
      <c r="T2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22" s="208">
        <f ca="1">IF(Tabla336106734812[[#This Row],[Equity]]&lt;Tabla336106734812[[#This Row],[Equity Peak]],(Tabla336106734812[[#This Row],[Equity Peak]]-Tabla336106734812[[#This Row],[Equity]])/Tabla336106734812[[#This Row],[Equity Peak]],"")</f>
        <v>4.821783114304623E-2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-1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0.83750000000145519</v>
      </c>
      <c r="AE22" s="210">
        <f t="shared" si="16"/>
        <v>0</v>
      </c>
      <c r="AF22" s="210">
        <f t="shared" si="17"/>
        <v>0.83750000000145519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15</v>
      </c>
      <c r="D23" s="198" t="str">
        <f t="shared" si="0"/>
        <v>C</v>
      </c>
      <c r="E23" s="199">
        <v>44104.833333333336</v>
      </c>
      <c r="F23" s="200" t="s">
        <v>93</v>
      </c>
      <c r="G23" s="201">
        <v>3382.22</v>
      </c>
      <c r="H23" s="201">
        <v>3343.9</v>
      </c>
      <c r="I23" s="202">
        <f t="shared" si="1"/>
        <v>38.319999999999709</v>
      </c>
      <c r="J23" s="201">
        <v>3484.42</v>
      </c>
      <c r="K23" s="199">
        <v>44104.933333333334</v>
      </c>
      <c r="L23" s="201">
        <v>3343.9</v>
      </c>
      <c r="M23" s="203">
        <f t="shared" si="2"/>
        <v>-38.32</v>
      </c>
      <c r="N23" s="204">
        <f t="shared" si="3"/>
        <v>-1</v>
      </c>
      <c r="O23" s="205">
        <f t="shared" si="4"/>
        <v>0</v>
      </c>
      <c r="P23" s="206">
        <f t="shared" si="5"/>
        <v>0</v>
      </c>
      <c r="Q23" s="206">
        <f t="shared" si="6"/>
        <v>-1</v>
      </c>
      <c r="R2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101670</v>
      </c>
      <c r="T2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23" s="208">
        <f ca="1">IF(Tabla336106734812[[#This Row],[Equity]]&lt;Tabla336106734812[[#This Row],[Equity Peak]],(Tabla336106734812[[#This Row],[Equity Peak]]-Tabla336106734812[[#This Row],[Equity]])/Tabla336106734812[[#This Row],[Equity Peak]],"")</f>
        <v>3.8763354448331282E-2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-1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9.9999999998544808E-2</v>
      </c>
      <c r="AE23" s="210">
        <f t="shared" si="16"/>
        <v>0</v>
      </c>
      <c r="AF23" s="210">
        <f t="shared" si="17"/>
        <v>9.9999999998544808E-2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13</v>
      </c>
      <c r="D24" s="198" t="str">
        <f t="shared" si="0"/>
        <v>C</v>
      </c>
      <c r="E24" s="199">
        <v>44098.666666666664</v>
      </c>
      <c r="F24" s="200" t="s">
        <v>93</v>
      </c>
      <c r="G24" s="201">
        <v>3217.79</v>
      </c>
      <c r="H24" s="201">
        <v>3258.81</v>
      </c>
      <c r="I24" s="202">
        <f t="shared" si="1"/>
        <v>41.019999999999982</v>
      </c>
      <c r="J24" s="201">
        <v>3108.41</v>
      </c>
      <c r="K24" s="199">
        <v>44098.794444444444</v>
      </c>
      <c r="L24" s="201">
        <v>3258.81</v>
      </c>
      <c r="M24" s="203">
        <f t="shared" si="2"/>
        <v>-41.02</v>
      </c>
      <c r="N24" s="204">
        <f t="shared" si="3"/>
        <v>-1</v>
      </c>
      <c r="O24" s="205">
        <f t="shared" si="4"/>
        <v>0</v>
      </c>
      <c r="P24" s="206">
        <f t="shared" si="5"/>
        <v>0</v>
      </c>
      <c r="Q24" s="206">
        <f t="shared" si="6"/>
        <v>-1</v>
      </c>
      <c r="R2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102670</v>
      </c>
      <c r="T2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24" s="208">
        <f ca="1">IF(Tabla336106734812[[#This Row],[Equity]]&lt;Tabla336106734812[[#This Row],[Equity Peak]],(Tabla336106734812[[#This Row],[Equity Peak]]-Tabla336106734812[[#This Row],[Equity]])/Tabla336106734812[[#This Row],[Equity Peak]],"")</f>
        <v>2.9308877753616337E-2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-1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0.12777777777955635</v>
      </c>
      <c r="AE24" s="210">
        <f t="shared" si="16"/>
        <v>0</v>
      </c>
      <c r="AF24" s="210">
        <f t="shared" si="17"/>
        <v>0.12777777777955635</v>
      </c>
      <c r="AG24" s="210">
        <f t="shared" si="18"/>
        <v>0</v>
      </c>
    </row>
    <row r="25" spans="2:33" ht="15" customHeight="1" x14ac:dyDescent="0.3">
      <c r="B25" s="196" t="s">
        <v>5</v>
      </c>
      <c r="C25" s="197" t="s">
        <v>13</v>
      </c>
      <c r="D25" s="198" t="str">
        <f t="shared" si="0"/>
        <v>C</v>
      </c>
      <c r="E25" s="199">
        <v>44095.541666666664</v>
      </c>
      <c r="F25" s="200" t="s">
        <v>93</v>
      </c>
      <c r="G25" s="201">
        <v>3267.22</v>
      </c>
      <c r="H25" s="201">
        <v>3316.88</v>
      </c>
      <c r="I25" s="202">
        <f t="shared" si="1"/>
        <v>49.660000000000309</v>
      </c>
      <c r="J25" s="201">
        <v>3134.8</v>
      </c>
      <c r="K25" s="199">
        <v>44096.943749999999</v>
      </c>
      <c r="L25" s="201">
        <v>3316.88</v>
      </c>
      <c r="M25" s="203">
        <f t="shared" si="2"/>
        <v>-49.66</v>
      </c>
      <c r="N25" s="204">
        <f t="shared" si="3"/>
        <v>-1</v>
      </c>
      <c r="O25" s="205">
        <f t="shared" si="4"/>
        <v>0</v>
      </c>
      <c r="P25" s="206">
        <f t="shared" si="5"/>
        <v>0</v>
      </c>
      <c r="Q25" s="206">
        <f t="shared" si="6"/>
        <v>-1</v>
      </c>
      <c r="R2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103670</v>
      </c>
      <c r="T2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25" s="208">
        <f ca="1">IF(Tabla336106734812[[#This Row],[Equity]]&lt;Tabla336106734812[[#This Row],[Equity Peak]],(Tabla336106734812[[#This Row],[Equity Peak]]-Tabla336106734812[[#This Row],[Equity]])/Tabla336106734812[[#This Row],[Equity Peak]],"")</f>
        <v>1.9854401058901391E-2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-1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1.4020833333343035</v>
      </c>
      <c r="AE25" s="210">
        <f t="shared" si="16"/>
        <v>0</v>
      </c>
      <c r="AF25" s="210">
        <f t="shared" si="17"/>
        <v>1.4020833333343035</v>
      </c>
      <c r="AG25" s="210">
        <f t="shared" si="18"/>
        <v>0</v>
      </c>
    </row>
    <row r="26" spans="2:33" ht="15" customHeight="1" x14ac:dyDescent="0.3">
      <c r="B26" s="196" t="s">
        <v>5</v>
      </c>
      <c r="C26" s="197" t="s">
        <v>15</v>
      </c>
      <c r="D26" s="198" t="str">
        <f t="shared" si="0"/>
        <v>C</v>
      </c>
      <c r="E26" s="199">
        <v>44046.875</v>
      </c>
      <c r="F26" s="200" t="s">
        <v>93</v>
      </c>
      <c r="G26" s="201">
        <v>3297.98</v>
      </c>
      <c r="H26" s="201">
        <v>3261.67</v>
      </c>
      <c r="I26" s="202">
        <f t="shared" si="1"/>
        <v>36.309999999999945</v>
      </c>
      <c r="J26" s="201">
        <v>3394.8</v>
      </c>
      <c r="K26" s="199">
        <v>44062.17291666667</v>
      </c>
      <c r="L26" s="201">
        <v>3394.8</v>
      </c>
      <c r="M26" s="203">
        <f t="shared" si="2"/>
        <v>96.82</v>
      </c>
      <c r="N26" s="204">
        <f t="shared" si="3"/>
        <v>2.67</v>
      </c>
      <c r="O26" s="205">
        <f t="shared" si="4"/>
        <v>0</v>
      </c>
      <c r="P26" s="206">
        <f t="shared" si="5"/>
        <v>2.67</v>
      </c>
      <c r="Q26" s="206">
        <f t="shared" si="6"/>
        <v>0</v>
      </c>
      <c r="R2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104670</v>
      </c>
      <c r="T2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26" s="208">
        <f ca="1">IF(Tabla336106734812[[#This Row],[Equity]]&lt;Tabla336106734812[[#This Row],[Equity Peak]],(Tabla336106734812[[#This Row],[Equity Peak]]-Tabla336106734812[[#This Row],[Equity]])/Tabla336106734812[[#This Row],[Equity Peak]],"")</f>
        <v>1.0399924364186443E-2</v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2.67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15.297916666670062</v>
      </c>
      <c r="AE26" s="210">
        <f t="shared" si="16"/>
        <v>15.297916666670062</v>
      </c>
      <c r="AF26" s="210">
        <f t="shared" si="17"/>
        <v>0</v>
      </c>
      <c r="AG26" s="210">
        <f t="shared" si="18"/>
        <v>0</v>
      </c>
    </row>
    <row r="27" spans="2:33" ht="15" customHeight="1" x14ac:dyDescent="0.3">
      <c r="B27" s="196" t="s">
        <v>5</v>
      </c>
      <c r="C27" s="197" t="s">
        <v>15</v>
      </c>
      <c r="D27" s="198" t="str">
        <f t="shared" si="0"/>
        <v>C</v>
      </c>
      <c r="E27" s="199">
        <v>44027.666666666664</v>
      </c>
      <c r="F27" s="200" t="s">
        <v>93</v>
      </c>
      <c r="G27" s="201">
        <v>3240.58</v>
      </c>
      <c r="H27" s="201">
        <v>3197.01</v>
      </c>
      <c r="I27" s="202">
        <f t="shared" si="1"/>
        <v>43.569999999999709</v>
      </c>
      <c r="J27" s="201">
        <v>3356.76</v>
      </c>
      <c r="K27" s="199">
        <v>44035.886111111111</v>
      </c>
      <c r="L27" s="201">
        <v>3223.59</v>
      </c>
      <c r="M27" s="203">
        <f t="shared" si="2"/>
        <v>-16.989999999999998</v>
      </c>
      <c r="N27" s="204">
        <f t="shared" si="3"/>
        <v>-0.39</v>
      </c>
      <c r="O27" s="205">
        <f t="shared" si="4"/>
        <v>0</v>
      </c>
      <c r="P27" s="206">
        <f t="shared" si="5"/>
        <v>0</v>
      </c>
      <c r="Q27" s="206">
        <f t="shared" si="6"/>
        <v>-0.39</v>
      </c>
      <c r="R2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102000</v>
      </c>
      <c r="T2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27" s="208">
        <f ca="1">IF(Tabla336106734812[[#This Row],[Equity]]&lt;Tabla336106734812[[#This Row],[Equity Peak]],(Tabla336106734812[[#This Row],[Equity Peak]]-Tabla336106734812[[#This Row],[Equity]])/Tabla336106734812[[#This Row],[Equity Peak]],"")</f>
        <v>3.5643377139075352E-2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-0.39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8.2194444444467081</v>
      </c>
      <c r="AE27" s="210">
        <f t="shared" si="16"/>
        <v>0</v>
      </c>
      <c r="AF27" s="210">
        <f t="shared" si="17"/>
        <v>8.2194444444467081</v>
      </c>
      <c r="AG27" s="210">
        <f t="shared" si="18"/>
        <v>0</v>
      </c>
    </row>
    <row r="28" spans="2:33" ht="15" customHeight="1" x14ac:dyDescent="0.3">
      <c r="B28" s="196" t="s">
        <v>5</v>
      </c>
      <c r="C28" s="197" t="s">
        <v>15</v>
      </c>
      <c r="D28" s="198" t="str">
        <f t="shared" si="0"/>
        <v>C</v>
      </c>
      <c r="E28" s="199">
        <v>44025.208333333336</v>
      </c>
      <c r="F28" s="200" t="s">
        <v>93</v>
      </c>
      <c r="G28" s="201">
        <v>3204.04</v>
      </c>
      <c r="H28" s="201">
        <v>3169.43</v>
      </c>
      <c r="I28" s="202">
        <f t="shared" si="1"/>
        <v>34.610000000000127</v>
      </c>
      <c r="J28" s="201">
        <v>3296.33</v>
      </c>
      <c r="K28" s="199">
        <v>44025.942361111112</v>
      </c>
      <c r="L28" s="201">
        <v>3169.43</v>
      </c>
      <c r="M28" s="203">
        <f t="shared" si="2"/>
        <v>-34.61</v>
      </c>
      <c r="N28" s="204">
        <f t="shared" si="3"/>
        <v>-1</v>
      </c>
      <c r="O28" s="205">
        <f t="shared" si="4"/>
        <v>0</v>
      </c>
      <c r="P28" s="206">
        <f t="shared" si="5"/>
        <v>0</v>
      </c>
      <c r="Q28" s="206">
        <f t="shared" si="6"/>
        <v>-1</v>
      </c>
      <c r="R2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102390</v>
      </c>
      <c r="T2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28" s="208">
        <f ca="1">IF(Tabla336106734812[[#This Row],[Equity]]&lt;Tabla336106734812[[#This Row],[Equity Peak]],(Tabla336106734812[[#This Row],[Equity Peak]]-Tabla336106734812[[#This Row],[Equity]])/Tabla336106734812[[#This Row],[Equity Peak]],"")</f>
        <v>3.1956131228136522E-2</v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-1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0.73402777777664596</v>
      </c>
      <c r="AE28" s="210">
        <f t="shared" si="16"/>
        <v>0</v>
      </c>
      <c r="AF28" s="210">
        <f t="shared" si="17"/>
        <v>0.73402777777664596</v>
      </c>
      <c r="AG28" s="210">
        <f t="shared" si="18"/>
        <v>0</v>
      </c>
    </row>
    <row r="29" spans="2:33" ht="15" customHeight="1" x14ac:dyDescent="0.3">
      <c r="B29" s="196" t="s">
        <v>5</v>
      </c>
      <c r="C29" s="197" t="s">
        <v>15</v>
      </c>
      <c r="D29" s="198" t="str">
        <f t="shared" si="0"/>
        <v>C</v>
      </c>
      <c r="E29" s="199">
        <v>44014.5</v>
      </c>
      <c r="F29" s="200" t="s">
        <v>93</v>
      </c>
      <c r="G29" s="201">
        <v>3134.28</v>
      </c>
      <c r="H29" s="201">
        <v>3101.42</v>
      </c>
      <c r="I29" s="202">
        <f t="shared" si="1"/>
        <v>32.860000000000127</v>
      </c>
      <c r="J29" s="201">
        <v>3221.91</v>
      </c>
      <c r="K29" s="199">
        <v>44021.745833333334</v>
      </c>
      <c r="L29" s="201">
        <v>3132.72</v>
      </c>
      <c r="M29" s="203">
        <f t="shared" si="2"/>
        <v>-1.56</v>
      </c>
      <c r="N29" s="204">
        <f t="shared" si="3"/>
        <v>-0.05</v>
      </c>
      <c r="O29" s="205">
        <f t="shared" si="4"/>
        <v>0</v>
      </c>
      <c r="P29" s="206">
        <f t="shared" si="5"/>
        <v>0</v>
      </c>
      <c r="Q29" s="206">
        <f t="shared" si="6"/>
        <v>-0.05</v>
      </c>
      <c r="R2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103390</v>
      </c>
      <c r="T2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29" s="208">
        <f ca="1">IF(Tabla336106734812[[#This Row],[Equity]]&lt;Tabla336106734812[[#This Row],[Equity Peak]],(Tabla336106734812[[#This Row],[Equity Peak]]-Tabla336106734812[[#This Row],[Equity]])/Tabla336106734812[[#This Row],[Equity Peak]],"")</f>
        <v>2.2501654533421574E-2</v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-0.05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7.2458333333343035</v>
      </c>
      <c r="AE29" s="210">
        <f t="shared" si="16"/>
        <v>0</v>
      </c>
      <c r="AF29" s="210">
        <f t="shared" si="17"/>
        <v>7.2458333333343035</v>
      </c>
      <c r="AG29" s="210">
        <f t="shared" si="18"/>
        <v>0</v>
      </c>
    </row>
    <row r="30" spans="2:33" ht="15" customHeight="1" x14ac:dyDescent="0.3">
      <c r="B30" s="196" t="s">
        <v>5</v>
      </c>
      <c r="C30" s="197" t="s">
        <v>15</v>
      </c>
      <c r="D30" s="198" t="str">
        <f t="shared" si="0"/>
        <v>C</v>
      </c>
      <c r="E30" s="199">
        <v>43998.666666666664</v>
      </c>
      <c r="F30" s="200" t="s">
        <v>93</v>
      </c>
      <c r="G30" s="201">
        <v>3161.27</v>
      </c>
      <c r="H30" s="201">
        <v>3086.64</v>
      </c>
      <c r="I30" s="202">
        <f t="shared" si="1"/>
        <v>74.630000000000109</v>
      </c>
      <c r="J30" s="201">
        <v>3360.28</v>
      </c>
      <c r="K30" s="199">
        <v>43998.750694444447</v>
      </c>
      <c r="L30" s="201">
        <v>3086.64</v>
      </c>
      <c r="M30" s="203">
        <f t="shared" si="2"/>
        <v>-74.63</v>
      </c>
      <c r="N30" s="204">
        <f t="shared" si="3"/>
        <v>-1</v>
      </c>
      <c r="O30" s="205">
        <f t="shared" si="4"/>
        <v>0</v>
      </c>
      <c r="P30" s="206">
        <f t="shared" si="5"/>
        <v>0</v>
      </c>
      <c r="Q30" s="206">
        <f t="shared" si="6"/>
        <v>-1</v>
      </c>
      <c r="R3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103440</v>
      </c>
      <c r="T3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30" s="208">
        <f ca="1">IF(Tabla336106734812[[#This Row],[Equity]]&lt;Tabla336106734812[[#This Row],[Equity Peak]],(Tabla336106734812[[#This Row],[Equity Peak]]-Tabla336106734812[[#This Row],[Equity]])/Tabla336106734812[[#This Row],[Equity Peak]],"")</f>
        <v>2.2028930698685827E-2</v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-1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8.4027777782466728E-2</v>
      </c>
      <c r="AE30" s="210">
        <f t="shared" si="16"/>
        <v>0</v>
      </c>
      <c r="AF30" s="210">
        <f t="shared" si="17"/>
        <v>8.4027777782466728E-2</v>
      </c>
      <c r="AG30" s="210">
        <f t="shared" si="18"/>
        <v>0</v>
      </c>
    </row>
    <row r="31" spans="2:33" ht="15" customHeight="1" x14ac:dyDescent="0.3">
      <c r="B31" s="196" t="s">
        <v>5</v>
      </c>
      <c r="C31" s="197" t="s">
        <v>13</v>
      </c>
      <c r="D31" s="198" t="str">
        <f t="shared" si="0"/>
        <v>C</v>
      </c>
      <c r="E31" s="199">
        <v>43997.416666666664</v>
      </c>
      <c r="F31" s="200" t="s">
        <v>93</v>
      </c>
      <c r="G31" s="201">
        <v>2950.6</v>
      </c>
      <c r="H31" s="201">
        <v>3023</v>
      </c>
      <c r="I31" s="202">
        <f t="shared" si="1"/>
        <v>72.400000000000091</v>
      </c>
      <c r="J31" s="201">
        <v>2757.52</v>
      </c>
      <c r="K31" s="199">
        <v>43997.763194444444</v>
      </c>
      <c r="L31" s="201">
        <v>3023</v>
      </c>
      <c r="M31" s="203">
        <f t="shared" si="2"/>
        <v>-72.400000000000006</v>
      </c>
      <c r="N31" s="204">
        <f t="shared" si="3"/>
        <v>-1</v>
      </c>
      <c r="O31" s="205">
        <f t="shared" si="4"/>
        <v>0</v>
      </c>
      <c r="P31" s="206">
        <f t="shared" si="5"/>
        <v>0</v>
      </c>
      <c r="Q31" s="206">
        <f t="shared" si="6"/>
        <v>-1</v>
      </c>
      <c r="R3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104440</v>
      </c>
      <c r="T3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31" s="208">
        <f ca="1">IF(Tabla336106734812[[#This Row],[Equity]]&lt;Tabla336106734812[[#This Row],[Equity Peak]],(Tabla336106734812[[#This Row],[Equity Peak]]-Tabla336106734812[[#This Row],[Equity]])/Tabla336106734812[[#This Row],[Equity Peak]],"")</f>
        <v>1.257445400397088E-2</v>
      </c>
      <c r="V31" s="209">
        <f t="shared" si="7"/>
        <v>0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-1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0.34652777777955635</v>
      </c>
      <c r="AE31" s="210">
        <f t="shared" si="16"/>
        <v>0</v>
      </c>
      <c r="AF31" s="210">
        <f t="shared" si="17"/>
        <v>0.34652777777955635</v>
      </c>
      <c r="AG31" s="210">
        <f t="shared" si="18"/>
        <v>0</v>
      </c>
    </row>
    <row r="32" spans="2:33" ht="15" customHeight="1" x14ac:dyDescent="0.3">
      <c r="B32" s="196" t="s">
        <v>5</v>
      </c>
      <c r="C32" s="197" t="s">
        <v>15</v>
      </c>
      <c r="D32" s="198" t="str">
        <f t="shared" si="0"/>
        <v>C</v>
      </c>
      <c r="E32" s="199">
        <v>43969.583333333336</v>
      </c>
      <c r="F32" s="200" t="s">
        <v>93</v>
      </c>
      <c r="G32" s="201">
        <v>2900.7</v>
      </c>
      <c r="H32" s="201">
        <v>2856.7</v>
      </c>
      <c r="I32" s="202">
        <f t="shared" si="1"/>
        <v>44</v>
      </c>
      <c r="J32" s="201">
        <v>3018.04</v>
      </c>
      <c r="K32" s="199">
        <v>43977.400694444441</v>
      </c>
      <c r="L32" s="201">
        <v>3018.04</v>
      </c>
      <c r="M32" s="203">
        <f t="shared" si="2"/>
        <v>117.34</v>
      </c>
      <c r="N32" s="204">
        <f t="shared" si="3"/>
        <v>2.67</v>
      </c>
      <c r="O32" s="205">
        <f t="shared" si="4"/>
        <v>0</v>
      </c>
      <c r="P32" s="206">
        <f t="shared" si="5"/>
        <v>2.67</v>
      </c>
      <c r="Q32" s="206">
        <f t="shared" si="6"/>
        <v>0</v>
      </c>
      <c r="R3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105440</v>
      </c>
      <c r="T3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32" s="208">
        <f ca="1">IF(Tabla336106734812[[#This Row],[Equity]]&lt;Tabla336106734812[[#This Row],[Equity Peak]],(Tabla336106734812[[#This Row],[Equity Peak]]-Tabla336106734812[[#This Row],[Equity]])/Tabla336106734812[[#This Row],[Equity Peak]],"")</f>
        <v>3.1199773092559328E-3</v>
      </c>
      <c r="V32" s="209">
        <f t="shared" si="7"/>
        <v>0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2.67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7.8173611111051287</v>
      </c>
      <c r="AE32" s="210">
        <f t="shared" si="16"/>
        <v>7.8173611111051287</v>
      </c>
      <c r="AF32" s="210">
        <f t="shared" si="17"/>
        <v>0</v>
      </c>
      <c r="AG32" s="210">
        <f t="shared" si="18"/>
        <v>0</v>
      </c>
    </row>
    <row r="33" spans="2:33" ht="15" customHeight="1" x14ac:dyDescent="0.3">
      <c r="B33" s="196" t="s">
        <v>5</v>
      </c>
      <c r="C33" s="197" t="s">
        <v>13</v>
      </c>
      <c r="D33" s="198" t="str">
        <f t="shared" si="0"/>
        <v>C</v>
      </c>
      <c r="E33" s="199">
        <v>43965.833333333336</v>
      </c>
      <c r="F33" s="200" t="s">
        <v>93</v>
      </c>
      <c r="G33" s="201">
        <v>2826.51</v>
      </c>
      <c r="H33" s="201">
        <v>2881.31</v>
      </c>
      <c r="I33" s="202">
        <f t="shared" si="1"/>
        <v>54.799999999999727</v>
      </c>
      <c r="J33" s="201">
        <v>2680.38</v>
      </c>
      <c r="K33" s="199">
        <v>43969.22152777778</v>
      </c>
      <c r="L33" s="201">
        <v>2881.31</v>
      </c>
      <c r="M33" s="203">
        <f t="shared" si="2"/>
        <v>-54.8</v>
      </c>
      <c r="N33" s="204">
        <f t="shared" si="3"/>
        <v>-1</v>
      </c>
      <c r="O33" s="205">
        <f t="shared" si="4"/>
        <v>0</v>
      </c>
      <c r="P33" s="206">
        <f t="shared" si="5"/>
        <v>0</v>
      </c>
      <c r="Q33" s="206">
        <f t="shared" si="6"/>
        <v>-1</v>
      </c>
      <c r="R3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102770</v>
      </c>
      <c r="T3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33" s="208">
        <f ca="1">IF(Tabla336106734812[[#This Row],[Equity]]&lt;Tabla336106734812[[#This Row],[Equity Peak]],(Tabla336106734812[[#This Row],[Equity Peak]]-Tabla336106734812[[#This Row],[Equity]])/Tabla336106734812[[#This Row],[Equity Peak]],"")</f>
        <v>2.8363430084144842E-2</v>
      </c>
      <c r="V33" s="209">
        <f t="shared" si="7"/>
        <v>0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-1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3.3881944444437977</v>
      </c>
      <c r="AE33" s="210">
        <f t="shared" si="16"/>
        <v>0</v>
      </c>
      <c r="AF33" s="210">
        <f t="shared" si="17"/>
        <v>3.3881944444437977</v>
      </c>
      <c r="AG33" s="210">
        <f t="shared" si="18"/>
        <v>0</v>
      </c>
    </row>
    <row r="34" spans="2:33" ht="15" customHeight="1" x14ac:dyDescent="0.3">
      <c r="B34" s="196" t="s">
        <v>5</v>
      </c>
      <c r="C34" s="197" t="s">
        <v>15</v>
      </c>
      <c r="D34" s="198" t="str">
        <f t="shared" ref="D34:D38" si="19">IF(E34&lt;&gt;"",IF(K34&lt;&gt;"","C","O"),"")</f>
        <v>C</v>
      </c>
      <c r="E34" s="199">
        <v>43950.666666666664</v>
      </c>
      <c r="F34" s="200" t="s">
        <v>93</v>
      </c>
      <c r="G34" s="201">
        <v>2929.82</v>
      </c>
      <c r="H34" s="201">
        <v>2890.44</v>
      </c>
      <c r="I34" s="202">
        <f t="shared" ref="I34:I38" si="20">ABS(G34-H34)</f>
        <v>39.380000000000109</v>
      </c>
      <c r="J34" s="201">
        <v>3034.84</v>
      </c>
      <c r="K34" s="199">
        <v>43951.984722222223</v>
      </c>
      <c r="L34" s="201">
        <v>2890.44</v>
      </c>
      <c r="M34" s="203">
        <f t="shared" ref="M34:M38" si="21">ROUND(IF(C34="L",(L34-G34),(G34-L34)),4)</f>
        <v>-39.380000000000003</v>
      </c>
      <c r="N34" s="204">
        <f t="shared" ref="N34:N38" si="22">IFERROR(ROUND((M34/I34),2),"")</f>
        <v>-1</v>
      </c>
      <c r="O34" s="205">
        <f t="shared" ref="O34:O38" si="23">IF(D34="O",IF(N34&lt;0,N34,0),0)</f>
        <v>0</v>
      </c>
      <c r="P34" s="206">
        <f t="shared" ref="P34:P38" si="24">IF(N34&gt;= 0,N34,0)</f>
        <v>0</v>
      </c>
      <c r="Q34" s="206">
        <f t="shared" ref="Q34:Q38" si="25">IF(N34&lt;0,N34,0)</f>
        <v>-1</v>
      </c>
      <c r="R3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103770</v>
      </c>
      <c r="T3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34" s="208">
        <f ca="1">IF(Tabla336106734812[[#This Row],[Equity]]&lt;Tabla336106734812[[#This Row],[Equity Peak]],(Tabla336106734812[[#This Row],[Equity Peak]]-Tabla336106734812[[#This Row],[Equity]])/Tabla336106734812[[#This Row],[Equity Peak]],"")</f>
        <v>1.8908953389429894E-2</v>
      </c>
      <c r="V34" s="209">
        <f t="shared" ref="V34:V38" si="26">IF(B34="FX",N34,0)</f>
        <v>0</v>
      </c>
      <c r="W34" s="209">
        <f t="shared" ref="W34:W38" si="27">IF(D34="O",IF(V34&lt;0,V34,0),0)</f>
        <v>0</v>
      </c>
      <c r="X34" s="209">
        <f t="shared" ref="X34:X38" si="28">IF(B34="COM",N34,0)</f>
        <v>0</v>
      </c>
      <c r="Y34" s="209">
        <f t="shared" ref="Y34:Y38" si="29">IF(D34="O",IF(X34&lt;0,X34,0),0)</f>
        <v>0</v>
      </c>
      <c r="Z34" s="209">
        <f t="shared" ref="Z34:Z38" si="30">IF(B34="IND",N34,0)</f>
        <v>-1</v>
      </c>
      <c r="AA34" s="205">
        <f t="shared" ref="AA34:AA38" si="31">IF(D34="O",IF(Z34&lt;0,Z34,0),0)</f>
        <v>0</v>
      </c>
      <c r="AB34" s="209">
        <f t="shared" ref="AB34:AB38" si="32">IF(B34="CRYPTO",N34,0)</f>
        <v>0</v>
      </c>
      <c r="AC34" s="205">
        <f t="shared" ref="AC34:AC38" si="33">IF(D34="O",IF(AB34&lt;0,AB34,0),0)</f>
        <v>0</v>
      </c>
      <c r="AD34" s="210">
        <f t="shared" ref="AD34:AD38" si="34">IF(K34&lt;&gt;"",K34-E34,0)</f>
        <v>1.3180555555591127</v>
      </c>
      <c r="AE34" s="210">
        <f t="shared" ref="AE34:AE38" si="35">IF(N34&gt;0,AD34,0)</f>
        <v>0</v>
      </c>
      <c r="AF34" s="210">
        <f t="shared" ref="AF34:AF38" si="36">IF(N34&lt;0,AD34,0)</f>
        <v>1.3180555555591127</v>
      </c>
      <c r="AG34" s="210">
        <f t="shared" ref="AG34:AG38" si="37">IF(N34=0,AD34,0)</f>
        <v>0</v>
      </c>
    </row>
    <row r="35" spans="2:33" ht="15" customHeight="1" x14ac:dyDescent="0.3">
      <c r="B35" s="196" t="s">
        <v>5</v>
      </c>
      <c r="C35" s="197" t="s">
        <v>15</v>
      </c>
      <c r="D35" s="198" t="str">
        <f t="shared" si="19"/>
        <v>C</v>
      </c>
      <c r="E35" s="199">
        <v>43949.666666666664</v>
      </c>
      <c r="F35" s="200" t="s">
        <v>93</v>
      </c>
      <c r="G35" s="201">
        <v>2920.2</v>
      </c>
      <c r="H35" s="201">
        <v>2882.38</v>
      </c>
      <c r="I35" s="202">
        <f t="shared" si="20"/>
        <v>37.819999999999709</v>
      </c>
      <c r="J35" s="201">
        <v>3021.05</v>
      </c>
      <c r="K35" s="199">
        <v>43949.727777777778</v>
      </c>
      <c r="L35" s="201">
        <v>2882.38</v>
      </c>
      <c r="M35" s="203">
        <f t="shared" si="21"/>
        <v>-37.82</v>
      </c>
      <c r="N35" s="204">
        <f t="shared" si="22"/>
        <v>-1</v>
      </c>
      <c r="O35" s="205">
        <f t="shared" si="23"/>
        <v>0</v>
      </c>
      <c r="P35" s="206">
        <f t="shared" si="24"/>
        <v>0</v>
      </c>
      <c r="Q35" s="206">
        <f t="shared" si="25"/>
        <v>-1</v>
      </c>
      <c r="R3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104770</v>
      </c>
      <c r="T3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35" s="208">
        <f ca="1">IF(Tabla336106734812[[#This Row],[Equity]]&lt;Tabla336106734812[[#This Row],[Equity Peak]],(Tabla336106734812[[#This Row],[Equity Peak]]-Tabla336106734812[[#This Row],[Equity]])/Tabla336106734812[[#This Row],[Equity Peak]],"")</f>
        <v>9.4544766947149469E-3</v>
      </c>
      <c r="V35" s="209">
        <f t="shared" si="26"/>
        <v>0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-1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6.1111111113859806E-2</v>
      </c>
      <c r="AE35" s="210">
        <f t="shared" si="35"/>
        <v>0</v>
      </c>
      <c r="AF35" s="210">
        <f t="shared" si="36"/>
        <v>6.1111111113859806E-2</v>
      </c>
      <c r="AG35" s="210">
        <f t="shared" si="37"/>
        <v>0</v>
      </c>
    </row>
    <row r="36" spans="2:33" ht="15" customHeight="1" x14ac:dyDescent="0.3">
      <c r="B36" s="196" t="s">
        <v>5</v>
      </c>
      <c r="C36" s="197" t="s">
        <v>13</v>
      </c>
      <c r="D36" s="198" t="str">
        <f t="shared" si="19"/>
        <v>C</v>
      </c>
      <c r="E36" s="199">
        <v>43886.833333333336</v>
      </c>
      <c r="F36" s="200" t="s">
        <v>93</v>
      </c>
      <c r="G36" s="201">
        <v>3171.49</v>
      </c>
      <c r="H36" s="201">
        <v>3220.65</v>
      </c>
      <c r="I36" s="202">
        <f t="shared" si="20"/>
        <v>49.160000000000309</v>
      </c>
      <c r="J36" s="201">
        <v>3040.4</v>
      </c>
      <c r="K36" s="199">
        <v>43888.693055555559</v>
      </c>
      <c r="L36" s="201">
        <v>3040.4</v>
      </c>
      <c r="M36" s="203">
        <f t="shared" si="21"/>
        <v>131.09</v>
      </c>
      <c r="N36" s="204">
        <f t="shared" si="22"/>
        <v>2.67</v>
      </c>
      <c r="O36" s="205">
        <f t="shared" si="23"/>
        <v>0</v>
      </c>
      <c r="P36" s="206">
        <f t="shared" si="24"/>
        <v>2.67</v>
      </c>
      <c r="Q36" s="206">
        <f t="shared" si="25"/>
        <v>0</v>
      </c>
      <c r="R3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105770</v>
      </c>
      <c r="T3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105770</v>
      </c>
      <c r="U36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36" s="209">
        <f t="shared" si="26"/>
        <v>0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2.67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1.859722222223354</v>
      </c>
      <c r="AE36" s="210">
        <f t="shared" si="35"/>
        <v>1.859722222223354</v>
      </c>
      <c r="AF36" s="210">
        <f t="shared" si="36"/>
        <v>0</v>
      </c>
      <c r="AG36" s="210">
        <f t="shared" si="37"/>
        <v>0</v>
      </c>
    </row>
    <row r="37" spans="2:33" ht="15" customHeight="1" x14ac:dyDescent="0.3">
      <c r="B37" s="196" t="s">
        <v>5</v>
      </c>
      <c r="C37" s="197" t="s">
        <v>15</v>
      </c>
      <c r="D37" s="198" t="str">
        <f t="shared" si="19"/>
        <v>C</v>
      </c>
      <c r="E37" s="199">
        <v>43866.5</v>
      </c>
      <c r="F37" s="200" t="s">
        <v>93</v>
      </c>
      <c r="G37" s="201">
        <v>3330.57</v>
      </c>
      <c r="H37" s="201">
        <v>3303.76</v>
      </c>
      <c r="I37" s="202">
        <f t="shared" si="20"/>
        <v>26.809999999999945</v>
      </c>
      <c r="J37" s="201">
        <v>3402.06</v>
      </c>
      <c r="K37" s="199">
        <v>43881.772222222222</v>
      </c>
      <c r="L37" s="201">
        <v>3342.05</v>
      </c>
      <c r="M37" s="203">
        <f t="shared" si="21"/>
        <v>11.48</v>
      </c>
      <c r="N37" s="204">
        <f t="shared" si="22"/>
        <v>0.43</v>
      </c>
      <c r="O37" s="205">
        <f t="shared" si="23"/>
        <v>0</v>
      </c>
      <c r="P37" s="206">
        <f t="shared" si="24"/>
        <v>0.43</v>
      </c>
      <c r="Q37" s="206">
        <f t="shared" si="25"/>
        <v>0</v>
      </c>
      <c r="R3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103100</v>
      </c>
      <c r="T3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103100</v>
      </c>
      <c r="U37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37" s="209">
        <f t="shared" si="26"/>
        <v>0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0.43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15.272222222221899</v>
      </c>
      <c r="AE37" s="210">
        <f t="shared" si="35"/>
        <v>15.272222222221899</v>
      </c>
      <c r="AF37" s="210">
        <f t="shared" si="36"/>
        <v>0</v>
      </c>
      <c r="AG37" s="210">
        <f t="shared" si="37"/>
        <v>0</v>
      </c>
    </row>
    <row r="38" spans="2:33" ht="15" customHeight="1" x14ac:dyDescent="0.3">
      <c r="B38" s="196" t="s">
        <v>5</v>
      </c>
      <c r="C38" s="197" t="s">
        <v>15</v>
      </c>
      <c r="D38" s="198" t="str">
        <f t="shared" si="19"/>
        <v>C</v>
      </c>
      <c r="E38" s="199">
        <v>43839.5</v>
      </c>
      <c r="F38" s="200" t="s">
        <v>93</v>
      </c>
      <c r="G38" s="201">
        <v>3269.62</v>
      </c>
      <c r="H38" s="201">
        <v>3244.99</v>
      </c>
      <c r="I38" s="202">
        <f t="shared" si="20"/>
        <v>24.630000000000109</v>
      </c>
      <c r="J38" s="201">
        <v>3335.31</v>
      </c>
      <c r="K38" s="199">
        <v>43852.256249999999</v>
      </c>
      <c r="L38" s="201">
        <v>3335.31</v>
      </c>
      <c r="M38" s="203">
        <f t="shared" si="21"/>
        <v>65.69</v>
      </c>
      <c r="N38" s="204">
        <f t="shared" si="22"/>
        <v>2.67</v>
      </c>
      <c r="O38" s="205">
        <f t="shared" si="23"/>
        <v>0</v>
      </c>
      <c r="P38" s="206">
        <f t="shared" si="24"/>
        <v>2.67</v>
      </c>
      <c r="Q38" s="206">
        <f t="shared" si="25"/>
        <v>0</v>
      </c>
      <c r="R3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102670</v>
      </c>
      <c r="T3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102670</v>
      </c>
      <c r="U38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38" s="209">
        <f t="shared" si="26"/>
        <v>0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2.67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12.756249999998545</v>
      </c>
      <c r="AE38" s="210">
        <f t="shared" si="35"/>
        <v>12.756249999998545</v>
      </c>
      <c r="AF38" s="210">
        <f t="shared" si="36"/>
        <v>0</v>
      </c>
      <c r="AG38" s="210">
        <f t="shared" si="37"/>
        <v>0</v>
      </c>
    </row>
  </sheetData>
  <sheetProtection algorithmName="SHA-512" hashValue="gjX6ri2GV3B3v2YvwSx/dGPXKJzNTyBZNUUw1mmO7mGKWm7zcqnG3JkegzdLrs3zbtJsuzZVBukWAYSbLEcC+Q==" saltValue="9wzL/v0blYw11EcmAxJ8P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09" priority="3" operator="equal">
      <formula>"OK"</formula>
    </cfRule>
    <cfRule type="cellIs" dxfId="208" priority="4" operator="equal">
      <formula>"warning"</formula>
    </cfRule>
  </conditionalFormatting>
  <conditionalFormatting sqref="F13">
    <cfRule type="cellIs" dxfId="207" priority="1" operator="equal">
      <formula>"OK"</formula>
    </cfRule>
    <cfRule type="cellIs" dxfId="206" priority="2" operator="equal">
      <formula>"Error!!"</formula>
    </cfRule>
  </conditionalFormatting>
  <conditionalFormatting sqref="E15:H15 K15:L15">
    <cfRule type="expression" dxfId="205" priority="5">
      <formula>+$D15=#REF!</formula>
    </cfRule>
    <cfRule type="expression" dxfId="204" priority="6">
      <formula>+$D15=#REF!</formula>
    </cfRule>
  </conditionalFormatting>
  <conditionalFormatting sqref="D15 K16:L16 D16:H38 J17:L38">
    <cfRule type="expression" dxfId="203" priority="7">
      <formula>+$D15=$AG$8</formula>
    </cfRule>
    <cfRule type="expression" dxfId="20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F85ABCA4-38C2-420F-875E-43386DED7162}">
      <formula1>$AE$4:$AE$6</formula1>
    </dataValidation>
    <dataValidation type="list" allowBlank="1" showInputMessage="1" showErrorMessage="1" promptTitle="Trade Direction" prompt="Select from List" sqref="C15:C16" xr:uid="{0AFBE46F-E6CB-4C42-B831-8A17AF005034}">
      <formula1>$AG$4:$AG$5</formula1>
    </dataValidation>
    <dataValidation type="list" allowBlank="1" showInputMessage="1" showErrorMessage="1" promptTitle="Instrument Type" prompt="Select Type from List_x000a_" sqref="B17:B38" xr:uid="{E42B4B5B-1466-4C23-A919-445FAC5C5BCF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4CA6-7F9F-484B-866E-40CD17B61828}">
  <sheetPr codeName="Hoja29">
    <pageSetUpPr fitToPage="1"/>
  </sheetPr>
  <dimension ref="A1:AX114"/>
  <sheetViews>
    <sheetView showGridLines="0" showZeros="0" zoomScale="115" zoomScaleNormal="115" zoomScalePageLayoutView="99" workbookViewId="0">
      <pane ySplit="16" topLeftCell="A152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COUNTA(Tabla336106734823[Inst])</f>
        <v>98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-2.5600000000000005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-2.5600000000000005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COUNTIF(Tabla336106734823[No. of Rs],"&gt;0")</f>
        <v>29</v>
      </c>
      <c r="G7" s="24">
        <f>IFERROR((F7/$F$6),"")</f>
        <v>0.29591836734693877</v>
      </c>
      <c r="H7" s="78">
        <f>IFERROR((+P13/F7),"")</f>
        <v>1.0193103448275862</v>
      </c>
      <c r="I7" s="227">
        <f>H7/H9</f>
        <v>2.1896766436209036</v>
      </c>
      <c r="J7" s="227">
        <f>AVERAGE(Tabla336106734823[No. of Rs])</f>
        <v>-2.6122448979591841E-2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COUNTIF(Tabla336106734823[No.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OFFSET(Tabla336106734823[[#Headers],[Equity]],1,0)</f>
        <v>97440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COUNTIF(Tabla336106734823[No. of Rs],"&lt;0")</f>
        <v>69</v>
      </c>
      <c r="G9" s="32">
        <f>IFERROR((F9/$F$6),"")</f>
        <v>0.70408163265306123</v>
      </c>
      <c r="H9" s="79">
        <f>IFERROR((-Q13/F9),"")</f>
        <v>0.46550724637681179</v>
      </c>
      <c r="I9" s="229"/>
      <c r="J9" s="229"/>
      <c r="K9" s="149"/>
      <c r="L9" s="230" t="s">
        <v>106</v>
      </c>
      <c r="M9" s="231"/>
      <c r="N9" s="125">
        <f ca="1">MAX(Tabla336106734823[Drawdown])</f>
        <v>5.0429290437185435E-2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OFFSET(Tabla336106734823[[#Headers],[Drawdown]],1,0)</f>
        <v>4.7600430065487247E-2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COUNTIF(Tabla336106734823[Heat],"&lt;0")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IF(COUNTIFS(Tabla336106734823[O/C],"O")&lt;1,"None",COUNTIFS(Tabla336106734823[O/C],"O"))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SUM(Tabla336106734823[No. of Rs])</f>
        <v>-2.5600000000000005</v>
      </c>
      <c r="O13" s="42">
        <f>SUM(Tabla336106734823[Heat])</f>
        <v>0</v>
      </c>
      <c r="P13" s="43">
        <f>SUM(Tabla336106734823[[ TR WIN]])</f>
        <v>29.56</v>
      </c>
      <c r="Q13" s="43">
        <f>SUM(Tabla336106734823[[ TR LOSS]])</f>
        <v>-32.120000000000012</v>
      </c>
      <c r="R13" s="114"/>
      <c r="S13" s="115"/>
      <c r="T13" s="115"/>
      <c r="U13" s="121"/>
      <c r="V13" s="44">
        <f>SUM(Tabla336106734823[Currency])</f>
        <v>0</v>
      </c>
      <c r="W13" s="44">
        <f>SUM(Tabla336106734823[Heat3])</f>
        <v>0</v>
      </c>
      <c r="X13" s="44">
        <f>SUM(Tabla336106734823[Commodities])</f>
        <v>0</v>
      </c>
      <c r="Y13" s="44">
        <f>SUM(Tabla336106734823[Heat4])</f>
        <v>0</v>
      </c>
      <c r="Z13" s="44">
        <f>SUM(Tabla336106734823[Index])</f>
        <v>-2.5600000000000005</v>
      </c>
      <c r="AA13" s="44">
        <f>SUM(Tabla336106734823[Heat5])</f>
        <v>0</v>
      </c>
      <c r="AB13" s="44">
        <f>SUM(Tabla336106734823[Cryptocurrency])</f>
        <v>0</v>
      </c>
      <c r="AC13" s="44">
        <f>SUM(Tabla336106734823[Heat6])</f>
        <v>0</v>
      </c>
      <c r="AD13" s="75">
        <f>AVERAGEIF(Tabla336106734823[Length of 
Trade],"&lt;&gt;0")</f>
        <v>2.2644982993205098</v>
      </c>
      <c r="AE13" s="75">
        <f>AVERAGEIF(Tabla336106734823[Win],"&lt;&gt;0")</f>
        <v>4.6110632183912896</v>
      </c>
      <c r="AF13" s="75">
        <f>AVERAGEIF(Tabla336106734823[Loss],"&lt;&gt;0")</f>
        <v>1.2782608695661242</v>
      </c>
      <c r="AG13" s="76" t="e">
        <f>AVERAGEIF(Tabla336106734823[Breakeven],"&lt;&gt;0")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196" t="s">
        <v>5</v>
      </c>
      <c r="C17" s="197" t="s">
        <v>15</v>
      </c>
      <c r="D17" s="198" t="str">
        <f t="shared" ref="D17:D48" si="0">IF(E17&lt;&gt;"",IF(K17&lt;&gt;"","C","O"),"")</f>
        <v>C</v>
      </c>
      <c r="E17" s="199">
        <v>44858.125</v>
      </c>
      <c r="F17" s="200" t="s">
        <v>94</v>
      </c>
      <c r="G17" s="201">
        <v>7014.7</v>
      </c>
      <c r="H17" s="201">
        <v>6916.64</v>
      </c>
      <c r="I17" s="202">
        <f t="shared" ref="I17:I48" si="1">ABS(G17-H17)</f>
        <v>98.059999999999491</v>
      </c>
      <c r="J17" s="201">
        <v>7505.01</v>
      </c>
      <c r="K17" s="199">
        <v>44858.46597222222</v>
      </c>
      <c r="L17" s="201">
        <v>6928.2</v>
      </c>
      <c r="M17" s="203">
        <f t="shared" ref="M17:M48" si="2">ROUND(IF(C17="L",(L17-G17),(G17-L17)),4)</f>
        <v>-86.5</v>
      </c>
      <c r="N17" s="204">
        <f t="shared" ref="N17:N48" si="3">IFERROR(ROUND((M17/I17),2),"")</f>
        <v>-0.88</v>
      </c>
      <c r="O17" s="205">
        <f t="shared" ref="O17:O48" si="4">IF(D17="O",IF(N17&lt;0,N17,0),0)</f>
        <v>0</v>
      </c>
      <c r="P17" s="206">
        <f t="shared" ref="P17:P48" si="5">IF(N17&gt;= 0,N17,0)</f>
        <v>0</v>
      </c>
      <c r="Q17" s="206">
        <f t="shared" ref="Q17:Q48" si="6">IF(N17&lt;0,N17,0)</f>
        <v>-0.88</v>
      </c>
      <c r="R1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1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97440</v>
      </c>
      <c r="T1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17" s="208">
        <f ca="1">IF(Tabla336106734823[[#This Row],[Equity]]&lt;Tabla336106734823[[#This Row],[Equity Peak]],(Tabla336106734823[[#This Row],[Equity Peak]]-Tabla336106734823[[#This Row],[Equity]])/Tabla336106734823[[#This Row],[Equity Peak]],"")</f>
        <v>4.7600430065487247E-2</v>
      </c>
      <c r="V17" s="209">
        <f t="shared" ref="V17:V48" si="7">IF(B17="FX",N17,0)</f>
        <v>0</v>
      </c>
      <c r="W17" s="209">
        <f t="shared" ref="W17:W48" si="8">IF(D17="O",IF(V17&lt;0,V17,0),0)</f>
        <v>0</v>
      </c>
      <c r="X17" s="209">
        <f t="shared" ref="X17:X48" si="9">IF(B17="COM",N17,0)</f>
        <v>0</v>
      </c>
      <c r="Y17" s="209">
        <f t="shared" ref="Y17:Y48" si="10">IF(D17="O",IF(X17&lt;0,X17,0),0)</f>
        <v>0</v>
      </c>
      <c r="Z17" s="209">
        <f t="shared" ref="Z17:Z48" si="11">IF(B17="IND",N17,0)</f>
        <v>-0.88</v>
      </c>
      <c r="AA17" s="205">
        <f t="shared" ref="AA17:AA48" si="12">IF(D17="O",IF(Z17&lt;0,Z17,0),0)</f>
        <v>0</v>
      </c>
      <c r="AB17" s="209">
        <f t="shared" ref="AB17:AB48" si="13">IF(B17="CRYPTO",N17,0)</f>
        <v>0</v>
      </c>
      <c r="AC17" s="205">
        <f t="shared" ref="AC17:AC48" si="14">IF(D17="O",IF(AB17&lt;0,AB17,0),0)</f>
        <v>0</v>
      </c>
      <c r="AD17" s="210">
        <f t="shared" ref="AD17:AD48" si="15">IF(K17&lt;&gt;"",K17-E17,0)</f>
        <v>0.34097222222044365</v>
      </c>
      <c r="AE17" s="210">
        <f t="shared" ref="AE17:AE48" si="16">IF(N17&gt;0,AD17,0)</f>
        <v>0</v>
      </c>
      <c r="AF17" s="210">
        <f t="shared" ref="AF17:AF48" si="17">IF(N17&lt;0,AD17,0)</f>
        <v>0.34097222222044365</v>
      </c>
      <c r="AG17" s="210">
        <f t="shared" ref="AG17:AG48" si="18">IF(N17=0,AD17,0)</f>
        <v>0</v>
      </c>
      <c r="AH17" s="176"/>
      <c r="AI17" s="109"/>
    </row>
    <row r="18" spans="1:35" ht="15" customHeight="1" x14ac:dyDescent="0.3">
      <c r="B18" s="196" t="s">
        <v>5</v>
      </c>
      <c r="C18" s="197" t="s">
        <v>13</v>
      </c>
      <c r="D18" s="198" t="str">
        <f t="shared" si="0"/>
        <v>C</v>
      </c>
      <c r="E18" s="199">
        <v>44853.625</v>
      </c>
      <c r="F18" s="200" t="s">
        <v>94</v>
      </c>
      <c r="G18" s="201">
        <v>6924.06</v>
      </c>
      <c r="H18" s="201">
        <v>7027.18</v>
      </c>
      <c r="I18" s="202">
        <f t="shared" si="1"/>
        <v>103.11999999999989</v>
      </c>
      <c r="J18" s="201">
        <v>6408.44</v>
      </c>
      <c r="K18" s="199">
        <v>44855.705555555556</v>
      </c>
      <c r="L18" s="201">
        <v>6951.1</v>
      </c>
      <c r="M18" s="203">
        <f t="shared" si="2"/>
        <v>-27.04</v>
      </c>
      <c r="N18" s="204">
        <f t="shared" si="3"/>
        <v>-0.26</v>
      </c>
      <c r="O18" s="205">
        <f t="shared" si="4"/>
        <v>0</v>
      </c>
      <c r="P18" s="206">
        <f t="shared" si="5"/>
        <v>0</v>
      </c>
      <c r="Q18" s="206">
        <f t="shared" si="6"/>
        <v>-0.26</v>
      </c>
      <c r="R1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1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98320</v>
      </c>
      <c r="T1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18" s="208">
        <f ca="1">IF(Tabla336106734823[[#This Row],[Equity]]&lt;Tabla336106734823[[#This Row],[Equity Peak]],(Tabla336106734823[[#This Row],[Equity Peak]]-Tabla336106734823[[#This Row],[Equity]])/Tabla336106734823[[#This Row],[Equity Peak]],"")</f>
        <v>3.8999120320594272E-2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-0.26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2.0805555555562023</v>
      </c>
      <c r="AE18" s="210">
        <f t="shared" si="16"/>
        <v>0</v>
      </c>
      <c r="AF18" s="210">
        <f t="shared" si="17"/>
        <v>2.0805555555562023</v>
      </c>
      <c r="AG18" s="210">
        <f t="shared" si="18"/>
        <v>0</v>
      </c>
    </row>
    <row r="19" spans="1:35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44852.458333333336</v>
      </c>
      <c r="F19" s="200" t="s">
        <v>94</v>
      </c>
      <c r="G19" s="201">
        <v>6994.05</v>
      </c>
      <c r="H19" s="201">
        <v>6868.07</v>
      </c>
      <c r="I19" s="202">
        <f t="shared" si="1"/>
        <v>125.98000000000047</v>
      </c>
      <c r="J19" s="201">
        <v>7623.94</v>
      </c>
      <c r="K19" s="199">
        <v>44853.44027777778</v>
      </c>
      <c r="L19" s="201">
        <v>6917.86</v>
      </c>
      <c r="M19" s="203">
        <f t="shared" si="2"/>
        <v>-76.19</v>
      </c>
      <c r="N19" s="204">
        <f t="shared" si="3"/>
        <v>-0.6</v>
      </c>
      <c r="O19" s="205">
        <f t="shared" si="4"/>
        <v>0</v>
      </c>
      <c r="P19" s="206">
        <f t="shared" si="5"/>
        <v>0</v>
      </c>
      <c r="Q19" s="206">
        <f t="shared" si="6"/>
        <v>-0.6</v>
      </c>
      <c r="R1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1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98580</v>
      </c>
      <c r="T1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19" s="208">
        <f ca="1">IF(Tabla336106734823[[#This Row],[Equity]]&lt;Tabla336106734823[[#This Row],[Equity Peak]],(Tabla336106734823[[#This Row],[Equity Peak]]-Tabla336106734823[[#This Row],[Equity]])/Tabla336106734823[[#This Row],[Equity Peak]],"")</f>
        <v>3.6457824259603165E-2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-0.6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0.98194444444379769</v>
      </c>
      <c r="AE19" s="210">
        <f t="shared" si="16"/>
        <v>0</v>
      </c>
      <c r="AF19" s="210">
        <f t="shared" si="17"/>
        <v>0.98194444444379769</v>
      </c>
      <c r="AG19" s="210">
        <f t="shared" si="18"/>
        <v>0</v>
      </c>
    </row>
    <row r="20" spans="1:35" ht="15" customHeight="1" x14ac:dyDescent="0.3">
      <c r="B20" s="196" t="s">
        <v>5</v>
      </c>
      <c r="C20" s="197" t="s">
        <v>13</v>
      </c>
      <c r="D20" s="198" t="str">
        <f t="shared" si="0"/>
        <v>C</v>
      </c>
      <c r="E20" s="199">
        <v>44840.625</v>
      </c>
      <c r="F20" s="200" t="s">
        <v>94</v>
      </c>
      <c r="G20" s="201">
        <v>6993.57</v>
      </c>
      <c r="H20" s="201">
        <v>7096.31</v>
      </c>
      <c r="I20" s="202">
        <f t="shared" si="1"/>
        <v>102.74000000000069</v>
      </c>
      <c r="J20" s="201">
        <v>6479.88</v>
      </c>
      <c r="K20" s="199">
        <v>44847.893055555556</v>
      </c>
      <c r="L20" s="201">
        <v>6890.93</v>
      </c>
      <c r="M20" s="203">
        <f t="shared" si="2"/>
        <v>102.64</v>
      </c>
      <c r="N20" s="204">
        <f t="shared" si="3"/>
        <v>1</v>
      </c>
      <c r="O20" s="205">
        <f t="shared" si="4"/>
        <v>0</v>
      </c>
      <c r="P20" s="206">
        <f t="shared" si="5"/>
        <v>1</v>
      </c>
      <c r="Q20" s="206">
        <f t="shared" si="6"/>
        <v>0</v>
      </c>
      <c r="R2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99180</v>
      </c>
      <c r="T2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20" s="208">
        <f ca="1">IF(Tabla336106734823[[#This Row],[Equity]]&lt;Tabla336106734823[[#This Row],[Equity Peak]],(Tabla336106734823[[#This Row],[Equity Peak]]-Tabla336106734823[[#This Row],[Equity]])/Tabla336106734823[[#This Row],[Equity Peak]],"")</f>
        <v>3.059329488808523E-2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1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7.2680555555562023</v>
      </c>
      <c r="AE20" s="210">
        <f t="shared" si="16"/>
        <v>7.2680555555562023</v>
      </c>
      <c r="AF20" s="210">
        <f t="shared" si="17"/>
        <v>0</v>
      </c>
      <c r="AG20" s="210">
        <f t="shared" si="18"/>
        <v>0</v>
      </c>
    </row>
    <row r="21" spans="1:35" ht="15" customHeight="1" x14ac:dyDescent="0.3">
      <c r="B21" s="196" t="s">
        <v>5</v>
      </c>
      <c r="C21" s="197" t="s">
        <v>13</v>
      </c>
      <c r="D21" s="198" t="str">
        <f t="shared" si="0"/>
        <v>C</v>
      </c>
      <c r="E21" s="199">
        <v>44818.625</v>
      </c>
      <c r="F21" s="200" t="s">
        <v>94</v>
      </c>
      <c r="G21" s="201">
        <v>7266.24</v>
      </c>
      <c r="H21" s="201">
        <v>7361.02</v>
      </c>
      <c r="I21" s="202">
        <f t="shared" si="1"/>
        <v>94.780000000000655</v>
      </c>
      <c r="J21" s="201">
        <v>6792.32</v>
      </c>
      <c r="K21" s="199">
        <v>44824.420138888891</v>
      </c>
      <c r="L21" s="201">
        <v>7299.88</v>
      </c>
      <c r="M21" s="203">
        <f t="shared" si="2"/>
        <v>-33.64</v>
      </c>
      <c r="N21" s="204">
        <f t="shared" si="3"/>
        <v>-0.35</v>
      </c>
      <c r="O21" s="205">
        <f t="shared" si="4"/>
        <v>0</v>
      </c>
      <c r="P21" s="206">
        <f t="shared" si="5"/>
        <v>0</v>
      </c>
      <c r="Q21" s="206">
        <f t="shared" si="6"/>
        <v>-0.35</v>
      </c>
      <c r="R2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98180</v>
      </c>
      <c r="T2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21" s="208">
        <f ca="1">IF(Tabla336106734823[[#This Row],[Equity]]&lt;Tabla336106734823[[#This Row],[Equity Peak]],(Tabla336106734823[[#This Row],[Equity Peak]]-Tabla336106734823[[#This Row],[Equity]])/Tabla336106734823[[#This Row],[Equity Peak]],"")</f>
        <v>4.0367510507281788E-2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-0.35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5.7951388888905058</v>
      </c>
      <c r="AE21" s="210">
        <f t="shared" si="16"/>
        <v>0</v>
      </c>
      <c r="AF21" s="210">
        <f t="shared" si="17"/>
        <v>5.7951388888905058</v>
      </c>
      <c r="AG21" s="210">
        <f t="shared" si="18"/>
        <v>0</v>
      </c>
    </row>
    <row r="22" spans="1:35" ht="15" customHeight="1" x14ac:dyDescent="0.3">
      <c r="B22" s="196" t="s">
        <v>5</v>
      </c>
      <c r="C22" s="197" t="s">
        <v>15</v>
      </c>
      <c r="D22" s="198" t="str">
        <f t="shared" si="0"/>
        <v>C</v>
      </c>
      <c r="E22" s="199">
        <v>44813.791666666664</v>
      </c>
      <c r="F22" s="200" t="s">
        <v>94</v>
      </c>
      <c r="G22" s="201">
        <v>7357.9</v>
      </c>
      <c r="H22" s="201">
        <v>7260.46</v>
      </c>
      <c r="I22" s="202">
        <f t="shared" si="1"/>
        <v>97.4399999999996</v>
      </c>
      <c r="J22" s="201">
        <v>7845.11</v>
      </c>
      <c r="K22" s="199">
        <v>44817.666666666664</v>
      </c>
      <c r="L22" s="201">
        <v>7422.29</v>
      </c>
      <c r="M22" s="203">
        <f t="shared" si="2"/>
        <v>64.39</v>
      </c>
      <c r="N22" s="204">
        <f t="shared" si="3"/>
        <v>0.66</v>
      </c>
      <c r="O22" s="205">
        <f t="shared" si="4"/>
        <v>0</v>
      </c>
      <c r="P22" s="206">
        <f t="shared" si="5"/>
        <v>0.66</v>
      </c>
      <c r="Q22" s="206">
        <f t="shared" si="6"/>
        <v>0</v>
      </c>
      <c r="R2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98530</v>
      </c>
      <c r="T2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22" s="208">
        <f ca="1">IF(Tabla336106734823[[#This Row],[Equity]]&lt;Tabla336106734823[[#This Row],[Equity Peak]],(Tabla336106734823[[#This Row],[Equity Peak]]-Tabla336106734823[[#This Row],[Equity]])/Tabla336106734823[[#This Row],[Equity Peak]],"")</f>
        <v>3.6946535040562993E-2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0.66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3.875</v>
      </c>
      <c r="AE22" s="210">
        <f t="shared" si="16"/>
        <v>3.875</v>
      </c>
      <c r="AF22" s="210">
        <f t="shared" si="17"/>
        <v>0</v>
      </c>
      <c r="AG22" s="210">
        <f t="shared" si="18"/>
        <v>0</v>
      </c>
    </row>
    <row r="23" spans="1:35" ht="15" customHeight="1" x14ac:dyDescent="0.3">
      <c r="B23" s="196" t="s">
        <v>5</v>
      </c>
      <c r="C23" s="197" t="s">
        <v>13</v>
      </c>
      <c r="D23" s="198" t="str">
        <f t="shared" si="0"/>
        <v>C</v>
      </c>
      <c r="E23" s="199">
        <v>44799.791666666664</v>
      </c>
      <c r="F23" s="200" t="s">
        <v>94</v>
      </c>
      <c r="G23" s="201">
        <v>7426.04</v>
      </c>
      <c r="H23" s="201">
        <v>7515.35</v>
      </c>
      <c r="I23" s="202">
        <f t="shared" si="1"/>
        <v>89.3100000000004</v>
      </c>
      <c r="J23" s="201">
        <v>6979.48</v>
      </c>
      <c r="K23" s="199">
        <v>44803.430555555555</v>
      </c>
      <c r="L23" s="201">
        <v>7466.07</v>
      </c>
      <c r="M23" s="203">
        <f t="shared" si="2"/>
        <v>-40.03</v>
      </c>
      <c r="N23" s="204">
        <f t="shared" si="3"/>
        <v>-0.45</v>
      </c>
      <c r="O23" s="205">
        <f t="shared" si="4"/>
        <v>0</v>
      </c>
      <c r="P23" s="206">
        <f t="shared" si="5"/>
        <v>0</v>
      </c>
      <c r="Q23" s="206">
        <f t="shared" si="6"/>
        <v>-0.45</v>
      </c>
      <c r="R2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97870</v>
      </c>
      <c r="T2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23" s="208">
        <f ca="1">IF(Tabla336106734823[[#This Row],[Equity]]&lt;Tabla336106734823[[#This Row],[Equity Peak]],(Tabla336106734823[[#This Row],[Equity Peak]]-Tabla336106734823[[#This Row],[Equity]])/Tabla336106734823[[#This Row],[Equity Peak]],"")</f>
        <v>4.3397517349232723E-2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-0.45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3.6388888888905058</v>
      </c>
      <c r="AE23" s="210">
        <f t="shared" si="16"/>
        <v>0</v>
      </c>
      <c r="AF23" s="210">
        <f t="shared" si="17"/>
        <v>3.6388888888905058</v>
      </c>
      <c r="AG23" s="210">
        <f t="shared" si="18"/>
        <v>0</v>
      </c>
    </row>
    <row r="24" spans="1:35" ht="15" customHeight="1" x14ac:dyDescent="0.3">
      <c r="B24" s="196" t="s">
        <v>5</v>
      </c>
      <c r="C24" s="197" t="s">
        <v>15</v>
      </c>
      <c r="D24" s="198" t="str">
        <f t="shared" si="0"/>
        <v>C</v>
      </c>
      <c r="E24" s="199">
        <v>44799.125</v>
      </c>
      <c r="F24" s="200" t="s">
        <v>94</v>
      </c>
      <c r="G24" s="201">
        <v>7498.91</v>
      </c>
      <c r="H24" s="201">
        <v>7415.5</v>
      </c>
      <c r="I24" s="202">
        <f t="shared" si="1"/>
        <v>83.409999999999854</v>
      </c>
      <c r="J24" s="201">
        <v>7915.96</v>
      </c>
      <c r="K24" s="199">
        <v>44799.709722222222</v>
      </c>
      <c r="L24" s="201">
        <v>7452.45</v>
      </c>
      <c r="M24" s="203">
        <f t="shared" si="2"/>
        <v>-46.46</v>
      </c>
      <c r="N24" s="204">
        <f t="shared" si="3"/>
        <v>-0.56000000000000005</v>
      </c>
      <c r="O24" s="205">
        <f t="shared" si="4"/>
        <v>0</v>
      </c>
      <c r="P24" s="206">
        <f t="shared" si="5"/>
        <v>0</v>
      </c>
      <c r="Q24" s="206">
        <f t="shared" si="6"/>
        <v>-0.56000000000000005</v>
      </c>
      <c r="R2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98320</v>
      </c>
      <c r="T2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24" s="208">
        <f ca="1">IF(Tabla336106734823[[#This Row],[Equity]]&lt;Tabla336106734823[[#This Row],[Equity Peak]],(Tabla336106734823[[#This Row],[Equity Peak]]-Tabla336106734823[[#This Row],[Equity]])/Tabla336106734823[[#This Row],[Equity Peak]],"")</f>
        <v>3.8999120320594272E-2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-0.56000000000000005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0.58472222222189885</v>
      </c>
      <c r="AE24" s="210">
        <f t="shared" si="16"/>
        <v>0</v>
      </c>
      <c r="AF24" s="210">
        <f t="shared" si="17"/>
        <v>0.58472222222189885</v>
      </c>
      <c r="AG24" s="210">
        <f t="shared" si="18"/>
        <v>0</v>
      </c>
    </row>
    <row r="25" spans="1:35" ht="15" customHeight="1" x14ac:dyDescent="0.3">
      <c r="B25" s="196" t="s">
        <v>5</v>
      </c>
      <c r="C25" s="197" t="s">
        <v>13</v>
      </c>
      <c r="D25" s="198" t="str">
        <f t="shared" si="0"/>
        <v>C</v>
      </c>
      <c r="E25" s="199">
        <v>44798.791666666664</v>
      </c>
      <c r="F25" s="200" t="s">
        <v>94</v>
      </c>
      <c r="G25" s="201">
        <v>7480.51</v>
      </c>
      <c r="H25" s="201">
        <v>7561.55</v>
      </c>
      <c r="I25" s="202">
        <f t="shared" si="1"/>
        <v>81.039999999999964</v>
      </c>
      <c r="J25" s="201">
        <v>7075.3</v>
      </c>
      <c r="K25" s="199">
        <v>44799.125</v>
      </c>
      <c r="L25" s="201">
        <v>7498.91</v>
      </c>
      <c r="M25" s="203">
        <f t="shared" si="2"/>
        <v>-18.399999999999999</v>
      </c>
      <c r="N25" s="204">
        <f t="shared" si="3"/>
        <v>-0.23</v>
      </c>
      <c r="O25" s="205">
        <f t="shared" si="4"/>
        <v>0</v>
      </c>
      <c r="P25" s="206">
        <f t="shared" si="5"/>
        <v>0</v>
      </c>
      <c r="Q25" s="206">
        <f t="shared" si="6"/>
        <v>-0.23</v>
      </c>
      <c r="R2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98880</v>
      </c>
      <c r="T2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25" s="208">
        <f ca="1">IF(Tabla336106734823[[#This Row],[Equity]]&lt;Tabla336106734823[[#This Row],[Equity Peak]],(Tabla336106734823[[#This Row],[Equity Peak]]-Tabla336106734823[[#This Row],[Equity]])/Tabla336106734823[[#This Row],[Equity Peak]],"")</f>
        <v>3.3525559573844198E-2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-0.23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0.33333333333575865</v>
      </c>
      <c r="AE25" s="210">
        <f t="shared" si="16"/>
        <v>0</v>
      </c>
      <c r="AF25" s="210">
        <f t="shared" si="17"/>
        <v>0.33333333333575865</v>
      </c>
      <c r="AG25" s="210">
        <f t="shared" si="18"/>
        <v>0</v>
      </c>
    </row>
    <row r="26" spans="1:35" ht="15" customHeight="1" x14ac:dyDescent="0.3">
      <c r="B26" s="196" t="s">
        <v>5</v>
      </c>
      <c r="C26" s="197" t="s">
        <v>15</v>
      </c>
      <c r="D26" s="198" t="str">
        <f t="shared" si="0"/>
        <v>C</v>
      </c>
      <c r="E26" s="199">
        <v>44798.458333333336</v>
      </c>
      <c r="F26" s="200" t="s">
        <v>94</v>
      </c>
      <c r="G26" s="201">
        <v>7533.46</v>
      </c>
      <c r="H26" s="201">
        <v>7455.52</v>
      </c>
      <c r="I26" s="202">
        <f t="shared" si="1"/>
        <v>77.9399999999996</v>
      </c>
      <c r="J26" s="201">
        <v>7923.14</v>
      </c>
      <c r="K26" s="199">
        <v>44798.568749999999</v>
      </c>
      <c r="L26" s="201">
        <v>7473.69</v>
      </c>
      <c r="M26" s="203">
        <f t="shared" si="2"/>
        <v>-59.77</v>
      </c>
      <c r="N26" s="204">
        <f t="shared" si="3"/>
        <v>-0.77</v>
      </c>
      <c r="O26" s="205">
        <f t="shared" si="4"/>
        <v>0</v>
      </c>
      <c r="P26" s="206">
        <f t="shared" si="5"/>
        <v>0</v>
      </c>
      <c r="Q26" s="206">
        <f t="shared" si="6"/>
        <v>-0.77</v>
      </c>
      <c r="R2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99110</v>
      </c>
      <c r="T2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26" s="208">
        <f ca="1">IF(Tabla336106734823[[#This Row],[Equity]]&lt;Tabla336106734823[[#This Row],[Equity Peak]],(Tabla336106734823[[#This Row],[Equity Peak]]-Tabla336106734823[[#This Row],[Equity]])/Tabla336106734823[[#This Row],[Equity Peak]],"")</f>
        <v>3.1277489981428992E-2</v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-0.77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0.11041666666278616</v>
      </c>
      <c r="AE26" s="210">
        <f t="shared" si="16"/>
        <v>0</v>
      </c>
      <c r="AF26" s="210">
        <f t="shared" si="17"/>
        <v>0.11041666666278616</v>
      </c>
      <c r="AG26" s="210">
        <f t="shared" si="18"/>
        <v>0</v>
      </c>
    </row>
    <row r="27" spans="1:35" ht="15" customHeight="1" x14ac:dyDescent="0.3">
      <c r="B27" s="196" t="s">
        <v>5</v>
      </c>
      <c r="C27" s="197" t="s">
        <v>13</v>
      </c>
      <c r="D27" s="198" t="str">
        <f t="shared" si="0"/>
        <v>C</v>
      </c>
      <c r="E27" s="199">
        <v>44797.125</v>
      </c>
      <c r="F27" s="200" t="s">
        <v>94</v>
      </c>
      <c r="G27" s="201">
        <v>7478.71</v>
      </c>
      <c r="H27" s="201">
        <v>7551.91</v>
      </c>
      <c r="I27" s="202">
        <f t="shared" si="1"/>
        <v>73.199999999999818</v>
      </c>
      <c r="J27" s="201">
        <v>7112.72</v>
      </c>
      <c r="K27" s="199">
        <v>44797.787499999999</v>
      </c>
      <c r="L27" s="201">
        <v>7481.62</v>
      </c>
      <c r="M27" s="203">
        <f t="shared" si="2"/>
        <v>-2.91</v>
      </c>
      <c r="N27" s="204">
        <f t="shared" si="3"/>
        <v>-0.04</v>
      </c>
      <c r="O27" s="205">
        <f t="shared" si="4"/>
        <v>0</v>
      </c>
      <c r="P27" s="206">
        <f t="shared" si="5"/>
        <v>0</v>
      </c>
      <c r="Q27" s="206">
        <f t="shared" si="6"/>
        <v>-0.04</v>
      </c>
      <c r="R2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99880</v>
      </c>
      <c r="T2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27" s="208">
        <f ca="1">IF(Tabla336106734823[[#This Row],[Equity]]&lt;Tabla336106734823[[#This Row],[Equity Peak]],(Tabla336106734823[[#This Row],[Equity Peak]]-Tabla336106734823[[#This Row],[Equity]])/Tabla336106734823[[#This Row],[Equity Peak]],"")</f>
        <v>2.375134395464764E-2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-0.04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0.66249999999854481</v>
      </c>
      <c r="AE27" s="210">
        <f t="shared" si="16"/>
        <v>0</v>
      </c>
      <c r="AF27" s="210">
        <f t="shared" si="17"/>
        <v>0.66249999999854481</v>
      </c>
      <c r="AG27" s="210">
        <f t="shared" si="18"/>
        <v>0</v>
      </c>
    </row>
    <row r="28" spans="1:35" ht="15" customHeight="1" x14ac:dyDescent="0.3">
      <c r="B28" s="196" t="s">
        <v>5</v>
      </c>
      <c r="C28" s="197" t="s">
        <v>15</v>
      </c>
      <c r="D28" s="198" t="str">
        <f t="shared" si="0"/>
        <v>C</v>
      </c>
      <c r="E28" s="199">
        <v>44760.458333333336</v>
      </c>
      <c r="F28" s="200" t="s">
        <v>94</v>
      </c>
      <c r="G28" s="201">
        <v>7248.93</v>
      </c>
      <c r="H28" s="201">
        <v>7127.48</v>
      </c>
      <c r="I28" s="202">
        <f t="shared" si="1"/>
        <v>121.45000000000073</v>
      </c>
      <c r="J28" s="201">
        <v>7856.17</v>
      </c>
      <c r="K28" s="199">
        <v>44762.840277777781</v>
      </c>
      <c r="L28" s="201">
        <v>7244.71</v>
      </c>
      <c r="M28" s="203">
        <f t="shared" si="2"/>
        <v>-4.22</v>
      </c>
      <c r="N28" s="204">
        <f t="shared" si="3"/>
        <v>-0.03</v>
      </c>
      <c r="O28" s="205">
        <f t="shared" si="4"/>
        <v>0</v>
      </c>
      <c r="P28" s="206">
        <f t="shared" si="5"/>
        <v>0</v>
      </c>
      <c r="Q28" s="206">
        <f t="shared" si="6"/>
        <v>-0.03</v>
      </c>
      <c r="R2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99920</v>
      </c>
      <c r="T2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28" s="208">
        <f ca="1">IF(Tabla336106734823[[#This Row],[Equity]]&lt;Tabla336106734823[[#This Row],[Equity Peak]],(Tabla336106734823[[#This Row],[Equity Peak]]-Tabla336106734823[[#This Row],[Equity]])/Tabla336106734823[[#This Row],[Equity Peak]],"")</f>
        <v>2.3360375329879775E-2</v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-0.03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2.3819444444452529</v>
      </c>
      <c r="AE28" s="210">
        <f t="shared" si="16"/>
        <v>0</v>
      </c>
      <c r="AF28" s="210">
        <f t="shared" si="17"/>
        <v>2.3819444444452529</v>
      </c>
      <c r="AG28" s="210">
        <f t="shared" si="18"/>
        <v>0</v>
      </c>
    </row>
    <row r="29" spans="1:35" ht="15" customHeight="1" x14ac:dyDescent="0.3">
      <c r="B29" s="196" t="s">
        <v>5</v>
      </c>
      <c r="C29" s="197" t="s">
        <v>13</v>
      </c>
      <c r="D29" s="198" t="str">
        <f t="shared" si="0"/>
        <v>C</v>
      </c>
      <c r="E29" s="199">
        <v>44755.458333333336</v>
      </c>
      <c r="F29" s="200" t="s">
        <v>94</v>
      </c>
      <c r="G29" s="201">
        <v>7134.68</v>
      </c>
      <c r="H29" s="201">
        <v>7241.11</v>
      </c>
      <c r="I29" s="202">
        <f t="shared" si="1"/>
        <v>106.42999999999938</v>
      </c>
      <c r="J29" s="201">
        <v>6602.53</v>
      </c>
      <c r="K29" s="199">
        <v>44757.725694444445</v>
      </c>
      <c r="L29" s="201">
        <v>7148</v>
      </c>
      <c r="M29" s="203">
        <f t="shared" si="2"/>
        <v>-13.32</v>
      </c>
      <c r="N29" s="204">
        <f t="shared" si="3"/>
        <v>-0.13</v>
      </c>
      <c r="O29" s="205">
        <f t="shared" si="4"/>
        <v>0</v>
      </c>
      <c r="P29" s="206">
        <f t="shared" si="5"/>
        <v>0</v>
      </c>
      <c r="Q29" s="206">
        <f t="shared" si="6"/>
        <v>-0.13</v>
      </c>
      <c r="R2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99950</v>
      </c>
      <c r="T2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29" s="208">
        <f ca="1">IF(Tabla336106734823[[#This Row],[Equity]]&lt;Tabla336106734823[[#This Row],[Equity Peak]],(Tabla336106734823[[#This Row],[Equity Peak]]-Tabla336106734823[[#This Row],[Equity]])/Tabla336106734823[[#This Row],[Equity Peak]],"")</f>
        <v>2.3067148861303882E-2</v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-0.13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2.2673611111094942</v>
      </c>
      <c r="AE29" s="210">
        <f t="shared" si="16"/>
        <v>0</v>
      </c>
      <c r="AF29" s="210">
        <f t="shared" si="17"/>
        <v>2.2673611111094942</v>
      </c>
      <c r="AG29" s="210">
        <f t="shared" si="18"/>
        <v>0</v>
      </c>
    </row>
    <row r="30" spans="1:35" ht="15" customHeight="1" x14ac:dyDescent="0.3">
      <c r="B30" s="196" t="s">
        <v>5</v>
      </c>
      <c r="C30" s="197" t="s">
        <v>15</v>
      </c>
      <c r="D30" s="198" t="str">
        <f t="shared" si="0"/>
        <v>C</v>
      </c>
      <c r="E30" s="199">
        <v>44755.291666666664</v>
      </c>
      <c r="F30" s="200" t="s">
        <v>94</v>
      </c>
      <c r="G30" s="201">
        <v>7202.3</v>
      </c>
      <c r="H30" s="201">
        <v>7096.63</v>
      </c>
      <c r="I30" s="202">
        <f t="shared" si="1"/>
        <v>105.67000000000007</v>
      </c>
      <c r="J30" s="201">
        <v>7730.66</v>
      </c>
      <c r="K30" s="199">
        <v>44755.458333333336</v>
      </c>
      <c r="L30" s="201">
        <v>7134.68</v>
      </c>
      <c r="M30" s="203">
        <f t="shared" si="2"/>
        <v>-67.62</v>
      </c>
      <c r="N30" s="204">
        <f t="shared" si="3"/>
        <v>-0.64</v>
      </c>
      <c r="O30" s="205">
        <f t="shared" si="4"/>
        <v>0</v>
      </c>
      <c r="P30" s="206">
        <f t="shared" si="5"/>
        <v>0</v>
      </c>
      <c r="Q30" s="206">
        <f t="shared" si="6"/>
        <v>-0.64</v>
      </c>
      <c r="R3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100080</v>
      </c>
      <c r="T3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30" s="208">
        <f ca="1">IF(Tabla336106734823[[#This Row],[Equity]]&lt;Tabla336106734823[[#This Row],[Equity Peak]],(Tabla336106734823[[#This Row],[Equity Peak]]-Tabla336106734823[[#This Row],[Equity]])/Tabla336106734823[[#This Row],[Equity Peak]],"")</f>
        <v>2.1796500830808328E-2</v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-0.64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0.16666666667151731</v>
      </c>
      <c r="AE30" s="210">
        <f t="shared" si="16"/>
        <v>0</v>
      </c>
      <c r="AF30" s="210">
        <f t="shared" si="17"/>
        <v>0.16666666667151731</v>
      </c>
      <c r="AG30" s="210">
        <f t="shared" si="18"/>
        <v>0</v>
      </c>
    </row>
    <row r="31" spans="1:35" ht="15" customHeight="1" x14ac:dyDescent="0.3">
      <c r="B31" s="196" t="s">
        <v>5</v>
      </c>
      <c r="C31" s="197" t="s">
        <v>13</v>
      </c>
      <c r="D31" s="198" t="str">
        <f t="shared" si="0"/>
        <v>C</v>
      </c>
      <c r="E31" s="199">
        <v>44747.625</v>
      </c>
      <c r="F31" s="200" t="s">
        <v>94</v>
      </c>
      <c r="G31" s="201">
        <v>7130.04</v>
      </c>
      <c r="H31" s="201">
        <v>7251.27</v>
      </c>
      <c r="I31" s="202">
        <f t="shared" si="1"/>
        <v>121.23000000000047</v>
      </c>
      <c r="J31" s="201">
        <v>6523.88</v>
      </c>
      <c r="K31" s="199">
        <v>44748.431250000001</v>
      </c>
      <c r="L31" s="201">
        <v>7160.77</v>
      </c>
      <c r="M31" s="203">
        <f t="shared" si="2"/>
        <v>-30.73</v>
      </c>
      <c r="N31" s="204">
        <f t="shared" si="3"/>
        <v>-0.25</v>
      </c>
      <c r="O31" s="205">
        <f t="shared" si="4"/>
        <v>0</v>
      </c>
      <c r="P31" s="206">
        <f t="shared" si="5"/>
        <v>0</v>
      </c>
      <c r="Q31" s="206">
        <f t="shared" si="6"/>
        <v>-0.25</v>
      </c>
      <c r="R3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100720</v>
      </c>
      <c r="T3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31" s="208">
        <f ca="1">IF(Tabla336106734823[[#This Row],[Equity]]&lt;Tabla336106734823[[#This Row],[Equity Peak]],(Tabla336106734823[[#This Row],[Equity Peak]]-Tabla336106734823[[#This Row],[Equity]])/Tabla336106734823[[#This Row],[Equity Peak]],"")</f>
        <v>1.5541002834522529E-2</v>
      </c>
      <c r="V31" s="209">
        <f t="shared" si="7"/>
        <v>0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-0.25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0.80625000000145519</v>
      </c>
      <c r="AE31" s="210">
        <f t="shared" si="16"/>
        <v>0</v>
      </c>
      <c r="AF31" s="210">
        <f t="shared" si="17"/>
        <v>0.80625000000145519</v>
      </c>
      <c r="AG31" s="210">
        <f t="shared" si="18"/>
        <v>0</v>
      </c>
    </row>
    <row r="32" spans="1:35" ht="15" customHeight="1" x14ac:dyDescent="0.3">
      <c r="B32" s="196" t="s">
        <v>5</v>
      </c>
      <c r="C32" s="197" t="s">
        <v>15</v>
      </c>
      <c r="D32" s="198" t="str">
        <f t="shared" si="0"/>
        <v>C</v>
      </c>
      <c r="E32" s="199">
        <v>44746.625</v>
      </c>
      <c r="F32" s="200" t="s">
        <v>94</v>
      </c>
      <c r="G32" s="201">
        <v>7248.23</v>
      </c>
      <c r="H32" s="201">
        <v>7121.51</v>
      </c>
      <c r="I32" s="202">
        <f t="shared" si="1"/>
        <v>126.71999999999935</v>
      </c>
      <c r="J32" s="201">
        <v>7881.85</v>
      </c>
      <c r="K32" s="199">
        <v>44747.479166666664</v>
      </c>
      <c r="L32" s="201">
        <v>7164.61</v>
      </c>
      <c r="M32" s="203">
        <f t="shared" si="2"/>
        <v>-83.62</v>
      </c>
      <c r="N32" s="204">
        <f t="shared" si="3"/>
        <v>-0.66</v>
      </c>
      <c r="O32" s="205">
        <f t="shared" si="4"/>
        <v>0</v>
      </c>
      <c r="P32" s="206">
        <f t="shared" si="5"/>
        <v>0</v>
      </c>
      <c r="Q32" s="206">
        <f t="shared" si="6"/>
        <v>-0.66</v>
      </c>
      <c r="R3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100970</v>
      </c>
      <c r="T3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32" s="208">
        <f ca="1">IF(Tabla336106734823[[#This Row],[Equity]]&lt;Tabla336106734823[[#This Row],[Equity Peak]],(Tabla336106734823[[#This Row],[Equity Peak]]-Tabla336106734823[[#This Row],[Equity]])/Tabla336106734823[[#This Row],[Equity Peak]],"")</f>
        <v>1.309744892972339E-2</v>
      </c>
      <c r="V32" s="209">
        <f t="shared" si="7"/>
        <v>0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-0.66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0.85416666666424135</v>
      </c>
      <c r="AE32" s="210">
        <f t="shared" si="16"/>
        <v>0</v>
      </c>
      <c r="AF32" s="210">
        <f t="shared" si="17"/>
        <v>0.85416666666424135</v>
      </c>
      <c r="AG32" s="210">
        <f t="shared" si="18"/>
        <v>0</v>
      </c>
    </row>
    <row r="33" spans="2:33" ht="15" customHeight="1" x14ac:dyDescent="0.3">
      <c r="B33" s="196" t="s">
        <v>5</v>
      </c>
      <c r="C33" s="197" t="s">
        <v>13</v>
      </c>
      <c r="D33" s="198" t="str">
        <f t="shared" si="0"/>
        <v>C</v>
      </c>
      <c r="E33" s="199">
        <v>44742.625</v>
      </c>
      <c r="F33" s="200" t="s">
        <v>94</v>
      </c>
      <c r="G33" s="201">
        <v>7161.24</v>
      </c>
      <c r="H33" s="201">
        <v>7262.54</v>
      </c>
      <c r="I33" s="202">
        <f t="shared" si="1"/>
        <v>101.30000000000018</v>
      </c>
      <c r="J33" s="201">
        <v>6654.73</v>
      </c>
      <c r="K33" s="199">
        <v>44743.938888888886</v>
      </c>
      <c r="L33" s="201">
        <v>7225.68</v>
      </c>
      <c r="M33" s="203">
        <f t="shared" si="2"/>
        <v>-64.44</v>
      </c>
      <c r="N33" s="204">
        <f t="shared" si="3"/>
        <v>-0.64</v>
      </c>
      <c r="O33" s="205">
        <f t="shared" si="4"/>
        <v>0</v>
      </c>
      <c r="P33" s="206">
        <f t="shared" si="5"/>
        <v>0</v>
      </c>
      <c r="Q33" s="206">
        <f t="shared" si="6"/>
        <v>-0.64</v>
      </c>
      <c r="R3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101630</v>
      </c>
      <c r="T3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33" s="208">
        <f ca="1">IF(Tabla336106734823[[#This Row],[Equity]]&lt;Tabla336106734823[[#This Row],[Equity Peak]],(Tabla336106734823[[#This Row],[Equity Peak]]-Tabla336106734823[[#This Row],[Equity]])/Tabla336106734823[[#This Row],[Equity Peak]],"")</f>
        <v>6.6464666210536601E-3</v>
      </c>
      <c r="V33" s="209">
        <f t="shared" si="7"/>
        <v>0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-0.64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1.3138888888861402</v>
      </c>
      <c r="AE33" s="210">
        <f t="shared" si="16"/>
        <v>0</v>
      </c>
      <c r="AF33" s="210">
        <f t="shared" si="17"/>
        <v>1.3138888888861402</v>
      </c>
      <c r="AG33" s="210">
        <f t="shared" si="18"/>
        <v>0</v>
      </c>
    </row>
    <row r="34" spans="2:33" ht="15" customHeight="1" x14ac:dyDescent="0.3">
      <c r="B34" s="196" t="s">
        <v>5</v>
      </c>
      <c r="C34" s="197" t="s">
        <v>15</v>
      </c>
      <c r="D34" s="198" t="str">
        <f t="shared" si="0"/>
        <v>C</v>
      </c>
      <c r="E34" s="199">
        <v>44739.458333333336</v>
      </c>
      <c r="F34" s="200" t="s">
        <v>94</v>
      </c>
      <c r="G34" s="201">
        <v>7277.43</v>
      </c>
      <c r="H34" s="201">
        <v>7150.15</v>
      </c>
      <c r="I34" s="202">
        <f t="shared" si="1"/>
        <v>127.28000000000065</v>
      </c>
      <c r="J34" s="201">
        <v>7913.84</v>
      </c>
      <c r="K34" s="199">
        <v>44740.956250000003</v>
      </c>
      <c r="L34" s="201">
        <v>7271.91</v>
      </c>
      <c r="M34" s="203">
        <f t="shared" si="2"/>
        <v>-5.52</v>
      </c>
      <c r="N34" s="204">
        <f t="shared" si="3"/>
        <v>-0.04</v>
      </c>
      <c r="O34" s="205">
        <f t="shared" si="4"/>
        <v>0</v>
      </c>
      <c r="P34" s="206">
        <f t="shared" si="5"/>
        <v>0</v>
      </c>
      <c r="Q34" s="206">
        <f t="shared" si="6"/>
        <v>-0.04</v>
      </c>
      <c r="R3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102270</v>
      </c>
      <c r="T3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34" s="208">
        <f ca="1">IF(Tabla336106734823[[#This Row],[Equity]]&lt;Tabla336106734823[[#This Row],[Equity Peak]],(Tabla336106734823[[#This Row],[Equity Peak]]-Tabla336106734823[[#This Row],[Equity]])/Tabla336106734823[[#This Row],[Equity Peak]],"")</f>
        <v>3.9096862476786239E-4</v>
      </c>
      <c r="V34" s="209">
        <f t="shared" si="7"/>
        <v>0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-0.04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1.4979166666671517</v>
      </c>
      <c r="AE34" s="210">
        <f t="shared" si="16"/>
        <v>0</v>
      </c>
      <c r="AF34" s="210">
        <f t="shared" si="17"/>
        <v>1.4979166666671517</v>
      </c>
      <c r="AG34" s="210">
        <f t="shared" si="18"/>
        <v>0</v>
      </c>
    </row>
    <row r="35" spans="2:33" ht="15" customHeight="1" x14ac:dyDescent="0.3">
      <c r="B35" s="196" t="s">
        <v>5</v>
      </c>
      <c r="C35" s="197" t="s">
        <v>13</v>
      </c>
      <c r="D35" s="198" t="str">
        <f t="shared" si="0"/>
        <v>C</v>
      </c>
      <c r="E35" s="199">
        <v>44721.791666666664</v>
      </c>
      <c r="F35" s="200" t="s">
        <v>94</v>
      </c>
      <c r="G35" s="201">
        <v>7485.12</v>
      </c>
      <c r="H35" s="201">
        <v>7570.24</v>
      </c>
      <c r="I35" s="202">
        <f t="shared" si="1"/>
        <v>85.119999999999891</v>
      </c>
      <c r="J35" s="201">
        <v>7059.53</v>
      </c>
      <c r="K35" s="199">
        <v>44727.484722222223</v>
      </c>
      <c r="L35" s="201">
        <v>7268.74</v>
      </c>
      <c r="M35" s="203">
        <f t="shared" si="2"/>
        <v>216.38</v>
      </c>
      <c r="N35" s="204">
        <f t="shared" si="3"/>
        <v>2.54</v>
      </c>
      <c r="O35" s="205">
        <f t="shared" si="4"/>
        <v>0</v>
      </c>
      <c r="P35" s="206">
        <f t="shared" si="5"/>
        <v>2.54</v>
      </c>
      <c r="Q35" s="206">
        <f t="shared" si="6"/>
        <v>0</v>
      </c>
      <c r="R3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102310</v>
      </c>
      <c r="T3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102310</v>
      </c>
      <c r="U35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35" s="209">
        <f t="shared" si="7"/>
        <v>0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2.54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5.6930555555591127</v>
      </c>
      <c r="AE35" s="210">
        <f t="shared" si="16"/>
        <v>5.6930555555591127</v>
      </c>
      <c r="AF35" s="210">
        <f t="shared" si="17"/>
        <v>0</v>
      </c>
      <c r="AG35" s="210">
        <f t="shared" si="18"/>
        <v>0</v>
      </c>
    </row>
    <row r="36" spans="2:33" ht="15" customHeight="1" x14ac:dyDescent="0.3">
      <c r="B36" s="196" t="s">
        <v>5</v>
      </c>
      <c r="C36" s="197" t="s">
        <v>15</v>
      </c>
      <c r="D36" s="198" t="str">
        <f t="shared" si="0"/>
        <v>C</v>
      </c>
      <c r="E36" s="199">
        <v>44704.291666666664</v>
      </c>
      <c r="F36" s="200" t="s">
        <v>94</v>
      </c>
      <c r="G36" s="201">
        <v>7427.45</v>
      </c>
      <c r="H36" s="201">
        <v>7293.74</v>
      </c>
      <c r="I36" s="202">
        <f t="shared" si="1"/>
        <v>133.71000000000004</v>
      </c>
      <c r="J36" s="201">
        <v>8096.02</v>
      </c>
      <c r="K36" s="199">
        <v>44713.731249999997</v>
      </c>
      <c r="L36" s="201">
        <v>7562.95</v>
      </c>
      <c r="M36" s="203">
        <f t="shared" si="2"/>
        <v>135.5</v>
      </c>
      <c r="N36" s="204">
        <f t="shared" si="3"/>
        <v>1.01</v>
      </c>
      <c r="O36" s="205">
        <f t="shared" si="4"/>
        <v>0</v>
      </c>
      <c r="P36" s="206">
        <f t="shared" si="5"/>
        <v>1.01</v>
      </c>
      <c r="Q36" s="206">
        <f t="shared" si="6"/>
        <v>0</v>
      </c>
      <c r="R3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99770</v>
      </c>
      <c r="T3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36" s="208">
        <f ca="1">IF(Tabla336106734823[[#This Row],[Equity]]&lt;Tabla336106734823[[#This Row],[Equity Peak]],(Tabla336106734823[[#This Row],[Equity Peak]]-Tabla336106734823[[#This Row],[Equity]])/Tabla336106734823[[#This Row],[Equity Peak]],"")</f>
        <v>1.5395243264581072E-2</v>
      </c>
      <c r="V36" s="209">
        <f t="shared" si="7"/>
        <v>0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1.01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9.4395833333328483</v>
      </c>
      <c r="AE36" s="210">
        <f t="shared" si="16"/>
        <v>9.4395833333328483</v>
      </c>
      <c r="AF36" s="210">
        <f t="shared" si="17"/>
        <v>0</v>
      </c>
      <c r="AG36" s="210">
        <f t="shared" si="18"/>
        <v>0</v>
      </c>
    </row>
    <row r="37" spans="2:33" ht="15" customHeight="1" x14ac:dyDescent="0.3">
      <c r="B37" s="196" t="s">
        <v>5</v>
      </c>
      <c r="C37" s="197" t="s">
        <v>13</v>
      </c>
      <c r="D37" s="198" t="str">
        <f t="shared" si="0"/>
        <v>C</v>
      </c>
      <c r="E37" s="199">
        <v>44700.458333333336</v>
      </c>
      <c r="F37" s="200" t="s">
        <v>94</v>
      </c>
      <c r="G37" s="201">
        <v>7306.48</v>
      </c>
      <c r="H37" s="201">
        <v>7406.32</v>
      </c>
      <c r="I37" s="202">
        <f t="shared" si="1"/>
        <v>99.840000000000146</v>
      </c>
      <c r="J37" s="201">
        <v>6807.29</v>
      </c>
      <c r="K37" s="199">
        <v>44701.179166666669</v>
      </c>
      <c r="L37" s="201">
        <v>7357.91</v>
      </c>
      <c r="M37" s="203">
        <f t="shared" si="2"/>
        <v>-51.43</v>
      </c>
      <c r="N37" s="204">
        <f t="shared" si="3"/>
        <v>-0.52</v>
      </c>
      <c r="O37" s="205">
        <f t="shared" si="4"/>
        <v>0</v>
      </c>
      <c r="P37" s="206">
        <f t="shared" si="5"/>
        <v>0</v>
      </c>
      <c r="Q37" s="206">
        <f t="shared" si="6"/>
        <v>-0.52</v>
      </c>
      <c r="R3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98760</v>
      </c>
      <c r="T3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37" s="208">
        <f ca="1">IF(Tabla336106734823[[#This Row],[Equity]]&lt;Tabla336106734823[[#This Row],[Equity Peak]],(Tabla336106734823[[#This Row],[Equity Peak]]-Tabla336106734823[[#This Row],[Equity]])/Tabla336106734823[[#This Row],[Equity Peak]],"")</f>
        <v>2.5362676403829075E-2</v>
      </c>
      <c r="V37" s="209">
        <f t="shared" si="7"/>
        <v>0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-0.52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0.72083333333284827</v>
      </c>
      <c r="AE37" s="210">
        <f t="shared" si="16"/>
        <v>0</v>
      </c>
      <c r="AF37" s="210">
        <f t="shared" si="17"/>
        <v>0.72083333333284827</v>
      </c>
      <c r="AG37" s="210">
        <f t="shared" si="18"/>
        <v>0</v>
      </c>
    </row>
    <row r="38" spans="2:33" ht="15" customHeight="1" x14ac:dyDescent="0.3">
      <c r="B38" s="196" t="s">
        <v>5</v>
      </c>
      <c r="C38" s="197" t="s">
        <v>15</v>
      </c>
      <c r="D38" s="198" t="str">
        <f t="shared" si="0"/>
        <v>C</v>
      </c>
      <c r="E38" s="199">
        <v>44697.625</v>
      </c>
      <c r="F38" s="200" t="s">
        <v>94</v>
      </c>
      <c r="G38" s="201">
        <v>7407.08</v>
      </c>
      <c r="H38" s="201">
        <v>7279.09</v>
      </c>
      <c r="I38" s="202">
        <f t="shared" si="1"/>
        <v>127.98999999999978</v>
      </c>
      <c r="J38" s="201">
        <v>8047.05</v>
      </c>
      <c r="K38" s="199">
        <v>44699.79583333333</v>
      </c>
      <c r="L38" s="201">
        <v>7424.83</v>
      </c>
      <c r="M38" s="203">
        <f t="shared" si="2"/>
        <v>17.75</v>
      </c>
      <c r="N38" s="204">
        <f t="shared" si="3"/>
        <v>0.14000000000000001</v>
      </c>
      <c r="O38" s="205">
        <f t="shared" si="4"/>
        <v>0</v>
      </c>
      <c r="P38" s="206">
        <f t="shared" si="5"/>
        <v>0.14000000000000001</v>
      </c>
      <c r="Q38" s="206">
        <f t="shared" si="6"/>
        <v>0</v>
      </c>
      <c r="R3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99280</v>
      </c>
      <c r="T3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38" s="208">
        <f ca="1">IF(Tabla336106734823[[#This Row],[Equity]]&lt;Tabla336106734823[[#This Row],[Equity Peak]],(Tabla336106734823[[#This Row],[Equity Peak]]-Tabla336106734823[[#This Row],[Equity]])/Tabla336106734823[[#This Row],[Equity Peak]],"")</f>
        <v>2.0230928648968718E-2</v>
      </c>
      <c r="V38" s="209">
        <f t="shared" si="7"/>
        <v>0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0.14000000000000001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2.1708333333299379</v>
      </c>
      <c r="AE38" s="210">
        <f t="shared" si="16"/>
        <v>2.1708333333299379</v>
      </c>
      <c r="AF38" s="210">
        <f t="shared" si="17"/>
        <v>0</v>
      </c>
      <c r="AG38" s="210">
        <f t="shared" si="18"/>
        <v>0</v>
      </c>
    </row>
    <row r="39" spans="2:33" ht="15" customHeight="1" x14ac:dyDescent="0.3">
      <c r="B39" s="196" t="s">
        <v>5</v>
      </c>
      <c r="C39" s="197" t="s">
        <v>13</v>
      </c>
      <c r="D39" s="198" t="str">
        <f t="shared" si="0"/>
        <v>C</v>
      </c>
      <c r="E39" s="199">
        <v>44687.291666666664</v>
      </c>
      <c r="F39" s="200" t="s">
        <v>94</v>
      </c>
      <c r="G39" s="201">
        <v>7501.33</v>
      </c>
      <c r="H39" s="201">
        <v>7609.65</v>
      </c>
      <c r="I39" s="202">
        <f t="shared" si="1"/>
        <v>108.31999999999971</v>
      </c>
      <c r="J39" s="201">
        <v>6959.72</v>
      </c>
      <c r="K39" s="199">
        <v>44692.738888888889</v>
      </c>
      <c r="L39" s="201">
        <v>7345.48</v>
      </c>
      <c r="M39" s="203">
        <f t="shared" si="2"/>
        <v>155.85</v>
      </c>
      <c r="N39" s="204">
        <f t="shared" si="3"/>
        <v>1.44</v>
      </c>
      <c r="O39" s="205">
        <f t="shared" si="4"/>
        <v>0</v>
      </c>
      <c r="P39" s="206">
        <f t="shared" si="5"/>
        <v>1.44</v>
      </c>
      <c r="Q39" s="206">
        <f t="shared" si="6"/>
        <v>0</v>
      </c>
      <c r="R3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99140</v>
      </c>
      <c r="T3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39" s="208">
        <f ca="1">IF(Tabla336106734823[[#This Row],[Equity]]&lt;Tabla336106734823[[#This Row],[Equity Peak]],(Tabla336106734823[[#This Row],[Equity Peak]]-Tabla336106734823[[#This Row],[Equity]])/Tabla336106734823[[#This Row],[Equity Peak]],"")</f>
        <v>2.1612553044508043E-2</v>
      </c>
      <c r="V39" s="209">
        <f t="shared" si="7"/>
        <v>0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1.44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5.4472222222248092</v>
      </c>
      <c r="AE39" s="210">
        <f t="shared" si="16"/>
        <v>5.4472222222248092</v>
      </c>
      <c r="AF39" s="210">
        <f t="shared" si="17"/>
        <v>0</v>
      </c>
      <c r="AG39" s="210">
        <f t="shared" si="18"/>
        <v>0</v>
      </c>
    </row>
    <row r="40" spans="2:33" ht="15" customHeight="1" x14ac:dyDescent="0.3">
      <c r="B40" s="196" t="s">
        <v>5</v>
      </c>
      <c r="C40" s="197" t="s">
        <v>15</v>
      </c>
      <c r="D40" s="198" t="str">
        <f t="shared" si="0"/>
        <v>C</v>
      </c>
      <c r="E40" s="199">
        <v>44684.791666666664</v>
      </c>
      <c r="F40" s="200" t="s">
        <v>94</v>
      </c>
      <c r="G40" s="201">
        <v>7562.96</v>
      </c>
      <c r="H40" s="201">
        <v>7454.82</v>
      </c>
      <c r="I40" s="202">
        <f t="shared" si="1"/>
        <v>108.14000000000033</v>
      </c>
      <c r="J40" s="201">
        <v>8103.65</v>
      </c>
      <c r="K40" s="199">
        <v>44686.743750000001</v>
      </c>
      <c r="L40" s="201">
        <v>7527.51</v>
      </c>
      <c r="M40" s="203">
        <f t="shared" si="2"/>
        <v>-35.450000000000003</v>
      </c>
      <c r="N40" s="204">
        <f t="shared" si="3"/>
        <v>-0.33</v>
      </c>
      <c r="O40" s="205">
        <f t="shared" si="4"/>
        <v>0</v>
      </c>
      <c r="P40" s="206">
        <f t="shared" si="5"/>
        <v>0</v>
      </c>
      <c r="Q40" s="206">
        <f t="shared" si="6"/>
        <v>-0.33</v>
      </c>
      <c r="R4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97700</v>
      </c>
      <c r="T4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40" s="208">
        <f ca="1">IF(Tabla336106734823[[#This Row],[Equity]]&lt;Tabla336106734823[[#This Row],[Equity Peak]],(Tabla336106734823[[#This Row],[Equity Peak]]-Tabla336106734823[[#This Row],[Equity]])/Tabla336106734823[[#This Row],[Equity Peak]],"")</f>
        <v>3.5823546827198266E-2</v>
      </c>
      <c r="V40" s="209">
        <f t="shared" si="7"/>
        <v>0</v>
      </c>
      <c r="W40" s="209">
        <f t="shared" si="8"/>
        <v>0</v>
      </c>
      <c r="X40" s="209">
        <f t="shared" si="9"/>
        <v>0</v>
      </c>
      <c r="Y40" s="209">
        <f t="shared" si="10"/>
        <v>0</v>
      </c>
      <c r="Z40" s="209">
        <f t="shared" si="11"/>
        <v>-0.33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1.9520833333372138</v>
      </c>
      <c r="AE40" s="210">
        <f t="shared" si="16"/>
        <v>0</v>
      </c>
      <c r="AF40" s="210">
        <f t="shared" si="17"/>
        <v>1.9520833333372138</v>
      </c>
      <c r="AG40" s="210">
        <f t="shared" si="18"/>
        <v>0</v>
      </c>
    </row>
    <row r="41" spans="2:33" ht="15" customHeight="1" x14ac:dyDescent="0.3">
      <c r="B41" s="196" t="s">
        <v>5</v>
      </c>
      <c r="C41" s="197" t="s">
        <v>13</v>
      </c>
      <c r="D41" s="198" t="str">
        <f t="shared" si="0"/>
        <v>C</v>
      </c>
      <c r="E41" s="199">
        <v>44684.125</v>
      </c>
      <c r="F41" s="200" t="s">
        <v>94</v>
      </c>
      <c r="G41" s="201">
        <v>7455.81</v>
      </c>
      <c r="H41" s="201">
        <v>7558.39</v>
      </c>
      <c r="I41" s="202">
        <f t="shared" si="1"/>
        <v>102.57999999999993</v>
      </c>
      <c r="J41" s="201">
        <v>6942.91</v>
      </c>
      <c r="K41" s="199">
        <v>44684.425000000003</v>
      </c>
      <c r="L41" s="201">
        <v>7515.29</v>
      </c>
      <c r="M41" s="203">
        <f t="shared" si="2"/>
        <v>-59.48</v>
      </c>
      <c r="N41" s="204">
        <f t="shared" si="3"/>
        <v>-0.57999999999999996</v>
      </c>
      <c r="O41" s="205">
        <f t="shared" si="4"/>
        <v>0</v>
      </c>
      <c r="P41" s="206">
        <f t="shared" si="5"/>
        <v>0</v>
      </c>
      <c r="Q41" s="206">
        <f t="shared" si="6"/>
        <v>-0.57999999999999996</v>
      </c>
      <c r="R4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98030</v>
      </c>
      <c r="T4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41" s="208">
        <f ca="1">IF(Tabla336106734823[[#This Row],[Equity]]&lt;Tabla336106734823[[#This Row],[Equity Peak]],(Tabla336106734823[[#This Row],[Equity Peak]]-Tabla336106734823[[#This Row],[Equity]])/Tabla336106734823[[#This Row],[Equity Peak]],"")</f>
        <v>3.2566860751998418E-2</v>
      </c>
      <c r="V41" s="209">
        <f t="shared" si="7"/>
        <v>0</v>
      </c>
      <c r="W41" s="209">
        <f t="shared" si="8"/>
        <v>0</v>
      </c>
      <c r="X41" s="209">
        <f t="shared" si="9"/>
        <v>0</v>
      </c>
      <c r="Y41" s="209">
        <f t="shared" si="10"/>
        <v>0</v>
      </c>
      <c r="Z41" s="209">
        <f t="shared" si="11"/>
        <v>-0.57999999999999996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0.30000000000291038</v>
      </c>
      <c r="AE41" s="210">
        <f t="shared" si="16"/>
        <v>0</v>
      </c>
      <c r="AF41" s="210">
        <f t="shared" si="17"/>
        <v>0.30000000000291038</v>
      </c>
      <c r="AG41" s="210">
        <f t="shared" si="18"/>
        <v>0</v>
      </c>
    </row>
    <row r="42" spans="2:33" ht="15" customHeight="1" x14ac:dyDescent="0.3">
      <c r="B42" s="196" t="s">
        <v>5</v>
      </c>
      <c r="C42" s="197" t="s">
        <v>15</v>
      </c>
      <c r="D42" s="198" t="str">
        <f t="shared" si="0"/>
        <v>C</v>
      </c>
      <c r="E42" s="199">
        <v>44680.291666666664</v>
      </c>
      <c r="F42" s="200" t="s">
        <v>94</v>
      </c>
      <c r="G42" s="201">
        <v>7557.3</v>
      </c>
      <c r="H42" s="201">
        <v>7458.17</v>
      </c>
      <c r="I42" s="202">
        <f t="shared" si="1"/>
        <v>99.130000000000109</v>
      </c>
      <c r="J42" s="201">
        <v>8052.93</v>
      </c>
      <c r="K42" s="199">
        <v>44680.912499999999</v>
      </c>
      <c r="L42" s="201">
        <v>7481.51</v>
      </c>
      <c r="M42" s="203">
        <f t="shared" si="2"/>
        <v>-75.790000000000006</v>
      </c>
      <c r="N42" s="204">
        <f t="shared" si="3"/>
        <v>-0.76</v>
      </c>
      <c r="O42" s="205">
        <f t="shared" si="4"/>
        <v>0</v>
      </c>
      <c r="P42" s="206">
        <f t="shared" si="5"/>
        <v>0</v>
      </c>
      <c r="Q42" s="206">
        <f t="shared" si="6"/>
        <v>-0.76</v>
      </c>
      <c r="R4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98610</v>
      </c>
      <c r="T4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42" s="208">
        <f ca="1">IF(Tabla336106734823[[#This Row],[Equity]]&lt;Tabla336106734823[[#This Row],[Equity Peak]],(Tabla336106734823[[#This Row],[Equity Peak]]-Tabla336106734823[[#This Row],[Equity]])/Tabla336106734823[[#This Row],[Equity Peak]],"")</f>
        <v>2.6842988256192638E-2</v>
      </c>
      <c r="V42" s="209">
        <f t="shared" si="7"/>
        <v>0</v>
      </c>
      <c r="W42" s="209">
        <f t="shared" si="8"/>
        <v>0</v>
      </c>
      <c r="X42" s="209">
        <f t="shared" si="9"/>
        <v>0</v>
      </c>
      <c r="Y42" s="209">
        <f t="shared" si="10"/>
        <v>0</v>
      </c>
      <c r="Z42" s="209">
        <f t="shared" si="11"/>
        <v>-0.76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0.62083333333430346</v>
      </c>
      <c r="AE42" s="210">
        <f t="shared" si="16"/>
        <v>0</v>
      </c>
      <c r="AF42" s="210">
        <f t="shared" si="17"/>
        <v>0.62083333333430346</v>
      </c>
      <c r="AG42" s="210">
        <f t="shared" si="18"/>
        <v>0</v>
      </c>
    </row>
    <row r="43" spans="2:33" ht="15" customHeight="1" x14ac:dyDescent="0.3">
      <c r="B43" s="196" t="s">
        <v>5</v>
      </c>
      <c r="C43" s="197" t="s">
        <v>13</v>
      </c>
      <c r="D43" s="198" t="str">
        <f t="shared" si="0"/>
        <v>C</v>
      </c>
      <c r="E43" s="199">
        <v>44673.791666666664</v>
      </c>
      <c r="F43" s="200" t="s">
        <v>94</v>
      </c>
      <c r="G43" s="201">
        <v>7527.64</v>
      </c>
      <c r="H43" s="201">
        <v>7619.67</v>
      </c>
      <c r="I43" s="202">
        <f t="shared" si="1"/>
        <v>92.029999999999745</v>
      </c>
      <c r="J43" s="201">
        <v>7067.5</v>
      </c>
      <c r="K43" s="199">
        <v>44677.261805555558</v>
      </c>
      <c r="L43" s="201">
        <v>7472.18</v>
      </c>
      <c r="M43" s="203">
        <f t="shared" si="2"/>
        <v>55.46</v>
      </c>
      <c r="N43" s="204">
        <f t="shared" si="3"/>
        <v>0.6</v>
      </c>
      <c r="O43" s="205">
        <f t="shared" si="4"/>
        <v>0</v>
      </c>
      <c r="P43" s="206">
        <f t="shared" si="5"/>
        <v>0.6</v>
      </c>
      <c r="Q43" s="206">
        <f t="shared" si="6"/>
        <v>0</v>
      </c>
      <c r="R4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99370</v>
      </c>
      <c r="T4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43" s="208">
        <f ca="1">IF(Tabla336106734823[[#This Row],[Equity]]&lt;Tabla336106734823[[#This Row],[Equity Peak]],(Tabla336106734823[[#This Row],[Equity Peak]]-Tabla336106734823[[#This Row],[Equity]])/Tabla336106734823[[#This Row],[Equity Peak]],"")</f>
        <v>1.9342741537550577E-2</v>
      </c>
      <c r="V43" s="209">
        <f t="shared" si="7"/>
        <v>0</v>
      </c>
      <c r="W43" s="209">
        <f t="shared" si="8"/>
        <v>0</v>
      </c>
      <c r="X43" s="209">
        <f t="shared" si="9"/>
        <v>0</v>
      </c>
      <c r="Y43" s="209">
        <f t="shared" si="10"/>
        <v>0</v>
      </c>
      <c r="Z43" s="209">
        <f t="shared" si="11"/>
        <v>0.6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3.4701388888934162</v>
      </c>
      <c r="AE43" s="210">
        <f t="shared" si="16"/>
        <v>3.4701388888934162</v>
      </c>
      <c r="AF43" s="210">
        <f t="shared" si="17"/>
        <v>0</v>
      </c>
      <c r="AG43" s="210">
        <f t="shared" si="18"/>
        <v>0</v>
      </c>
    </row>
    <row r="44" spans="2:33" ht="15" customHeight="1" x14ac:dyDescent="0.3">
      <c r="B44" s="196" t="s">
        <v>5</v>
      </c>
      <c r="C44" s="197" t="s">
        <v>15</v>
      </c>
      <c r="D44" s="198" t="str">
        <f t="shared" si="0"/>
        <v>C</v>
      </c>
      <c r="E44" s="199">
        <v>44636.5</v>
      </c>
      <c r="F44" s="200" t="s">
        <v>94</v>
      </c>
      <c r="G44" s="201">
        <v>7277.29</v>
      </c>
      <c r="H44" s="201">
        <v>7138.41</v>
      </c>
      <c r="I44" s="202">
        <f t="shared" si="1"/>
        <v>138.88000000000011</v>
      </c>
      <c r="J44" s="201">
        <v>7971.68</v>
      </c>
      <c r="K44" s="199">
        <v>44643.956250000003</v>
      </c>
      <c r="L44" s="201">
        <v>7431.76</v>
      </c>
      <c r="M44" s="203">
        <f t="shared" si="2"/>
        <v>154.47</v>
      </c>
      <c r="N44" s="204">
        <f t="shared" si="3"/>
        <v>1.1100000000000001</v>
      </c>
      <c r="O44" s="205">
        <f t="shared" si="4"/>
        <v>0</v>
      </c>
      <c r="P44" s="206">
        <f t="shared" si="5"/>
        <v>1.1100000000000001</v>
      </c>
      <c r="Q44" s="206">
        <f t="shared" si="6"/>
        <v>0</v>
      </c>
      <c r="R4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98770</v>
      </c>
      <c r="T4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44" s="208">
        <f ca="1">IF(Tabla336106734823[[#This Row],[Equity]]&lt;Tabla336106734823[[#This Row],[Equity Peak]],(Tabla336106734823[[#This Row],[Equity Peak]]-Tabla336106734823[[#This Row],[Equity]])/Tabla336106734823[[#This Row],[Equity Peak]],"")</f>
        <v>2.5263988947004837E-2</v>
      </c>
      <c r="V44" s="209">
        <f t="shared" si="7"/>
        <v>0</v>
      </c>
      <c r="W44" s="209">
        <f t="shared" si="8"/>
        <v>0</v>
      </c>
      <c r="X44" s="209">
        <f t="shared" si="9"/>
        <v>0</v>
      </c>
      <c r="Y44" s="209">
        <f t="shared" si="10"/>
        <v>0</v>
      </c>
      <c r="Z44" s="209">
        <f t="shared" si="11"/>
        <v>1.1100000000000001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7.4562500000029104</v>
      </c>
      <c r="AE44" s="210">
        <f t="shared" si="16"/>
        <v>7.4562500000029104</v>
      </c>
      <c r="AF44" s="210">
        <f t="shared" si="17"/>
        <v>0</v>
      </c>
      <c r="AG44" s="210">
        <f t="shared" si="18"/>
        <v>0</v>
      </c>
    </row>
    <row r="45" spans="2:33" ht="15" customHeight="1" x14ac:dyDescent="0.3">
      <c r="B45" s="196" t="s">
        <v>5</v>
      </c>
      <c r="C45" s="197" t="s">
        <v>13</v>
      </c>
      <c r="D45" s="198" t="str">
        <f t="shared" si="0"/>
        <v>C</v>
      </c>
      <c r="E45" s="199">
        <v>44609.625</v>
      </c>
      <c r="F45" s="200" t="s">
        <v>94</v>
      </c>
      <c r="G45" s="201">
        <v>7574.56</v>
      </c>
      <c r="H45" s="201">
        <v>7668.17</v>
      </c>
      <c r="I45" s="202">
        <f t="shared" si="1"/>
        <v>93.609999999999673</v>
      </c>
      <c r="J45" s="201">
        <v>7106.49</v>
      </c>
      <c r="K45" s="199">
        <v>44614.703472222223</v>
      </c>
      <c r="L45" s="201">
        <v>7531.51</v>
      </c>
      <c r="M45" s="203">
        <f t="shared" si="2"/>
        <v>43.05</v>
      </c>
      <c r="N45" s="204">
        <f t="shared" si="3"/>
        <v>0.46</v>
      </c>
      <c r="O45" s="205">
        <f t="shared" si="4"/>
        <v>0</v>
      </c>
      <c r="P45" s="206">
        <f t="shared" si="5"/>
        <v>0.46</v>
      </c>
      <c r="Q45" s="206">
        <f t="shared" si="6"/>
        <v>0</v>
      </c>
      <c r="R4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97660</v>
      </c>
      <c r="T4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45" s="208">
        <f ca="1">IF(Tabla336106734823[[#This Row],[Equity]]&lt;Tabla336106734823[[#This Row],[Equity Peak]],(Tabla336106734823[[#This Row],[Equity Peak]]-Tabla336106734823[[#This Row],[Equity]])/Tabla336106734823[[#This Row],[Equity Peak]],"")</f>
        <v>3.6218296654495212E-2</v>
      </c>
      <c r="V45" s="209">
        <f t="shared" si="7"/>
        <v>0</v>
      </c>
      <c r="W45" s="209">
        <f t="shared" si="8"/>
        <v>0</v>
      </c>
      <c r="X45" s="209">
        <f t="shared" si="9"/>
        <v>0</v>
      </c>
      <c r="Y45" s="209">
        <f t="shared" si="10"/>
        <v>0</v>
      </c>
      <c r="Z45" s="209">
        <f t="shared" si="11"/>
        <v>0.46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5.078472222223354</v>
      </c>
      <c r="AE45" s="210">
        <f t="shared" si="16"/>
        <v>5.078472222223354</v>
      </c>
      <c r="AF45" s="210">
        <f t="shared" si="17"/>
        <v>0</v>
      </c>
      <c r="AG45" s="210">
        <f t="shared" si="18"/>
        <v>0</v>
      </c>
    </row>
    <row r="46" spans="2:33" ht="15" customHeight="1" x14ac:dyDescent="0.3">
      <c r="B46" s="196" t="s">
        <v>5</v>
      </c>
      <c r="C46" s="197" t="s">
        <v>15</v>
      </c>
      <c r="D46" s="198" t="str">
        <f t="shared" si="0"/>
        <v>C</v>
      </c>
      <c r="E46" s="199">
        <v>44607.791666666664</v>
      </c>
      <c r="F46" s="200" t="s">
        <v>94</v>
      </c>
      <c r="G46" s="201">
        <v>7616.8</v>
      </c>
      <c r="H46" s="201">
        <v>7486.1</v>
      </c>
      <c r="I46" s="202">
        <f t="shared" si="1"/>
        <v>130.69999999999982</v>
      </c>
      <c r="J46" s="201">
        <v>8270.2999999999993</v>
      </c>
      <c r="K46" s="199">
        <v>44609.625</v>
      </c>
      <c r="L46" s="201">
        <v>7574.56</v>
      </c>
      <c r="M46" s="203">
        <f t="shared" si="2"/>
        <v>-42.24</v>
      </c>
      <c r="N46" s="204">
        <f t="shared" si="3"/>
        <v>-0.32</v>
      </c>
      <c r="O46" s="205">
        <f t="shared" si="4"/>
        <v>0</v>
      </c>
      <c r="P46" s="206">
        <f t="shared" si="5"/>
        <v>0</v>
      </c>
      <c r="Q46" s="206">
        <f t="shared" si="6"/>
        <v>-0.32</v>
      </c>
      <c r="R4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97200</v>
      </c>
      <c r="T4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46" s="208">
        <f ca="1">IF(Tabla336106734823[[#This Row],[Equity]]&lt;Tabla336106734823[[#This Row],[Equity Peak]],(Tabla336106734823[[#This Row],[Equity Peak]]-Tabla336106734823[[#This Row],[Equity]])/Tabla336106734823[[#This Row],[Equity Peak]],"")</f>
        <v>4.0757919668410143E-2</v>
      </c>
      <c r="V46" s="209">
        <f t="shared" si="7"/>
        <v>0</v>
      </c>
      <c r="W46" s="209">
        <f t="shared" si="8"/>
        <v>0</v>
      </c>
      <c r="X46" s="209">
        <f t="shared" si="9"/>
        <v>0</v>
      </c>
      <c r="Y46" s="209">
        <f t="shared" si="10"/>
        <v>0</v>
      </c>
      <c r="Z46" s="209">
        <f t="shared" si="11"/>
        <v>-0.32</v>
      </c>
      <c r="AA46" s="205">
        <f t="shared" si="12"/>
        <v>0</v>
      </c>
      <c r="AB46" s="209">
        <f t="shared" si="13"/>
        <v>0</v>
      </c>
      <c r="AC46" s="205">
        <f t="shared" si="14"/>
        <v>0</v>
      </c>
      <c r="AD46" s="210">
        <f t="shared" si="15"/>
        <v>1.8333333333357587</v>
      </c>
      <c r="AE46" s="210">
        <f t="shared" si="16"/>
        <v>0</v>
      </c>
      <c r="AF46" s="210">
        <f t="shared" si="17"/>
        <v>1.8333333333357587</v>
      </c>
      <c r="AG46" s="210">
        <f t="shared" si="18"/>
        <v>0</v>
      </c>
    </row>
    <row r="47" spans="2:33" ht="15" customHeight="1" x14ac:dyDescent="0.3">
      <c r="B47" s="196" t="s">
        <v>5</v>
      </c>
      <c r="C47" s="197" t="s">
        <v>13</v>
      </c>
      <c r="D47" s="198" t="str">
        <f t="shared" si="0"/>
        <v>C</v>
      </c>
      <c r="E47" s="199">
        <v>44606.625</v>
      </c>
      <c r="F47" s="200" t="s">
        <v>94</v>
      </c>
      <c r="G47" s="201">
        <v>7564.83</v>
      </c>
      <c r="H47" s="201">
        <v>7680.15</v>
      </c>
      <c r="I47" s="202">
        <f t="shared" si="1"/>
        <v>115.31999999999971</v>
      </c>
      <c r="J47" s="201">
        <v>6988.23</v>
      </c>
      <c r="K47" s="199">
        <v>44607.775000000001</v>
      </c>
      <c r="L47" s="201">
        <v>7621.64</v>
      </c>
      <c r="M47" s="203">
        <f t="shared" si="2"/>
        <v>-56.81</v>
      </c>
      <c r="N47" s="204">
        <f t="shared" si="3"/>
        <v>-0.49</v>
      </c>
      <c r="O47" s="205">
        <f t="shared" si="4"/>
        <v>0</v>
      </c>
      <c r="P47" s="206">
        <f t="shared" si="5"/>
        <v>0</v>
      </c>
      <c r="Q47" s="206">
        <f t="shared" si="6"/>
        <v>-0.49</v>
      </c>
      <c r="R4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97520</v>
      </c>
      <c r="T4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47" s="208">
        <f ca="1">IF(Tabla336106734823[[#This Row],[Equity]]&lt;Tabla336106734823[[#This Row],[Equity Peak]],(Tabla336106734823[[#This Row],[Equity Peak]]-Tabla336106734823[[#This Row],[Equity]])/Tabla336106734823[[#This Row],[Equity Peak]],"")</f>
        <v>3.759992105003454E-2</v>
      </c>
      <c r="V47" s="209">
        <f t="shared" si="7"/>
        <v>0</v>
      </c>
      <c r="W47" s="209">
        <f t="shared" si="8"/>
        <v>0</v>
      </c>
      <c r="X47" s="209">
        <f t="shared" si="9"/>
        <v>0</v>
      </c>
      <c r="Y47" s="209">
        <f t="shared" si="10"/>
        <v>0</v>
      </c>
      <c r="Z47" s="209">
        <f t="shared" si="11"/>
        <v>-0.49</v>
      </c>
      <c r="AA47" s="205">
        <f t="shared" si="12"/>
        <v>0</v>
      </c>
      <c r="AB47" s="209">
        <f t="shared" si="13"/>
        <v>0</v>
      </c>
      <c r="AC47" s="205">
        <f t="shared" si="14"/>
        <v>0</v>
      </c>
      <c r="AD47" s="210">
        <f t="shared" si="15"/>
        <v>1.1500000000014552</v>
      </c>
      <c r="AE47" s="210">
        <f t="shared" si="16"/>
        <v>0</v>
      </c>
      <c r="AF47" s="210">
        <f t="shared" si="17"/>
        <v>1.1500000000014552</v>
      </c>
      <c r="AG47" s="210">
        <f t="shared" si="18"/>
        <v>0</v>
      </c>
    </row>
    <row r="48" spans="2:33" ht="15" customHeight="1" x14ac:dyDescent="0.3">
      <c r="B48" s="196" t="s">
        <v>5</v>
      </c>
      <c r="C48" s="197" t="s">
        <v>15</v>
      </c>
      <c r="D48" s="198" t="str">
        <f t="shared" si="0"/>
        <v>C</v>
      </c>
      <c r="E48" s="199">
        <v>44601.791666666664</v>
      </c>
      <c r="F48" s="200" t="s">
        <v>94</v>
      </c>
      <c r="G48" s="201">
        <v>7656.91</v>
      </c>
      <c r="H48" s="201">
        <v>7574.38</v>
      </c>
      <c r="I48" s="202">
        <f t="shared" si="1"/>
        <v>82.529999999999745</v>
      </c>
      <c r="J48" s="201">
        <v>8069.55</v>
      </c>
      <c r="K48" s="199">
        <v>44602.948611111111</v>
      </c>
      <c r="L48" s="201">
        <v>7629.34</v>
      </c>
      <c r="M48" s="203">
        <f t="shared" si="2"/>
        <v>-27.57</v>
      </c>
      <c r="N48" s="204">
        <f t="shared" si="3"/>
        <v>-0.33</v>
      </c>
      <c r="O48" s="205">
        <f t="shared" si="4"/>
        <v>0</v>
      </c>
      <c r="P48" s="206">
        <f t="shared" si="5"/>
        <v>0</v>
      </c>
      <c r="Q48" s="206">
        <f t="shared" si="6"/>
        <v>-0.33</v>
      </c>
      <c r="R4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98010</v>
      </c>
      <c r="T4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48" s="208">
        <f ca="1">IF(Tabla336106734823[[#This Row],[Equity]]&lt;Tabla336106734823[[#This Row],[Equity Peak]],(Tabla336106734823[[#This Row],[Equity Peak]]-Tabla336106734823[[#This Row],[Equity]])/Tabla336106734823[[#This Row],[Equity Peak]],"")</f>
        <v>3.2764235665646894E-2</v>
      </c>
      <c r="V48" s="209">
        <f t="shared" si="7"/>
        <v>0</v>
      </c>
      <c r="W48" s="209">
        <f t="shared" si="8"/>
        <v>0</v>
      </c>
      <c r="X48" s="209">
        <f t="shared" si="9"/>
        <v>0</v>
      </c>
      <c r="Y48" s="209">
        <f t="shared" si="10"/>
        <v>0</v>
      </c>
      <c r="Z48" s="209">
        <f t="shared" si="11"/>
        <v>-0.33</v>
      </c>
      <c r="AA48" s="205">
        <f t="shared" si="12"/>
        <v>0</v>
      </c>
      <c r="AB48" s="209">
        <f t="shared" si="13"/>
        <v>0</v>
      </c>
      <c r="AC48" s="205">
        <f t="shared" si="14"/>
        <v>0</v>
      </c>
      <c r="AD48" s="210">
        <f t="shared" si="15"/>
        <v>1.1569444444467081</v>
      </c>
      <c r="AE48" s="210">
        <f t="shared" si="16"/>
        <v>0</v>
      </c>
      <c r="AF48" s="210">
        <f t="shared" si="17"/>
        <v>1.1569444444467081</v>
      </c>
      <c r="AG48" s="210">
        <f t="shared" si="18"/>
        <v>0</v>
      </c>
    </row>
    <row r="49" spans="2:33" ht="15" customHeight="1" x14ac:dyDescent="0.3">
      <c r="B49" s="196" t="s">
        <v>5</v>
      </c>
      <c r="C49" s="197" t="s">
        <v>15</v>
      </c>
      <c r="D49" s="198" t="str">
        <f t="shared" ref="D49:D64" si="19">IF(E49&lt;&gt;"",IF(K49&lt;&gt;"","C","O"),"")</f>
        <v>C</v>
      </c>
      <c r="E49" s="199">
        <v>44588.791666666664</v>
      </c>
      <c r="F49" s="200" t="s">
        <v>94</v>
      </c>
      <c r="G49" s="201">
        <v>7572.92</v>
      </c>
      <c r="H49" s="201">
        <v>7420.57</v>
      </c>
      <c r="I49" s="202">
        <f t="shared" ref="I49:I64" si="20">ABS(G49-H49)</f>
        <v>152.35000000000036</v>
      </c>
      <c r="J49" s="201">
        <v>8334.68</v>
      </c>
      <c r="K49" s="199">
        <v>44589.525694444441</v>
      </c>
      <c r="L49" s="201">
        <v>7457.34</v>
      </c>
      <c r="M49" s="203">
        <f t="shared" ref="M49:M64" si="21">ROUND(IF(C49="L",(L49-G49),(G49-L49)),4)</f>
        <v>-115.58</v>
      </c>
      <c r="N49" s="204">
        <f t="shared" ref="N49:N64" si="22">IFERROR(ROUND((M49/I49),2),"")</f>
        <v>-0.76</v>
      </c>
      <c r="O49" s="205">
        <f t="shared" ref="O49:O64" si="23">IF(D49="O",IF(N49&lt;0,N49,0),0)</f>
        <v>0</v>
      </c>
      <c r="P49" s="206">
        <f t="shared" ref="P49:P64" si="24">IF(N49&gt;= 0,N49,0)</f>
        <v>0</v>
      </c>
      <c r="Q49" s="206">
        <f t="shared" ref="Q49:Q64" si="25">IF(N49&lt;0,N49,0)</f>
        <v>-0.76</v>
      </c>
      <c r="R4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98340</v>
      </c>
      <c r="T4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49" s="208">
        <f ca="1">IF(Tabla336106734823[[#This Row],[Equity]]&lt;Tabla336106734823[[#This Row],[Equity Peak]],(Tabla336106734823[[#This Row],[Equity Peak]]-Tabla336106734823[[#This Row],[Equity]])/Tabla336106734823[[#This Row],[Equity Peak]],"")</f>
        <v>2.9507549590447053E-2</v>
      </c>
      <c r="V49" s="209">
        <f t="shared" ref="V49:V64" si="26">IF(B49="FX",N49,0)</f>
        <v>0</v>
      </c>
      <c r="W49" s="209">
        <f t="shared" ref="W49:W64" si="27">IF(D49="O",IF(V49&lt;0,V49,0),0)</f>
        <v>0</v>
      </c>
      <c r="X49" s="209">
        <f t="shared" ref="X49:X64" si="28">IF(B49="COM",N49,0)</f>
        <v>0</v>
      </c>
      <c r="Y49" s="209">
        <f t="shared" ref="Y49:Y64" si="29">IF(D49="O",IF(X49&lt;0,X49,0),0)</f>
        <v>0</v>
      </c>
      <c r="Z49" s="209">
        <f t="shared" ref="Z49:Z64" si="30">IF(B49="IND",N49,0)</f>
        <v>-0.76</v>
      </c>
      <c r="AA49" s="205">
        <f t="shared" ref="AA49:AA64" si="31">IF(D49="O",IF(Z49&lt;0,Z49,0),0)</f>
        <v>0</v>
      </c>
      <c r="AB49" s="209">
        <f t="shared" ref="AB49:AB64" si="32">IF(B49="CRYPTO",N49,0)</f>
        <v>0</v>
      </c>
      <c r="AC49" s="205">
        <f t="shared" ref="AC49:AC64" si="33">IF(D49="O",IF(AB49&lt;0,AB49,0),0)</f>
        <v>0</v>
      </c>
      <c r="AD49" s="210">
        <f t="shared" ref="AD49:AD64" si="34">IF(K49&lt;&gt;"",K49-E49,0)</f>
        <v>0.73402777777664596</v>
      </c>
      <c r="AE49" s="210">
        <f t="shared" ref="AE49:AE64" si="35">IF(N49&gt;0,AD49,0)</f>
        <v>0</v>
      </c>
      <c r="AF49" s="210">
        <f t="shared" ref="AF49:AF64" si="36">IF(N49&lt;0,AD49,0)</f>
        <v>0.73402777777664596</v>
      </c>
      <c r="AG49" s="210">
        <f t="shared" ref="AG49:AG64" si="37">IF(N49=0,AD49,0)</f>
        <v>0</v>
      </c>
    </row>
    <row r="50" spans="2:33" ht="15" customHeight="1" x14ac:dyDescent="0.3">
      <c r="B50" s="196" t="s">
        <v>5</v>
      </c>
      <c r="C50" s="197" t="s">
        <v>13</v>
      </c>
      <c r="D50" s="198" t="str">
        <f t="shared" si="19"/>
        <v>C</v>
      </c>
      <c r="E50" s="199">
        <v>44582.625</v>
      </c>
      <c r="F50" s="200" t="s">
        <v>94</v>
      </c>
      <c r="G50" s="201">
        <v>7500.45</v>
      </c>
      <c r="H50" s="201">
        <v>7588.04</v>
      </c>
      <c r="I50" s="202">
        <f t="shared" si="20"/>
        <v>87.590000000000146</v>
      </c>
      <c r="J50" s="201">
        <v>7062.49</v>
      </c>
      <c r="K50" s="199">
        <v>44585.956944444442</v>
      </c>
      <c r="L50" s="201">
        <v>7395.35</v>
      </c>
      <c r="M50" s="203">
        <f t="shared" si="21"/>
        <v>105.1</v>
      </c>
      <c r="N50" s="204">
        <f t="shared" si="22"/>
        <v>1.2</v>
      </c>
      <c r="O50" s="205">
        <f t="shared" si="23"/>
        <v>0</v>
      </c>
      <c r="P50" s="206">
        <f t="shared" si="24"/>
        <v>1.2</v>
      </c>
      <c r="Q50" s="206">
        <f t="shared" si="25"/>
        <v>0</v>
      </c>
      <c r="R5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99100</v>
      </c>
      <c r="T5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50" s="208">
        <f ca="1">IF(Tabla336106734823[[#This Row],[Equity]]&lt;Tabla336106734823[[#This Row],[Equity Peak]],(Tabla336106734823[[#This Row],[Equity Peak]]-Tabla336106734823[[#This Row],[Equity]])/Tabla336106734823[[#This Row],[Equity Peak]],"")</f>
        <v>2.2007302871804992E-2</v>
      </c>
      <c r="V50" s="209">
        <f t="shared" si="26"/>
        <v>0</v>
      </c>
      <c r="W50" s="209">
        <f t="shared" si="27"/>
        <v>0</v>
      </c>
      <c r="X50" s="209">
        <f t="shared" si="28"/>
        <v>0</v>
      </c>
      <c r="Y50" s="209">
        <f t="shared" si="29"/>
        <v>0</v>
      </c>
      <c r="Z50" s="209">
        <f t="shared" si="30"/>
        <v>1.2</v>
      </c>
      <c r="AA50" s="205">
        <f t="shared" si="31"/>
        <v>0</v>
      </c>
      <c r="AB50" s="209">
        <f t="shared" si="32"/>
        <v>0</v>
      </c>
      <c r="AC50" s="205">
        <f t="shared" si="33"/>
        <v>0</v>
      </c>
      <c r="AD50" s="210">
        <f t="shared" si="34"/>
        <v>3.3319444444423425</v>
      </c>
      <c r="AE50" s="210">
        <f t="shared" si="35"/>
        <v>3.3319444444423425</v>
      </c>
      <c r="AF50" s="210">
        <f t="shared" si="36"/>
        <v>0</v>
      </c>
      <c r="AG50" s="210">
        <f t="shared" si="37"/>
        <v>0</v>
      </c>
    </row>
    <row r="51" spans="2:33" ht="15" customHeight="1" x14ac:dyDescent="0.3">
      <c r="B51" s="196" t="s">
        <v>5</v>
      </c>
      <c r="C51" s="197" t="s">
        <v>15</v>
      </c>
      <c r="D51" s="198" t="str">
        <f t="shared" si="19"/>
        <v>C</v>
      </c>
      <c r="E51" s="199">
        <v>44551.458333333336</v>
      </c>
      <c r="F51" s="200" t="s">
        <v>94</v>
      </c>
      <c r="G51" s="201">
        <v>7273.01</v>
      </c>
      <c r="H51" s="201">
        <v>7173.3</v>
      </c>
      <c r="I51" s="202">
        <f t="shared" si="20"/>
        <v>99.710000000000036</v>
      </c>
      <c r="J51" s="201">
        <v>7771.57</v>
      </c>
      <c r="K51" s="199">
        <v>44561.125</v>
      </c>
      <c r="L51" s="201">
        <v>7386.36</v>
      </c>
      <c r="M51" s="203">
        <f t="shared" si="21"/>
        <v>113.35</v>
      </c>
      <c r="N51" s="204">
        <f t="shared" si="22"/>
        <v>1.1399999999999999</v>
      </c>
      <c r="O51" s="205">
        <f t="shared" si="23"/>
        <v>0</v>
      </c>
      <c r="P51" s="206">
        <f t="shared" si="24"/>
        <v>1.1399999999999999</v>
      </c>
      <c r="Q51" s="206">
        <f t="shared" si="25"/>
        <v>0</v>
      </c>
      <c r="R5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97900</v>
      </c>
      <c r="T5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51" s="208">
        <f ca="1">IF(Tabla336106734823[[#This Row],[Equity]]&lt;Tabla336106734823[[#This Row],[Equity Peak]],(Tabla336106734823[[#This Row],[Equity Peak]]-Tabla336106734823[[#This Row],[Equity]])/Tabla336106734823[[#This Row],[Equity Peak]],"")</f>
        <v>3.3849797690713508E-2</v>
      </c>
      <c r="V51" s="209">
        <f t="shared" si="26"/>
        <v>0</v>
      </c>
      <c r="W51" s="209">
        <f t="shared" si="27"/>
        <v>0</v>
      </c>
      <c r="X51" s="209">
        <f t="shared" si="28"/>
        <v>0</v>
      </c>
      <c r="Y51" s="209">
        <f t="shared" si="29"/>
        <v>0</v>
      </c>
      <c r="Z51" s="209">
        <f t="shared" si="30"/>
        <v>1.1399999999999999</v>
      </c>
      <c r="AA51" s="205">
        <f t="shared" si="31"/>
        <v>0</v>
      </c>
      <c r="AB51" s="209">
        <f t="shared" si="32"/>
        <v>0</v>
      </c>
      <c r="AC51" s="205">
        <f t="shared" si="33"/>
        <v>0</v>
      </c>
      <c r="AD51" s="210">
        <f t="shared" si="34"/>
        <v>9.6666666666642413</v>
      </c>
      <c r="AE51" s="210">
        <f t="shared" si="35"/>
        <v>9.6666666666642413</v>
      </c>
      <c r="AF51" s="210">
        <f t="shared" si="36"/>
        <v>0</v>
      </c>
      <c r="AG51" s="210">
        <f t="shared" si="37"/>
        <v>0</v>
      </c>
    </row>
    <row r="52" spans="2:33" ht="15" customHeight="1" x14ac:dyDescent="0.3">
      <c r="B52" s="196" t="s">
        <v>5</v>
      </c>
      <c r="C52" s="197" t="s">
        <v>13</v>
      </c>
      <c r="D52" s="198" t="str">
        <f t="shared" si="19"/>
        <v>C</v>
      </c>
      <c r="E52" s="199">
        <v>44550.291666666664</v>
      </c>
      <c r="F52" s="200" t="s">
        <v>94</v>
      </c>
      <c r="G52" s="201">
        <v>7170.89</v>
      </c>
      <c r="H52" s="201">
        <v>7259.81</v>
      </c>
      <c r="I52" s="202">
        <f t="shared" si="20"/>
        <v>88.920000000000073</v>
      </c>
      <c r="J52" s="201">
        <v>6726.27</v>
      </c>
      <c r="K52" s="199">
        <v>44550.581250000003</v>
      </c>
      <c r="L52" s="201">
        <v>7199.81</v>
      </c>
      <c r="M52" s="203">
        <f t="shared" si="21"/>
        <v>-28.92</v>
      </c>
      <c r="N52" s="204">
        <f t="shared" si="22"/>
        <v>-0.33</v>
      </c>
      <c r="O52" s="205">
        <f t="shared" si="23"/>
        <v>0</v>
      </c>
      <c r="P52" s="206">
        <f t="shared" si="24"/>
        <v>0</v>
      </c>
      <c r="Q52" s="206">
        <f t="shared" si="25"/>
        <v>-0.33</v>
      </c>
      <c r="R5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96760</v>
      </c>
      <c r="T5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52" s="208">
        <f ca="1">IF(Tabla336106734823[[#This Row],[Equity]]&lt;Tabla336106734823[[#This Row],[Equity Peak]],(Tabla336106734823[[#This Row],[Equity Peak]]-Tabla336106734823[[#This Row],[Equity]])/Tabla336106734823[[#This Row],[Equity Peak]],"")</f>
        <v>4.5100167768676598E-2</v>
      </c>
      <c r="V52" s="209">
        <f t="shared" si="26"/>
        <v>0</v>
      </c>
      <c r="W52" s="209">
        <f t="shared" si="27"/>
        <v>0</v>
      </c>
      <c r="X52" s="209">
        <f t="shared" si="28"/>
        <v>0</v>
      </c>
      <c r="Y52" s="209">
        <f t="shared" si="29"/>
        <v>0</v>
      </c>
      <c r="Z52" s="209">
        <f t="shared" si="30"/>
        <v>-0.33</v>
      </c>
      <c r="AA52" s="205">
        <f t="shared" si="31"/>
        <v>0</v>
      </c>
      <c r="AB52" s="209">
        <f t="shared" si="32"/>
        <v>0</v>
      </c>
      <c r="AC52" s="205">
        <f t="shared" si="33"/>
        <v>0</v>
      </c>
      <c r="AD52" s="210">
        <f t="shared" si="34"/>
        <v>0.28958333333866904</v>
      </c>
      <c r="AE52" s="210">
        <f t="shared" si="35"/>
        <v>0</v>
      </c>
      <c r="AF52" s="210">
        <f t="shared" si="36"/>
        <v>0.28958333333866904</v>
      </c>
      <c r="AG52" s="210">
        <f t="shared" si="37"/>
        <v>0</v>
      </c>
    </row>
    <row r="53" spans="2:33" ht="15" customHeight="1" x14ac:dyDescent="0.3">
      <c r="B53" s="196" t="s">
        <v>5</v>
      </c>
      <c r="C53" s="197" t="s">
        <v>15</v>
      </c>
      <c r="D53" s="198" t="str">
        <f t="shared" si="19"/>
        <v>C</v>
      </c>
      <c r="E53" s="199">
        <v>44547.125</v>
      </c>
      <c r="F53" s="200" t="s">
        <v>94</v>
      </c>
      <c r="G53" s="201">
        <v>7257.48</v>
      </c>
      <c r="H53" s="201">
        <v>7182.13</v>
      </c>
      <c r="I53" s="202">
        <f t="shared" si="20"/>
        <v>75.349999999999454</v>
      </c>
      <c r="J53" s="201">
        <v>7634.22</v>
      </c>
      <c r="K53" s="199">
        <v>44550.125</v>
      </c>
      <c r="L53" s="201">
        <v>7219.45</v>
      </c>
      <c r="M53" s="203">
        <f t="shared" si="21"/>
        <v>-38.03</v>
      </c>
      <c r="N53" s="204">
        <f t="shared" si="22"/>
        <v>-0.5</v>
      </c>
      <c r="O53" s="205">
        <f t="shared" si="23"/>
        <v>0</v>
      </c>
      <c r="P53" s="206">
        <f t="shared" si="24"/>
        <v>0</v>
      </c>
      <c r="Q53" s="206">
        <f t="shared" si="25"/>
        <v>-0.5</v>
      </c>
      <c r="R5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97090</v>
      </c>
      <c r="T5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53" s="208">
        <f ca="1">IF(Tabla336106734823[[#This Row],[Equity]]&lt;Tabla336106734823[[#This Row],[Equity Peak]],(Tabla336106734823[[#This Row],[Equity Peak]]-Tabla336106734823[[#This Row],[Equity]])/Tabla336106734823[[#This Row],[Equity Peak]],"")</f>
        <v>4.1843481693476757E-2</v>
      </c>
      <c r="V53" s="209">
        <f t="shared" si="26"/>
        <v>0</v>
      </c>
      <c r="W53" s="209">
        <f t="shared" si="27"/>
        <v>0</v>
      </c>
      <c r="X53" s="209">
        <f t="shared" si="28"/>
        <v>0</v>
      </c>
      <c r="Y53" s="209">
        <f t="shared" si="29"/>
        <v>0</v>
      </c>
      <c r="Z53" s="209">
        <f t="shared" si="30"/>
        <v>-0.5</v>
      </c>
      <c r="AA53" s="205">
        <f t="shared" si="31"/>
        <v>0</v>
      </c>
      <c r="AB53" s="209">
        <f t="shared" si="32"/>
        <v>0</v>
      </c>
      <c r="AC53" s="205">
        <f t="shared" si="33"/>
        <v>0</v>
      </c>
      <c r="AD53" s="210">
        <f t="shared" si="34"/>
        <v>3</v>
      </c>
      <c r="AE53" s="210">
        <f t="shared" si="35"/>
        <v>0</v>
      </c>
      <c r="AF53" s="210">
        <f t="shared" si="36"/>
        <v>3</v>
      </c>
      <c r="AG53" s="210">
        <f t="shared" si="37"/>
        <v>0</v>
      </c>
    </row>
    <row r="54" spans="2:33" ht="15" customHeight="1" x14ac:dyDescent="0.3">
      <c r="B54" s="196" t="s">
        <v>5</v>
      </c>
      <c r="C54" s="197" t="s">
        <v>13</v>
      </c>
      <c r="D54" s="198" t="str">
        <f t="shared" si="19"/>
        <v>C</v>
      </c>
      <c r="E54" s="199">
        <v>44544.791666666664</v>
      </c>
      <c r="F54" s="200" t="s">
        <v>94</v>
      </c>
      <c r="G54" s="201">
        <v>7215.06</v>
      </c>
      <c r="H54" s="201">
        <v>7284.21</v>
      </c>
      <c r="I54" s="202">
        <f t="shared" si="20"/>
        <v>69.149999999999636</v>
      </c>
      <c r="J54" s="201">
        <v>6869.3</v>
      </c>
      <c r="K54" s="199">
        <v>44545.956250000003</v>
      </c>
      <c r="L54" s="201">
        <v>7239.01</v>
      </c>
      <c r="M54" s="203">
        <f t="shared" si="21"/>
        <v>-23.95</v>
      </c>
      <c r="N54" s="204">
        <f t="shared" si="22"/>
        <v>-0.35</v>
      </c>
      <c r="O54" s="205">
        <f t="shared" si="23"/>
        <v>0</v>
      </c>
      <c r="P54" s="206">
        <f t="shared" si="24"/>
        <v>0</v>
      </c>
      <c r="Q54" s="206">
        <f t="shared" si="25"/>
        <v>-0.35</v>
      </c>
      <c r="R5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97590</v>
      </c>
      <c r="T5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54" s="208">
        <f ca="1">IF(Tabla336106734823[[#This Row],[Equity]]&lt;Tabla336106734823[[#This Row],[Equity Peak]],(Tabla336106734823[[#This Row],[Equity Peak]]-Tabla336106734823[[#This Row],[Equity]])/Tabla336106734823[[#This Row],[Equity Peak]],"")</f>
        <v>3.690910885226488E-2</v>
      </c>
      <c r="V54" s="209">
        <f t="shared" si="26"/>
        <v>0</v>
      </c>
      <c r="W54" s="209">
        <f t="shared" si="27"/>
        <v>0</v>
      </c>
      <c r="X54" s="209">
        <f t="shared" si="28"/>
        <v>0</v>
      </c>
      <c r="Y54" s="209">
        <f t="shared" si="29"/>
        <v>0</v>
      </c>
      <c r="Z54" s="209">
        <f t="shared" si="30"/>
        <v>-0.35</v>
      </c>
      <c r="AA54" s="205">
        <f t="shared" si="31"/>
        <v>0</v>
      </c>
      <c r="AB54" s="209">
        <f t="shared" si="32"/>
        <v>0</v>
      </c>
      <c r="AC54" s="205">
        <f t="shared" si="33"/>
        <v>0</v>
      </c>
      <c r="AD54" s="210">
        <f t="shared" si="34"/>
        <v>1.164583333338669</v>
      </c>
      <c r="AE54" s="210">
        <f t="shared" si="35"/>
        <v>0</v>
      </c>
      <c r="AF54" s="210">
        <f t="shared" si="36"/>
        <v>1.164583333338669</v>
      </c>
      <c r="AG54" s="210">
        <f t="shared" si="37"/>
        <v>0</v>
      </c>
    </row>
    <row r="55" spans="2:33" ht="15" customHeight="1" x14ac:dyDescent="0.3">
      <c r="B55" s="196" t="s">
        <v>5</v>
      </c>
      <c r="C55" s="197" t="s">
        <v>15</v>
      </c>
      <c r="D55" s="198" t="str">
        <f t="shared" si="19"/>
        <v>C</v>
      </c>
      <c r="E55" s="199">
        <v>44536.791666666664</v>
      </c>
      <c r="F55" s="200" t="s">
        <v>94</v>
      </c>
      <c r="G55" s="201">
        <v>7221.77</v>
      </c>
      <c r="H55" s="201">
        <v>7123.92</v>
      </c>
      <c r="I55" s="202">
        <f t="shared" si="20"/>
        <v>97.850000000000364</v>
      </c>
      <c r="J55" s="201">
        <v>7711.01</v>
      </c>
      <c r="K55" s="199">
        <v>44540.321527777778</v>
      </c>
      <c r="L55" s="201">
        <v>7293.81</v>
      </c>
      <c r="M55" s="203">
        <f t="shared" si="21"/>
        <v>72.040000000000006</v>
      </c>
      <c r="N55" s="204">
        <f t="shared" si="22"/>
        <v>0.74</v>
      </c>
      <c r="O55" s="205">
        <f t="shared" si="23"/>
        <v>0</v>
      </c>
      <c r="P55" s="206">
        <f t="shared" si="24"/>
        <v>0.74</v>
      </c>
      <c r="Q55" s="206">
        <f t="shared" si="25"/>
        <v>0</v>
      </c>
      <c r="R5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97940</v>
      </c>
      <c r="T5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55" s="208">
        <f ca="1">IF(Tabla336106734823[[#This Row],[Equity]]&lt;Tabla336106734823[[#This Row],[Equity Peak]],(Tabla336106734823[[#This Row],[Equity Peak]]-Tabla336106734823[[#This Row],[Equity]])/Tabla336106734823[[#This Row],[Equity Peak]],"")</f>
        <v>3.3455047863416562E-2</v>
      </c>
      <c r="V55" s="209">
        <f t="shared" si="26"/>
        <v>0</v>
      </c>
      <c r="W55" s="209">
        <f t="shared" si="27"/>
        <v>0</v>
      </c>
      <c r="X55" s="209">
        <f t="shared" si="28"/>
        <v>0</v>
      </c>
      <c r="Y55" s="209">
        <f t="shared" si="29"/>
        <v>0</v>
      </c>
      <c r="Z55" s="209">
        <f t="shared" si="30"/>
        <v>0.74</v>
      </c>
      <c r="AA55" s="205">
        <f t="shared" si="31"/>
        <v>0</v>
      </c>
      <c r="AB55" s="209">
        <f t="shared" si="32"/>
        <v>0</v>
      </c>
      <c r="AC55" s="205">
        <f t="shared" si="33"/>
        <v>0</v>
      </c>
      <c r="AD55" s="210">
        <f t="shared" si="34"/>
        <v>3.5298611111138598</v>
      </c>
      <c r="AE55" s="210">
        <f t="shared" si="35"/>
        <v>3.5298611111138598</v>
      </c>
      <c r="AF55" s="210">
        <f t="shared" si="36"/>
        <v>0</v>
      </c>
      <c r="AG55" s="210">
        <f t="shared" si="37"/>
        <v>0</v>
      </c>
    </row>
    <row r="56" spans="2:33" ht="15" customHeight="1" x14ac:dyDescent="0.3">
      <c r="B56" s="196" t="s">
        <v>5</v>
      </c>
      <c r="C56" s="197" t="s">
        <v>13</v>
      </c>
      <c r="D56" s="198" t="str">
        <f t="shared" si="19"/>
        <v>C</v>
      </c>
      <c r="E56" s="199">
        <v>44526.291666666664</v>
      </c>
      <c r="F56" s="200" t="s">
        <v>94</v>
      </c>
      <c r="G56" s="201">
        <v>7184.88</v>
      </c>
      <c r="H56" s="201">
        <v>7264.85</v>
      </c>
      <c r="I56" s="202">
        <f t="shared" si="20"/>
        <v>79.970000000000255</v>
      </c>
      <c r="J56" s="201">
        <v>6785.04</v>
      </c>
      <c r="K56" s="199">
        <v>44529.128472222219</v>
      </c>
      <c r="L56" s="201">
        <v>7133.82</v>
      </c>
      <c r="M56" s="203">
        <f t="shared" si="21"/>
        <v>51.06</v>
      </c>
      <c r="N56" s="204">
        <f t="shared" si="22"/>
        <v>0.64</v>
      </c>
      <c r="O56" s="205">
        <f t="shared" si="23"/>
        <v>0</v>
      </c>
      <c r="P56" s="206">
        <f t="shared" si="24"/>
        <v>0.64</v>
      </c>
      <c r="Q56" s="206">
        <f t="shared" si="25"/>
        <v>0</v>
      </c>
      <c r="R5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97200</v>
      </c>
      <c r="T5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56" s="208">
        <f ca="1">IF(Tabla336106734823[[#This Row],[Equity]]&lt;Tabla336106734823[[#This Row],[Equity Peak]],(Tabla336106734823[[#This Row],[Equity Peak]]-Tabla336106734823[[#This Row],[Equity]])/Tabla336106734823[[#This Row],[Equity Peak]],"")</f>
        <v>4.0757919668410143E-2</v>
      </c>
      <c r="V56" s="209">
        <f t="shared" si="26"/>
        <v>0</v>
      </c>
      <c r="W56" s="209">
        <f t="shared" si="27"/>
        <v>0</v>
      </c>
      <c r="X56" s="209">
        <f t="shared" si="28"/>
        <v>0</v>
      </c>
      <c r="Y56" s="209">
        <f t="shared" si="29"/>
        <v>0</v>
      </c>
      <c r="Z56" s="209">
        <f t="shared" si="30"/>
        <v>0.64</v>
      </c>
      <c r="AA56" s="205">
        <f t="shared" si="31"/>
        <v>0</v>
      </c>
      <c r="AB56" s="209">
        <f t="shared" si="32"/>
        <v>0</v>
      </c>
      <c r="AC56" s="205">
        <f t="shared" si="33"/>
        <v>0</v>
      </c>
      <c r="AD56" s="210">
        <f t="shared" si="34"/>
        <v>2.8368055555547471</v>
      </c>
      <c r="AE56" s="210">
        <f t="shared" si="35"/>
        <v>2.8368055555547471</v>
      </c>
      <c r="AF56" s="210">
        <f t="shared" si="36"/>
        <v>0</v>
      </c>
      <c r="AG56" s="210">
        <f t="shared" si="37"/>
        <v>0</v>
      </c>
    </row>
    <row r="57" spans="2:33" ht="15" customHeight="1" x14ac:dyDescent="0.3">
      <c r="B57" s="196" t="s">
        <v>5</v>
      </c>
      <c r="C57" s="197" t="s">
        <v>15</v>
      </c>
      <c r="D57" s="198" t="str">
        <f t="shared" si="19"/>
        <v>C</v>
      </c>
      <c r="E57" s="199">
        <v>44525.125</v>
      </c>
      <c r="F57" s="200" t="s">
        <v>94</v>
      </c>
      <c r="G57" s="201">
        <v>7298.64</v>
      </c>
      <c r="H57" s="201">
        <v>7217.76</v>
      </c>
      <c r="I57" s="202">
        <f t="shared" si="20"/>
        <v>80.880000000000109</v>
      </c>
      <c r="J57" s="201">
        <v>7703.05</v>
      </c>
      <c r="K57" s="199">
        <v>44526.125</v>
      </c>
      <c r="L57" s="201">
        <v>7263.57</v>
      </c>
      <c r="M57" s="203">
        <f t="shared" si="21"/>
        <v>-35.07</v>
      </c>
      <c r="N57" s="204">
        <f t="shared" si="22"/>
        <v>-0.43</v>
      </c>
      <c r="O57" s="205">
        <f t="shared" si="23"/>
        <v>0</v>
      </c>
      <c r="P57" s="206">
        <f t="shared" si="24"/>
        <v>0</v>
      </c>
      <c r="Q57" s="206">
        <f t="shared" si="25"/>
        <v>-0.43</v>
      </c>
      <c r="R5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96560</v>
      </c>
      <c r="T5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57" s="208">
        <f ca="1">IF(Tabla336106734823[[#This Row],[Equity]]&lt;Tabla336106734823[[#This Row],[Equity Peak]],(Tabla336106734823[[#This Row],[Equity Peak]]-Tabla336106734823[[#This Row],[Equity]])/Tabla336106734823[[#This Row],[Equity Peak]],"")</f>
        <v>4.7073916905161356E-2</v>
      </c>
      <c r="V57" s="209">
        <f t="shared" si="26"/>
        <v>0</v>
      </c>
      <c r="W57" s="209">
        <f t="shared" si="27"/>
        <v>0</v>
      </c>
      <c r="X57" s="209">
        <f t="shared" si="28"/>
        <v>0</v>
      </c>
      <c r="Y57" s="209">
        <f t="shared" si="29"/>
        <v>0</v>
      </c>
      <c r="Z57" s="209">
        <f t="shared" si="30"/>
        <v>-0.43</v>
      </c>
      <c r="AA57" s="205">
        <f t="shared" si="31"/>
        <v>0</v>
      </c>
      <c r="AB57" s="209">
        <f t="shared" si="32"/>
        <v>0</v>
      </c>
      <c r="AC57" s="205">
        <f t="shared" si="33"/>
        <v>0</v>
      </c>
      <c r="AD57" s="210">
        <f t="shared" si="34"/>
        <v>1</v>
      </c>
      <c r="AE57" s="210">
        <f t="shared" si="35"/>
        <v>0</v>
      </c>
      <c r="AF57" s="210">
        <f t="shared" si="36"/>
        <v>1</v>
      </c>
      <c r="AG57" s="210">
        <f t="shared" si="37"/>
        <v>0</v>
      </c>
    </row>
    <row r="58" spans="2:33" ht="15" customHeight="1" x14ac:dyDescent="0.3">
      <c r="B58" s="196" t="s">
        <v>5</v>
      </c>
      <c r="C58" s="197" t="s">
        <v>13</v>
      </c>
      <c r="D58" s="198" t="str">
        <f t="shared" si="19"/>
        <v>C</v>
      </c>
      <c r="E58" s="199">
        <v>44517.791666666664</v>
      </c>
      <c r="F58" s="200" t="s">
        <v>94</v>
      </c>
      <c r="G58" s="201">
        <v>7290.63</v>
      </c>
      <c r="H58" s="201">
        <v>7338.76</v>
      </c>
      <c r="I58" s="202">
        <f t="shared" si="20"/>
        <v>48.130000000000109</v>
      </c>
      <c r="J58" s="201">
        <v>7049.97</v>
      </c>
      <c r="K58" s="199">
        <v>44519.350694444445</v>
      </c>
      <c r="L58" s="201">
        <v>7293.65</v>
      </c>
      <c r="M58" s="203">
        <f t="shared" si="21"/>
        <v>-3.02</v>
      </c>
      <c r="N58" s="204">
        <f t="shared" si="22"/>
        <v>-0.06</v>
      </c>
      <c r="O58" s="205">
        <f t="shared" si="23"/>
        <v>0</v>
      </c>
      <c r="P58" s="206">
        <f t="shared" si="24"/>
        <v>0</v>
      </c>
      <c r="Q58" s="206">
        <f t="shared" si="25"/>
        <v>-0.06</v>
      </c>
      <c r="R5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96990</v>
      </c>
      <c r="T5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58" s="208">
        <f ca="1">IF(Tabla336106734823[[#This Row],[Equity]]&lt;Tabla336106734823[[#This Row],[Equity Peak]],(Tabla336106734823[[#This Row],[Equity Peak]]-Tabla336106734823[[#This Row],[Equity]])/Tabla336106734823[[#This Row],[Equity Peak]],"")</f>
        <v>4.2830356261719132E-2</v>
      </c>
      <c r="V58" s="209">
        <f t="shared" si="26"/>
        <v>0</v>
      </c>
      <c r="W58" s="209">
        <f t="shared" si="27"/>
        <v>0</v>
      </c>
      <c r="X58" s="209">
        <f t="shared" si="28"/>
        <v>0</v>
      </c>
      <c r="Y58" s="209">
        <f t="shared" si="29"/>
        <v>0</v>
      </c>
      <c r="Z58" s="209">
        <f t="shared" si="30"/>
        <v>-0.06</v>
      </c>
      <c r="AA58" s="205">
        <f t="shared" si="31"/>
        <v>0</v>
      </c>
      <c r="AB58" s="209">
        <f t="shared" si="32"/>
        <v>0</v>
      </c>
      <c r="AC58" s="205">
        <f t="shared" si="33"/>
        <v>0</v>
      </c>
      <c r="AD58" s="210">
        <f t="shared" si="34"/>
        <v>1.5590277777810115</v>
      </c>
      <c r="AE58" s="210">
        <f t="shared" si="35"/>
        <v>0</v>
      </c>
      <c r="AF58" s="210">
        <f t="shared" si="36"/>
        <v>1.5590277777810115</v>
      </c>
      <c r="AG58" s="210">
        <f t="shared" si="37"/>
        <v>0</v>
      </c>
    </row>
    <row r="59" spans="2:33" ht="15" customHeight="1" x14ac:dyDescent="0.3">
      <c r="B59" s="196" t="s">
        <v>5</v>
      </c>
      <c r="C59" s="197" t="s">
        <v>15</v>
      </c>
      <c r="D59" s="198" t="str">
        <f t="shared" si="19"/>
        <v>C</v>
      </c>
      <c r="E59" s="199">
        <v>44476.625</v>
      </c>
      <c r="F59" s="200" t="s">
        <v>94</v>
      </c>
      <c r="G59" s="201">
        <v>7065.07</v>
      </c>
      <c r="H59" s="201">
        <v>6981.66</v>
      </c>
      <c r="I59" s="202">
        <f t="shared" si="20"/>
        <v>83.409999999999854</v>
      </c>
      <c r="J59" s="201">
        <v>7482.11</v>
      </c>
      <c r="K59" s="199">
        <v>44481.37777777778</v>
      </c>
      <c r="L59" s="201">
        <v>7075.74</v>
      </c>
      <c r="M59" s="203">
        <f t="shared" si="21"/>
        <v>10.67</v>
      </c>
      <c r="N59" s="204">
        <f t="shared" si="22"/>
        <v>0.13</v>
      </c>
      <c r="O59" s="205">
        <f t="shared" si="23"/>
        <v>0</v>
      </c>
      <c r="P59" s="206">
        <f t="shared" si="24"/>
        <v>0.13</v>
      </c>
      <c r="Q59" s="206">
        <f t="shared" si="25"/>
        <v>0</v>
      </c>
      <c r="R5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97050</v>
      </c>
      <c r="T5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59" s="208">
        <f ca="1">IF(Tabla336106734823[[#This Row],[Equity]]&lt;Tabla336106734823[[#This Row],[Equity Peak]],(Tabla336106734823[[#This Row],[Equity Peak]]-Tabla336106734823[[#This Row],[Equity]])/Tabla336106734823[[#This Row],[Equity Peak]],"")</f>
        <v>4.223823152077371E-2</v>
      </c>
      <c r="V59" s="209">
        <f t="shared" si="26"/>
        <v>0</v>
      </c>
      <c r="W59" s="209">
        <f t="shared" si="27"/>
        <v>0</v>
      </c>
      <c r="X59" s="209">
        <f t="shared" si="28"/>
        <v>0</v>
      </c>
      <c r="Y59" s="209">
        <f t="shared" si="29"/>
        <v>0</v>
      </c>
      <c r="Z59" s="209">
        <f t="shared" si="30"/>
        <v>0.13</v>
      </c>
      <c r="AA59" s="205">
        <f t="shared" si="31"/>
        <v>0</v>
      </c>
      <c r="AB59" s="209">
        <f t="shared" si="32"/>
        <v>0</v>
      </c>
      <c r="AC59" s="205">
        <f t="shared" si="33"/>
        <v>0</v>
      </c>
      <c r="AD59" s="210">
        <f t="shared" si="34"/>
        <v>4.7527777777795563</v>
      </c>
      <c r="AE59" s="210">
        <f t="shared" si="35"/>
        <v>4.7527777777795563</v>
      </c>
      <c r="AF59" s="210">
        <f t="shared" si="36"/>
        <v>0</v>
      </c>
      <c r="AG59" s="210">
        <f t="shared" si="37"/>
        <v>0</v>
      </c>
    </row>
    <row r="60" spans="2:33" ht="15" customHeight="1" x14ac:dyDescent="0.3">
      <c r="B60" s="196" t="s">
        <v>5</v>
      </c>
      <c r="C60" s="197" t="s">
        <v>13</v>
      </c>
      <c r="D60" s="198" t="str">
        <f t="shared" si="19"/>
        <v>C</v>
      </c>
      <c r="E60" s="199">
        <v>44475.458333333336</v>
      </c>
      <c r="F60" s="200" t="s">
        <v>94</v>
      </c>
      <c r="G60" s="201">
        <v>6983.09</v>
      </c>
      <c r="H60" s="201">
        <v>7071.2</v>
      </c>
      <c r="I60" s="202">
        <f t="shared" si="20"/>
        <v>88.109999999999673</v>
      </c>
      <c r="J60" s="201">
        <v>6542.56</v>
      </c>
      <c r="K60" s="199">
        <v>44475.90347222222</v>
      </c>
      <c r="L60" s="201">
        <v>7033.19</v>
      </c>
      <c r="M60" s="203">
        <f t="shared" si="21"/>
        <v>-50.1</v>
      </c>
      <c r="N60" s="204">
        <f t="shared" si="22"/>
        <v>-0.56999999999999995</v>
      </c>
      <c r="O60" s="205">
        <f t="shared" si="23"/>
        <v>0</v>
      </c>
      <c r="P60" s="206">
        <f t="shared" si="24"/>
        <v>0</v>
      </c>
      <c r="Q60" s="206">
        <f t="shared" si="25"/>
        <v>-0.56999999999999995</v>
      </c>
      <c r="R6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96920</v>
      </c>
      <c r="T6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60" s="208">
        <f ca="1">IF(Tabla336106734823[[#This Row],[Equity]]&lt;Tabla336106734823[[#This Row],[Equity Peak]],(Tabla336106734823[[#This Row],[Equity Peak]]-Tabla336106734823[[#This Row],[Equity]])/Tabla336106734823[[#This Row],[Equity Peak]],"")</f>
        <v>4.35211684594888E-2</v>
      </c>
      <c r="V60" s="209">
        <f t="shared" si="26"/>
        <v>0</v>
      </c>
      <c r="W60" s="209">
        <f t="shared" si="27"/>
        <v>0</v>
      </c>
      <c r="X60" s="209">
        <f t="shared" si="28"/>
        <v>0</v>
      </c>
      <c r="Y60" s="209">
        <f t="shared" si="29"/>
        <v>0</v>
      </c>
      <c r="Z60" s="209">
        <f t="shared" si="30"/>
        <v>-0.56999999999999995</v>
      </c>
      <c r="AA60" s="205">
        <f t="shared" si="31"/>
        <v>0</v>
      </c>
      <c r="AB60" s="209">
        <f t="shared" si="32"/>
        <v>0</v>
      </c>
      <c r="AC60" s="205">
        <f t="shared" si="33"/>
        <v>0</v>
      </c>
      <c r="AD60" s="210">
        <f t="shared" si="34"/>
        <v>0.445138888884685</v>
      </c>
      <c r="AE60" s="210">
        <f t="shared" si="35"/>
        <v>0</v>
      </c>
      <c r="AF60" s="210">
        <f t="shared" si="36"/>
        <v>0.445138888884685</v>
      </c>
      <c r="AG60" s="210">
        <f t="shared" si="37"/>
        <v>0</v>
      </c>
    </row>
    <row r="61" spans="2:33" ht="15" customHeight="1" x14ac:dyDescent="0.3">
      <c r="B61" s="196" t="s">
        <v>5</v>
      </c>
      <c r="C61" s="197" t="s">
        <v>15</v>
      </c>
      <c r="D61" s="198" t="str">
        <f t="shared" si="19"/>
        <v>C</v>
      </c>
      <c r="E61" s="199">
        <v>44474.791666666664</v>
      </c>
      <c r="F61" s="200" t="s">
        <v>94</v>
      </c>
      <c r="G61" s="201">
        <v>7079.24</v>
      </c>
      <c r="H61" s="201">
        <v>6985.57</v>
      </c>
      <c r="I61" s="202">
        <f t="shared" si="20"/>
        <v>93.670000000000073</v>
      </c>
      <c r="J61" s="201">
        <v>7547.61</v>
      </c>
      <c r="K61" s="199">
        <v>44475.421527777777</v>
      </c>
      <c r="L61" s="201">
        <v>7008.16</v>
      </c>
      <c r="M61" s="203">
        <f t="shared" si="21"/>
        <v>-71.08</v>
      </c>
      <c r="N61" s="204">
        <f t="shared" si="22"/>
        <v>-0.76</v>
      </c>
      <c r="O61" s="205">
        <f t="shared" si="23"/>
        <v>0</v>
      </c>
      <c r="P61" s="206">
        <f t="shared" si="24"/>
        <v>0</v>
      </c>
      <c r="Q61" s="206">
        <f t="shared" si="25"/>
        <v>-0.76</v>
      </c>
      <c r="R6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97490</v>
      </c>
      <c r="T6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61" s="208">
        <f ca="1">IF(Tabla336106734823[[#This Row],[Equity]]&lt;Tabla336106734823[[#This Row],[Equity Peak]],(Tabla336106734823[[#This Row],[Equity Peak]]-Tabla336106734823[[#This Row],[Equity]])/Tabla336106734823[[#This Row],[Equity Peak]],"")</f>
        <v>3.7895983420507255E-2</v>
      </c>
      <c r="V61" s="209">
        <f t="shared" si="26"/>
        <v>0</v>
      </c>
      <c r="W61" s="209">
        <f t="shared" si="27"/>
        <v>0</v>
      </c>
      <c r="X61" s="209">
        <f t="shared" si="28"/>
        <v>0</v>
      </c>
      <c r="Y61" s="209">
        <f t="shared" si="29"/>
        <v>0</v>
      </c>
      <c r="Z61" s="209">
        <f t="shared" si="30"/>
        <v>-0.76</v>
      </c>
      <c r="AA61" s="205">
        <f t="shared" si="31"/>
        <v>0</v>
      </c>
      <c r="AB61" s="209">
        <f t="shared" si="32"/>
        <v>0</v>
      </c>
      <c r="AC61" s="205">
        <f t="shared" si="33"/>
        <v>0</v>
      </c>
      <c r="AD61" s="210">
        <f t="shared" si="34"/>
        <v>0.62986111111240461</v>
      </c>
      <c r="AE61" s="210">
        <f t="shared" si="35"/>
        <v>0</v>
      </c>
      <c r="AF61" s="210">
        <f t="shared" si="36"/>
        <v>0.62986111111240461</v>
      </c>
      <c r="AG61" s="210">
        <f t="shared" si="37"/>
        <v>0</v>
      </c>
    </row>
    <row r="62" spans="2:33" ht="15" customHeight="1" x14ac:dyDescent="0.3">
      <c r="B62" s="196" t="s">
        <v>5</v>
      </c>
      <c r="C62" s="197" t="s">
        <v>13</v>
      </c>
      <c r="D62" s="198" t="str">
        <f t="shared" si="19"/>
        <v>C</v>
      </c>
      <c r="E62" s="199">
        <v>44470.625</v>
      </c>
      <c r="F62" s="200" t="s">
        <v>94</v>
      </c>
      <c r="G62" s="201">
        <v>7035.06</v>
      </c>
      <c r="H62" s="201">
        <v>7126.01</v>
      </c>
      <c r="I62" s="202">
        <f t="shared" si="20"/>
        <v>90.949999999999818</v>
      </c>
      <c r="J62" s="201">
        <v>6580.3</v>
      </c>
      <c r="K62" s="199">
        <v>44474.791666666664</v>
      </c>
      <c r="L62" s="201">
        <v>7079.24</v>
      </c>
      <c r="M62" s="203">
        <f t="shared" si="21"/>
        <v>-44.18</v>
      </c>
      <c r="N62" s="204">
        <f t="shared" si="22"/>
        <v>-0.49</v>
      </c>
      <c r="O62" s="205">
        <f t="shared" si="23"/>
        <v>0</v>
      </c>
      <c r="P62" s="206">
        <f t="shared" si="24"/>
        <v>0</v>
      </c>
      <c r="Q62" s="206">
        <f t="shared" si="25"/>
        <v>-0.49</v>
      </c>
      <c r="R6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98250</v>
      </c>
      <c r="T6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62" s="208">
        <f ca="1">IF(Tabla336106734823[[#This Row],[Equity]]&lt;Tabla336106734823[[#This Row],[Equity Peak]],(Tabla336106734823[[#This Row],[Equity Peak]]-Tabla336106734823[[#This Row],[Equity]])/Tabla336106734823[[#This Row],[Equity Peak]],"")</f>
        <v>3.0395736701865194E-2</v>
      </c>
      <c r="V62" s="209">
        <f t="shared" si="26"/>
        <v>0</v>
      </c>
      <c r="W62" s="209">
        <f t="shared" si="27"/>
        <v>0</v>
      </c>
      <c r="X62" s="209">
        <f t="shared" si="28"/>
        <v>0</v>
      </c>
      <c r="Y62" s="209">
        <f t="shared" si="29"/>
        <v>0</v>
      </c>
      <c r="Z62" s="209">
        <f t="shared" si="30"/>
        <v>-0.49</v>
      </c>
      <c r="AA62" s="205">
        <f t="shared" si="31"/>
        <v>0</v>
      </c>
      <c r="AB62" s="209">
        <f t="shared" si="32"/>
        <v>0</v>
      </c>
      <c r="AC62" s="205">
        <f t="shared" si="33"/>
        <v>0</v>
      </c>
      <c r="AD62" s="210">
        <f t="shared" si="34"/>
        <v>4.1666666666642413</v>
      </c>
      <c r="AE62" s="210">
        <f t="shared" si="35"/>
        <v>0</v>
      </c>
      <c r="AF62" s="210">
        <f t="shared" si="36"/>
        <v>4.1666666666642413</v>
      </c>
      <c r="AG62" s="210">
        <f t="shared" si="37"/>
        <v>0</v>
      </c>
    </row>
    <row r="63" spans="2:33" ht="15" customHeight="1" x14ac:dyDescent="0.3">
      <c r="B63" s="196" t="s">
        <v>5</v>
      </c>
      <c r="C63" s="197" t="s">
        <v>15</v>
      </c>
      <c r="D63" s="198" t="str">
        <f t="shared" si="19"/>
        <v>C</v>
      </c>
      <c r="E63" s="199">
        <v>44468.458333333336</v>
      </c>
      <c r="F63" s="200" t="s">
        <v>94</v>
      </c>
      <c r="G63" s="201">
        <v>7089.21</v>
      </c>
      <c r="H63" s="201">
        <v>7003.78</v>
      </c>
      <c r="I63" s="202">
        <f t="shared" si="20"/>
        <v>85.430000000000291</v>
      </c>
      <c r="J63" s="201">
        <v>7516.34</v>
      </c>
      <c r="K63" s="199">
        <v>44469.693055555559</v>
      </c>
      <c r="L63" s="201">
        <v>7086.94</v>
      </c>
      <c r="M63" s="203">
        <f t="shared" si="21"/>
        <v>-2.27</v>
      </c>
      <c r="N63" s="204">
        <f t="shared" si="22"/>
        <v>-0.03</v>
      </c>
      <c r="O63" s="205">
        <f t="shared" si="23"/>
        <v>0</v>
      </c>
      <c r="P63" s="206">
        <f t="shared" si="24"/>
        <v>0</v>
      </c>
      <c r="Q63" s="206">
        <f t="shared" si="25"/>
        <v>-0.03</v>
      </c>
      <c r="R6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98740</v>
      </c>
      <c r="T6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63" s="208">
        <f ca="1">IF(Tabla336106734823[[#This Row],[Equity]]&lt;Tabla336106734823[[#This Row],[Equity Peak]],(Tabla336106734823[[#This Row],[Equity Peak]]-Tabla336106734823[[#This Row],[Equity]])/Tabla336106734823[[#This Row],[Equity Peak]],"")</f>
        <v>2.5560051317477548E-2</v>
      </c>
      <c r="V63" s="209">
        <f t="shared" si="26"/>
        <v>0</v>
      </c>
      <c r="W63" s="209">
        <f t="shared" si="27"/>
        <v>0</v>
      </c>
      <c r="X63" s="209">
        <f t="shared" si="28"/>
        <v>0</v>
      </c>
      <c r="Y63" s="209">
        <f t="shared" si="29"/>
        <v>0</v>
      </c>
      <c r="Z63" s="209">
        <f t="shared" si="30"/>
        <v>-0.03</v>
      </c>
      <c r="AA63" s="205">
        <f t="shared" si="31"/>
        <v>0</v>
      </c>
      <c r="AB63" s="209">
        <f t="shared" si="32"/>
        <v>0</v>
      </c>
      <c r="AC63" s="205">
        <f t="shared" si="33"/>
        <v>0</v>
      </c>
      <c r="AD63" s="210">
        <f t="shared" si="34"/>
        <v>1.234722222223354</v>
      </c>
      <c r="AE63" s="210">
        <f t="shared" si="35"/>
        <v>0</v>
      </c>
      <c r="AF63" s="210">
        <f t="shared" si="36"/>
        <v>1.234722222223354</v>
      </c>
      <c r="AG63" s="210">
        <f t="shared" si="37"/>
        <v>0</v>
      </c>
    </row>
    <row r="64" spans="2:33" ht="15" customHeight="1" x14ac:dyDescent="0.3">
      <c r="B64" s="196" t="s">
        <v>5</v>
      </c>
      <c r="C64" s="197" t="s">
        <v>13</v>
      </c>
      <c r="D64" s="198" t="str">
        <f t="shared" si="19"/>
        <v>C</v>
      </c>
      <c r="E64" s="199">
        <v>44467.791666666664</v>
      </c>
      <c r="F64" s="200" t="s">
        <v>94</v>
      </c>
      <c r="G64" s="201">
        <v>7025.15</v>
      </c>
      <c r="H64" s="201">
        <v>7102.93</v>
      </c>
      <c r="I64" s="202">
        <f t="shared" si="20"/>
        <v>77.780000000000655</v>
      </c>
      <c r="J64" s="201">
        <v>6636.24</v>
      </c>
      <c r="K64" s="199">
        <v>44468.432638888888</v>
      </c>
      <c r="L64" s="201">
        <v>7081.07</v>
      </c>
      <c r="M64" s="203">
        <f t="shared" si="21"/>
        <v>-55.92</v>
      </c>
      <c r="N64" s="204">
        <f t="shared" si="22"/>
        <v>-0.72</v>
      </c>
      <c r="O64" s="205">
        <f t="shared" si="23"/>
        <v>0</v>
      </c>
      <c r="P64" s="206">
        <f t="shared" si="24"/>
        <v>0</v>
      </c>
      <c r="Q64" s="206">
        <f t="shared" si="25"/>
        <v>-0.72</v>
      </c>
      <c r="R6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98770</v>
      </c>
      <c r="T6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64" s="208">
        <f ca="1">IF(Tabla336106734823[[#This Row],[Equity]]&lt;Tabla336106734823[[#This Row],[Equity Peak]],(Tabla336106734823[[#This Row],[Equity Peak]]-Tabla336106734823[[#This Row],[Equity]])/Tabla336106734823[[#This Row],[Equity Peak]],"")</f>
        <v>2.5263988947004837E-2</v>
      </c>
      <c r="V64" s="209">
        <f t="shared" si="26"/>
        <v>0</v>
      </c>
      <c r="W64" s="209">
        <f t="shared" si="27"/>
        <v>0</v>
      </c>
      <c r="X64" s="209">
        <f t="shared" si="28"/>
        <v>0</v>
      </c>
      <c r="Y64" s="209">
        <f t="shared" si="29"/>
        <v>0</v>
      </c>
      <c r="Z64" s="209">
        <f t="shared" si="30"/>
        <v>-0.72</v>
      </c>
      <c r="AA64" s="205">
        <f t="shared" si="31"/>
        <v>0</v>
      </c>
      <c r="AB64" s="209">
        <f t="shared" si="32"/>
        <v>0</v>
      </c>
      <c r="AC64" s="205">
        <f t="shared" si="33"/>
        <v>0</v>
      </c>
      <c r="AD64" s="210">
        <f t="shared" si="34"/>
        <v>0.64097222222335404</v>
      </c>
      <c r="AE64" s="210">
        <f t="shared" si="35"/>
        <v>0</v>
      </c>
      <c r="AF64" s="210">
        <f t="shared" si="36"/>
        <v>0.64097222222335404</v>
      </c>
      <c r="AG64" s="210">
        <f t="shared" si="37"/>
        <v>0</v>
      </c>
    </row>
    <row r="65" spans="2:33" ht="15" customHeight="1" x14ac:dyDescent="0.3">
      <c r="B65" s="196" t="s">
        <v>5</v>
      </c>
      <c r="C65" s="197" t="s">
        <v>15</v>
      </c>
      <c r="D65" s="198" t="str">
        <f t="shared" ref="D65:D74" si="38">IF(E65&lt;&gt;"",IF(K65&lt;&gt;"","C","O"),"")</f>
        <v>C</v>
      </c>
      <c r="E65" s="199">
        <v>44189.166666666664</v>
      </c>
      <c r="F65" s="200" t="s">
        <v>94</v>
      </c>
      <c r="G65" s="201">
        <v>6519.06</v>
      </c>
      <c r="H65" s="201">
        <v>6435.8</v>
      </c>
      <c r="I65" s="202">
        <f t="shared" ref="I65:I74" si="39">ABS(G65-H65)</f>
        <v>83.260000000000218</v>
      </c>
      <c r="J65" s="201">
        <v>6935.34</v>
      </c>
      <c r="K65" s="199">
        <v>44194.815972222219</v>
      </c>
      <c r="L65" s="201">
        <v>6586.85</v>
      </c>
      <c r="M65" s="203">
        <f t="shared" ref="M65:M74" si="40">ROUND(IF(C65="L",(L65-G65),(G65-L65)),4)</f>
        <v>67.790000000000006</v>
      </c>
      <c r="N65" s="204">
        <f t="shared" ref="N65:N74" si="41">IFERROR(ROUND((M65/I65),2),"")</f>
        <v>0.81</v>
      </c>
      <c r="O65" s="205">
        <f t="shared" ref="O65:O74" si="42">IF(D65="O",IF(N65&lt;0,N65,0),0)</f>
        <v>0</v>
      </c>
      <c r="P65" s="206">
        <f t="shared" ref="P65:P74" si="43">IF(N65&gt;= 0,N65,0)</f>
        <v>0.81</v>
      </c>
      <c r="Q65" s="206">
        <f t="shared" ref="Q65:Q74" si="44">IF(N65&lt;0,N65,0)</f>
        <v>0</v>
      </c>
      <c r="R6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99490</v>
      </c>
      <c r="T6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65" s="208">
        <f ca="1">IF(Tabla336106734823[[#This Row],[Equity]]&lt;Tabla336106734823[[#This Row],[Equity Peak]],(Tabla336106734823[[#This Row],[Equity Peak]]-Tabla336106734823[[#This Row],[Equity]])/Tabla336106734823[[#This Row],[Equity Peak]],"")</f>
        <v>1.8158492055659725E-2</v>
      </c>
      <c r="V65" s="209">
        <f t="shared" ref="V65:V74" si="45">IF(B65="FX",N65,0)</f>
        <v>0</v>
      </c>
      <c r="W65" s="209">
        <f t="shared" ref="W65:W74" si="46">IF(D65="O",IF(V65&lt;0,V65,0),0)</f>
        <v>0</v>
      </c>
      <c r="X65" s="209">
        <f t="shared" ref="X65:X74" si="47">IF(B65="COM",N65,0)</f>
        <v>0</v>
      </c>
      <c r="Y65" s="209">
        <f t="shared" ref="Y65:Y74" si="48">IF(D65="O",IF(X65&lt;0,X65,0),0)</f>
        <v>0</v>
      </c>
      <c r="Z65" s="209">
        <f t="shared" ref="Z65:Z74" si="49">IF(B65="IND",N65,0)</f>
        <v>0.81</v>
      </c>
      <c r="AA65" s="205">
        <f t="shared" ref="AA65:AA74" si="50">IF(D65="O",IF(Z65&lt;0,Z65,0),0)</f>
        <v>0</v>
      </c>
      <c r="AB65" s="209">
        <f t="shared" ref="AB65:AB74" si="51">IF(B65="CRYPTO",N65,0)</f>
        <v>0</v>
      </c>
      <c r="AC65" s="205">
        <f t="shared" ref="AC65:AC74" si="52">IF(D65="O",IF(AB65&lt;0,AB65,0),0)</f>
        <v>0</v>
      </c>
      <c r="AD65" s="210">
        <f t="shared" ref="AD65:AD74" si="53">IF(K65&lt;&gt;"",K65-E65,0)</f>
        <v>5.6493055555547471</v>
      </c>
      <c r="AE65" s="210">
        <f t="shared" ref="AE65:AE74" si="54">IF(N65&gt;0,AD65,0)</f>
        <v>5.6493055555547471</v>
      </c>
      <c r="AF65" s="210">
        <f t="shared" ref="AF65:AF74" si="55">IF(N65&lt;0,AD65,0)</f>
        <v>0</v>
      </c>
      <c r="AG65" s="210">
        <f t="shared" ref="AG65:AG74" si="56">IF(N65=0,AD65,0)</f>
        <v>0</v>
      </c>
    </row>
    <row r="66" spans="2:33" ht="15" customHeight="1" x14ac:dyDescent="0.3">
      <c r="B66" s="196" t="s">
        <v>5</v>
      </c>
      <c r="C66" s="197" t="s">
        <v>13</v>
      </c>
      <c r="D66" s="198" t="str">
        <f t="shared" si="38"/>
        <v>C</v>
      </c>
      <c r="E66" s="199">
        <v>44186.208333333336</v>
      </c>
      <c r="F66" s="200" t="s">
        <v>94</v>
      </c>
      <c r="G66" s="201">
        <v>6445.6</v>
      </c>
      <c r="H66" s="201">
        <v>6526.09</v>
      </c>
      <c r="I66" s="202">
        <f t="shared" si="39"/>
        <v>80.489999999999782</v>
      </c>
      <c r="J66" s="201">
        <v>6043.13</v>
      </c>
      <c r="K66" s="199">
        <v>44186.781944444447</v>
      </c>
      <c r="L66" s="201">
        <v>6432.49</v>
      </c>
      <c r="M66" s="203">
        <f t="shared" si="40"/>
        <v>13.11</v>
      </c>
      <c r="N66" s="204">
        <f t="shared" si="41"/>
        <v>0.16</v>
      </c>
      <c r="O66" s="205">
        <f t="shared" si="42"/>
        <v>0</v>
      </c>
      <c r="P66" s="206">
        <f t="shared" si="43"/>
        <v>0.16</v>
      </c>
      <c r="Q66" s="206">
        <f t="shared" si="44"/>
        <v>0</v>
      </c>
      <c r="R6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98680</v>
      </c>
      <c r="T6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66" s="208">
        <f ca="1">IF(Tabla336106734823[[#This Row],[Equity]]&lt;Tabla336106734823[[#This Row],[Equity Peak]],(Tabla336106734823[[#This Row],[Equity Peak]]-Tabla336106734823[[#This Row],[Equity]])/Tabla336106734823[[#This Row],[Equity Peak]],"")</f>
        <v>2.6152176058422974E-2</v>
      </c>
      <c r="V66" s="209">
        <f t="shared" si="45"/>
        <v>0</v>
      </c>
      <c r="W66" s="209">
        <f t="shared" si="46"/>
        <v>0</v>
      </c>
      <c r="X66" s="209">
        <f t="shared" si="47"/>
        <v>0</v>
      </c>
      <c r="Y66" s="209">
        <f t="shared" si="48"/>
        <v>0</v>
      </c>
      <c r="Z66" s="209">
        <f t="shared" si="49"/>
        <v>0.16</v>
      </c>
      <c r="AA66" s="205">
        <f t="shared" si="50"/>
        <v>0</v>
      </c>
      <c r="AB66" s="209">
        <f t="shared" si="51"/>
        <v>0</v>
      </c>
      <c r="AC66" s="205">
        <f t="shared" si="52"/>
        <v>0</v>
      </c>
      <c r="AD66" s="210">
        <f t="shared" si="53"/>
        <v>0.57361111111094942</v>
      </c>
      <c r="AE66" s="210">
        <f t="shared" si="54"/>
        <v>0.57361111111094942</v>
      </c>
      <c r="AF66" s="210">
        <f t="shared" si="55"/>
        <v>0</v>
      </c>
      <c r="AG66" s="210">
        <f t="shared" si="56"/>
        <v>0</v>
      </c>
    </row>
    <row r="67" spans="2:33" ht="15" customHeight="1" x14ac:dyDescent="0.3">
      <c r="B67" s="196" t="s">
        <v>5</v>
      </c>
      <c r="C67" s="197" t="s">
        <v>15</v>
      </c>
      <c r="D67" s="198" t="str">
        <f t="shared" si="38"/>
        <v>C</v>
      </c>
      <c r="E67" s="199">
        <v>44166.666666666664</v>
      </c>
      <c r="F67" s="200" t="s">
        <v>94</v>
      </c>
      <c r="G67" s="201">
        <v>6377.52</v>
      </c>
      <c r="H67" s="201">
        <v>6265.88</v>
      </c>
      <c r="I67" s="202">
        <f t="shared" si="39"/>
        <v>111.64000000000033</v>
      </c>
      <c r="J67" s="201">
        <v>6935.73</v>
      </c>
      <c r="K67" s="199">
        <v>44176.443749999999</v>
      </c>
      <c r="L67" s="201">
        <v>6539.27</v>
      </c>
      <c r="M67" s="203">
        <f t="shared" si="40"/>
        <v>161.75</v>
      </c>
      <c r="N67" s="204">
        <f t="shared" si="41"/>
        <v>1.45</v>
      </c>
      <c r="O67" s="205">
        <f t="shared" si="42"/>
        <v>0</v>
      </c>
      <c r="P67" s="206">
        <f t="shared" si="43"/>
        <v>1.45</v>
      </c>
      <c r="Q67" s="206">
        <f t="shared" si="44"/>
        <v>0</v>
      </c>
      <c r="R6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98520</v>
      </c>
      <c r="T6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67" s="208">
        <f ca="1">IF(Tabla336106734823[[#This Row],[Equity]]&lt;Tabla336106734823[[#This Row],[Equity Peak]],(Tabla336106734823[[#This Row],[Equity Peak]]-Tabla336106734823[[#This Row],[Equity]])/Tabla336106734823[[#This Row],[Equity Peak]],"")</f>
        <v>2.7731175367610775E-2</v>
      </c>
      <c r="V67" s="209">
        <f t="shared" si="45"/>
        <v>0</v>
      </c>
      <c r="W67" s="209">
        <f t="shared" si="46"/>
        <v>0</v>
      </c>
      <c r="X67" s="209">
        <f t="shared" si="47"/>
        <v>0</v>
      </c>
      <c r="Y67" s="209">
        <f t="shared" si="48"/>
        <v>0</v>
      </c>
      <c r="Z67" s="209">
        <f t="shared" si="49"/>
        <v>1.45</v>
      </c>
      <c r="AA67" s="205">
        <f t="shared" si="50"/>
        <v>0</v>
      </c>
      <c r="AB67" s="209">
        <f t="shared" si="51"/>
        <v>0</v>
      </c>
      <c r="AC67" s="205">
        <f t="shared" si="52"/>
        <v>0</v>
      </c>
      <c r="AD67" s="210">
        <f t="shared" si="53"/>
        <v>9.7770833333343035</v>
      </c>
      <c r="AE67" s="210">
        <f t="shared" si="54"/>
        <v>9.7770833333343035</v>
      </c>
      <c r="AF67" s="210">
        <f t="shared" si="55"/>
        <v>0</v>
      </c>
      <c r="AG67" s="210">
        <f t="shared" si="56"/>
        <v>0</v>
      </c>
    </row>
    <row r="68" spans="2:33" ht="15" customHeight="1" x14ac:dyDescent="0.3">
      <c r="B68" s="196" t="s">
        <v>5</v>
      </c>
      <c r="C68" s="197" t="s">
        <v>13</v>
      </c>
      <c r="D68" s="198" t="str">
        <f t="shared" si="38"/>
        <v>C</v>
      </c>
      <c r="E68" s="199">
        <v>44165.875</v>
      </c>
      <c r="F68" s="200" t="s">
        <v>94</v>
      </c>
      <c r="G68" s="201">
        <v>6268.05</v>
      </c>
      <c r="H68" s="201">
        <v>6362.06</v>
      </c>
      <c r="I68" s="202">
        <f t="shared" si="39"/>
        <v>94.010000000000218</v>
      </c>
      <c r="J68" s="201">
        <v>5797.98</v>
      </c>
      <c r="K68" s="199">
        <v>44166.433333333334</v>
      </c>
      <c r="L68" s="201">
        <v>6337.12</v>
      </c>
      <c r="M68" s="203">
        <f t="shared" si="40"/>
        <v>-69.069999999999993</v>
      </c>
      <c r="N68" s="204">
        <f t="shared" si="41"/>
        <v>-0.73</v>
      </c>
      <c r="O68" s="205">
        <f t="shared" si="42"/>
        <v>0</v>
      </c>
      <c r="P68" s="206">
        <f t="shared" si="43"/>
        <v>0</v>
      </c>
      <c r="Q68" s="206">
        <f t="shared" si="44"/>
        <v>-0.73</v>
      </c>
      <c r="R6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97070</v>
      </c>
      <c r="T6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68" s="208">
        <f ca="1">IF(Tabla336106734823[[#This Row],[Equity]]&lt;Tabla336106734823[[#This Row],[Equity Peak]],(Tabla336106734823[[#This Row],[Equity Peak]]-Tabla336106734823[[#This Row],[Equity]])/Tabla336106734823[[#This Row],[Equity Peak]],"")</f>
        <v>4.2040856607125233E-2</v>
      </c>
      <c r="V68" s="209">
        <f t="shared" si="45"/>
        <v>0</v>
      </c>
      <c r="W68" s="209">
        <f t="shared" si="46"/>
        <v>0</v>
      </c>
      <c r="X68" s="209">
        <f t="shared" si="47"/>
        <v>0</v>
      </c>
      <c r="Y68" s="209">
        <f t="shared" si="48"/>
        <v>0</v>
      </c>
      <c r="Z68" s="209">
        <f t="shared" si="49"/>
        <v>-0.73</v>
      </c>
      <c r="AA68" s="205">
        <f t="shared" si="50"/>
        <v>0</v>
      </c>
      <c r="AB68" s="209">
        <f t="shared" si="51"/>
        <v>0</v>
      </c>
      <c r="AC68" s="205">
        <f t="shared" si="52"/>
        <v>0</v>
      </c>
      <c r="AD68" s="210">
        <f t="shared" si="53"/>
        <v>0.55833333333430346</v>
      </c>
      <c r="AE68" s="210">
        <f t="shared" si="54"/>
        <v>0</v>
      </c>
      <c r="AF68" s="210">
        <f t="shared" si="55"/>
        <v>0.55833333333430346</v>
      </c>
      <c r="AG68" s="210">
        <f t="shared" si="56"/>
        <v>0</v>
      </c>
    </row>
    <row r="69" spans="2:33" ht="15" customHeight="1" x14ac:dyDescent="0.3">
      <c r="B69" s="196" t="s">
        <v>5</v>
      </c>
      <c r="C69" s="197" t="s">
        <v>15</v>
      </c>
      <c r="D69" s="198" t="str">
        <f t="shared" si="38"/>
        <v>C</v>
      </c>
      <c r="E69" s="199">
        <v>44138.666666666664</v>
      </c>
      <c r="F69" s="200" t="s">
        <v>94</v>
      </c>
      <c r="G69" s="201">
        <v>5769.74</v>
      </c>
      <c r="H69" s="201">
        <v>5661.92</v>
      </c>
      <c r="I69" s="202">
        <f t="shared" si="39"/>
        <v>107.81999999999971</v>
      </c>
      <c r="J69" s="201">
        <v>6308.83</v>
      </c>
      <c r="K69" s="199">
        <v>44139.193749999999</v>
      </c>
      <c r="L69" s="201">
        <v>5716.92</v>
      </c>
      <c r="M69" s="203">
        <f t="shared" si="40"/>
        <v>-52.82</v>
      </c>
      <c r="N69" s="204">
        <f t="shared" si="41"/>
        <v>-0.49</v>
      </c>
      <c r="O69" s="205">
        <f t="shared" si="42"/>
        <v>0</v>
      </c>
      <c r="P69" s="206">
        <f t="shared" si="43"/>
        <v>0</v>
      </c>
      <c r="Q69" s="206">
        <f t="shared" si="44"/>
        <v>-0.49</v>
      </c>
      <c r="R6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6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97800</v>
      </c>
      <c r="T6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69" s="208">
        <f ca="1">IF(Tabla336106734823[[#This Row],[Equity]]&lt;Tabla336106734823[[#This Row],[Equity Peak]],(Tabla336106734823[[#This Row],[Equity Peak]]-Tabla336106734823[[#This Row],[Equity]])/Tabla336106734823[[#This Row],[Equity Peak]],"")</f>
        <v>3.4836672258955884E-2</v>
      </c>
      <c r="V69" s="209">
        <f t="shared" si="45"/>
        <v>0</v>
      </c>
      <c r="W69" s="209">
        <f t="shared" si="46"/>
        <v>0</v>
      </c>
      <c r="X69" s="209">
        <f t="shared" si="47"/>
        <v>0</v>
      </c>
      <c r="Y69" s="209">
        <f t="shared" si="48"/>
        <v>0</v>
      </c>
      <c r="Z69" s="209">
        <f t="shared" si="49"/>
        <v>-0.49</v>
      </c>
      <c r="AA69" s="205">
        <f t="shared" si="50"/>
        <v>0</v>
      </c>
      <c r="AB69" s="209">
        <f t="shared" si="51"/>
        <v>0</v>
      </c>
      <c r="AC69" s="205">
        <f t="shared" si="52"/>
        <v>0</v>
      </c>
      <c r="AD69" s="210">
        <f t="shared" si="53"/>
        <v>0.52708333333430346</v>
      </c>
      <c r="AE69" s="210">
        <f t="shared" si="54"/>
        <v>0</v>
      </c>
      <c r="AF69" s="210">
        <f t="shared" si="55"/>
        <v>0.52708333333430346</v>
      </c>
      <c r="AG69" s="210">
        <f t="shared" si="56"/>
        <v>0</v>
      </c>
    </row>
    <row r="70" spans="2:33" ht="15" customHeight="1" x14ac:dyDescent="0.3">
      <c r="B70" s="196" t="s">
        <v>5</v>
      </c>
      <c r="C70" s="197" t="s">
        <v>13</v>
      </c>
      <c r="D70" s="198" t="str">
        <f t="shared" si="38"/>
        <v>C</v>
      </c>
      <c r="E70" s="199">
        <v>44118.833333333336</v>
      </c>
      <c r="F70" s="200" t="s">
        <v>94</v>
      </c>
      <c r="G70" s="201">
        <v>5914.1</v>
      </c>
      <c r="H70" s="201">
        <v>5979.08</v>
      </c>
      <c r="I70" s="202">
        <f t="shared" si="39"/>
        <v>64.979999999999563</v>
      </c>
      <c r="J70" s="201">
        <v>5589.2</v>
      </c>
      <c r="K70" s="199">
        <v>44120.09652777778</v>
      </c>
      <c r="L70" s="201">
        <v>5875.94</v>
      </c>
      <c r="M70" s="203">
        <f t="shared" si="40"/>
        <v>38.159999999999997</v>
      </c>
      <c r="N70" s="204">
        <f t="shared" si="41"/>
        <v>0.59</v>
      </c>
      <c r="O70" s="205">
        <f t="shared" si="42"/>
        <v>0</v>
      </c>
      <c r="P70" s="206">
        <f t="shared" si="43"/>
        <v>0.59</v>
      </c>
      <c r="Q70" s="206">
        <f t="shared" si="44"/>
        <v>0</v>
      </c>
      <c r="R7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7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98290</v>
      </c>
      <c r="T7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70" s="208">
        <f ca="1">IF(Tabla336106734823[[#This Row],[Equity]]&lt;Tabla336106734823[[#This Row],[Equity Peak]],(Tabla336106734823[[#This Row],[Equity Peak]]-Tabla336106734823[[#This Row],[Equity]])/Tabla336106734823[[#This Row],[Equity Peak]],"")</f>
        <v>3.0000986874568241E-2</v>
      </c>
      <c r="V70" s="209">
        <f t="shared" si="45"/>
        <v>0</v>
      </c>
      <c r="W70" s="209">
        <f t="shared" si="46"/>
        <v>0</v>
      </c>
      <c r="X70" s="209">
        <f t="shared" si="47"/>
        <v>0</v>
      </c>
      <c r="Y70" s="209">
        <f t="shared" si="48"/>
        <v>0</v>
      </c>
      <c r="Z70" s="209">
        <f t="shared" si="49"/>
        <v>0.59</v>
      </c>
      <c r="AA70" s="205">
        <f t="shared" si="50"/>
        <v>0</v>
      </c>
      <c r="AB70" s="209">
        <f t="shared" si="51"/>
        <v>0</v>
      </c>
      <c r="AC70" s="205">
        <f t="shared" si="52"/>
        <v>0</v>
      </c>
      <c r="AD70" s="210">
        <f t="shared" si="53"/>
        <v>1.2631944444437977</v>
      </c>
      <c r="AE70" s="210">
        <f t="shared" si="54"/>
        <v>1.2631944444437977</v>
      </c>
      <c r="AF70" s="210">
        <f t="shared" si="55"/>
        <v>0</v>
      </c>
      <c r="AG70" s="210">
        <f t="shared" si="56"/>
        <v>0</v>
      </c>
    </row>
    <row r="71" spans="2:33" ht="15" customHeight="1" x14ac:dyDescent="0.3">
      <c r="B71" s="196" t="s">
        <v>5</v>
      </c>
      <c r="C71" s="197" t="s">
        <v>15</v>
      </c>
      <c r="D71" s="198" t="str">
        <f t="shared" si="38"/>
        <v>C</v>
      </c>
      <c r="E71" s="199">
        <v>44109.375</v>
      </c>
      <c r="F71" s="200" t="s">
        <v>94</v>
      </c>
      <c r="G71" s="201">
        <v>5949.98</v>
      </c>
      <c r="H71" s="201">
        <v>5866.51</v>
      </c>
      <c r="I71" s="202">
        <f t="shared" si="39"/>
        <v>83.469999999999345</v>
      </c>
      <c r="J71" s="201">
        <v>6367.32</v>
      </c>
      <c r="K71" s="199">
        <v>44110.921527777777</v>
      </c>
      <c r="L71" s="201">
        <v>5904.03</v>
      </c>
      <c r="M71" s="203">
        <f t="shared" si="40"/>
        <v>-45.95</v>
      </c>
      <c r="N71" s="204">
        <f t="shared" si="41"/>
        <v>-0.55000000000000004</v>
      </c>
      <c r="O71" s="205">
        <f t="shared" si="42"/>
        <v>0</v>
      </c>
      <c r="P71" s="206">
        <f t="shared" si="43"/>
        <v>0</v>
      </c>
      <c r="Q71" s="206">
        <f t="shared" si="44"/>
        <v>-0.55000000000000004</v>
      </c>
      <c r="R7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7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97700</v>
      </c>
      <c r="T7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71" s="208">
        <f ca="1">IF(Tabla336106734823[[#This Row],[Equity]]&lt;Tabla336106734823[[#This Row],[Equity Peak]],(Tabla336106734823[[#This Row],[Equity Peak]]-Tabla336106734823[[#This Row],[Equity]])/Tabla336106734823[[#This Row],[Equity Peak]],"")</f>
        <v>3.5823546827198266E-2</v>
      </c>
      <c r="V71" s="209">
        <f t="shared" si="45"/>
        <v>0</v>
      </c>
      <c r="W71" s="209">
        <f t="shared" si="46"/>
        <v>0</v>
      </c>
      <c r="X71" s="209">
        <f t="shared" si="47"/>
        <v>0</v>
      </c>
      <c r="Y71" s="209">
        <f t="shared" si="48"/>
        <v>0</v>
      </c>
      <c r="Z71" s="209">
        <f t="shared" si="49"/>
        <v>-0.55000000000000004</v>
      </c>
      <c r="AA71" s="205">
        <f t="shared" si="50"/>
        <v>0</v>
      </c>
      <c r="AB71" s="209">
        <f t="shared" si="51"/>
        <v>0</v>
      </c>
      <c r="AC71" s="205">
        <f t="shared" si="52"/>
        <v>0</v>
      </c>
      <c r="AD71" s="210">
        <f t="shared" si="53"/>
        <v>1.546527777776646</v>
      </c>
      <c r="AE71" s="210">
        <f t="shared" si="54"/>
        <v>0</v>
      </c>
      <c r="AF71" s="210">
        <f t="shared" si="55"/>
        <v>1.546527777776646</v>
      </c>
      <c r="AG71" s="210">
        <f t="shared" si="56"/>
        <v>0</v>
      </c>
    </row>
    <row r="72" spans="2:33" ht="15" customHeight="1" x14ac:dyDescent="0.3">
      <c r="B72" s="196" t="s">
        <v>5</v>
      </c>
      <c r="C72" s="197" t="s">
        <v>13</v>
      </c>
      <c r="D72" s="198" t="str">
        <f t="shared" si="38"/>
        <v>C</v>
      </c>
      <c r="E72" s="199">
        <v>44103.666666666664</v>
      </c>
      <c r="F72" s="200" t="s">
        <v>94</v>
      </c>
      <c r="G72" s="201">
        <v>5906.82</v>
      </c>
      <c r="H72" s="201">
        <v>5989.08</v>
      </c>
      <c r="I72" s="202">
        <f t="shared" si="39"/>
        <v>82.260000000000218</v>
      </c>
      <c r="J72" s="201">
        <v>5495.53</v>
      </c>
      <c r="K72" s="199">
        <v>44104.439583333333</v>
      </c>
      <c r="L72" s="201">
        <v>5932.08</v>
      </c>
      <c r="M72" s="203">
        <f t="shared" si="40"/>
        <v>-25.26</v>
      </c>
      <c r="N72" s="204">
        <f t="shared" si="41"/>
        <v>-0.31</v>
      </c>
      <c r="O72" s="205">
        <f t="shared" si="42"/>
        <v>0</v>
      </c>
      <c r="P72" s="206">
        <f t="shared" si="43"/>
        <v>0</v>
      </c>
      <c r="Q72" s="206">
        <f t="shared" si="44"/>
        <v>-0.31</v>
      </c>
      <c r="R7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7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98250</v>
      </c>
      <c r="T7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72" s="208">
        <f ca="1">IF(Tabla336106734823[[#This Row],[Equity]]&lt;Tabla336106734823[[#This Row],[Equity Peak]],(Tabla336106734823[[#This Row],[Equity Peak]]-Tabla336106734823[[#This Row],[Equity]])/Tabla336106734823[[#This Row],[Equity Peak]],"")</f>
        <v>3.0395736701865194E-2</v>
      </c>
      <c r="V72" s="209">
        <f t="shared" si="45"/>
        <v>0</v>
      </c>
      <c r="W72" s="209">
        <f t="shared" si="46"/>
        <v>0</v>
      </c>
      <c r="X72" s="209">
        <f t="shared" si="47"/>
        <v>0</v>
      </c>
      <c r="Y72" s="209">
        <f t="shared" si="48"/>
        <v>0</v>
      </c>
      <c r="Z72" s="209">
        <f t="shared" si="49"/>
        <v>-0.31</v>
      </c>
      <c r="AA72" s="205">
        <f t="shared" si="50"/>
        <v>0</v>
      </c>
      <c r="AB72" s="209">
        <f t="shared" si="51"/>
        <v>0</v>
      </c>
      <c r="AC72" s="205">
        <f t="shared" si="52"/>
        <v>0</v>
      </c>
      <c r="AD72" s="210">
        <f t="shared" si="53"/>
        <v>0.77291666666860692</v>
      </c>
      <c r="AE72" s="210">
        <f t="shared" si="54"/>
        <v>0</v>
      </c>
      <c r="AF72" s="210">
        <f t="shared" si="55"/>
        <v>0.77291666666860692</v>
      </c>
      <c r="AG72" s="210">
        <f t="shared" si="56"/>
        <v>0</v>
      </c>
    </row>
    <row r="73" spans="2:33" ht="15" customHeight="1" x14ac:dyDescent="0.3">
      <c r="B73" s="196" t="s">
        <v>5</v>
      </c>
      <c r="C73" s="197" t="s">
        <v>15</v>
      </c>
      <c r="D73" s="198" t="str">
        <f t="shared" si="38"/>
        <v>C</v>
      </c>
      <c r="E73" s="199">
        <v>44103.017361111109</v>
      </c>
      <c r="F73" s="200" t="s">
        <v>94</v>
      </c>
      <c r="G73" s="201">
        <v>5946.1</v>
      </c>
      <c r="H73" s="201">
        <v>5867.62</v>
      </c>
      <c r="I73" s="202">
        <f t="shared" si="39"/>
        <v>78.480000000000473</v>
      </c>
      <c r="J73" s="201">
        <v>6338.51</v>
      </c>
      <c r="K73" s="199">
        <v>44103.42291666667</v>
      </c>
      <c r="L73" s="201">
        <v>5904.82</v>
      </c>
      <c r="M73" s="203">
        <f t="shared" si="40"/>
        <v>-41.28</v>
      </c>
      <c r="N73" s="204">
        <f t="shared" si="41"/>
        <v>-0.53</v>
      </c>
      <c r="O73" s="205">
        <f t="shared" si="42"/>
        <v>0</v>
      </c>
      <c r="P73" s="206">
        <f t="shared" si="43"/>
        <v>0</v>
      </c>
      <c r="Q73" s="206">
        <f t="shared" si="44"/>
        <v>-0.53</v>
      </c>
      <c r="R7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7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98560</v>
      </c>
      <c r="T7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73" s="208">
        <f ca="1">IF(Tabla336106734823[[#This Row],[Equity]]&lt;Tabla336106734823[[#This Row],[Equity Peak]],(Tabla336106734823[[#This Row],[Equity Peak]]-Tabla336106734823[[#This Row],[Equity]])/Tabla336106734823[[#This Row],[Equity Peak]],"")</f>
        <v>2.7336425540313826E-2</v>
      </c>
      <c r="V73" s="209">
        <f t="shared" si="45"/>
        <v>0</v>
      </c>
      <c r="W73" s="209">
        <f t="shared" si="46"/>
        <v>0</v>
      </c>
      <c r="X73" s="209">
        <f t="shared" si="47"/>
        <v>0</v>
      </c>
      <c r="Y73" s="209">
        <f t="shared" si="48"/>
        <v>0</v>
      </c>
      <c r="Z73" s="209">
        <f t="shared" si="49"/>
        <v>-0.53</v>
      </c>
      <c r="AA73" s="205">
        <f t="shared" si="50"/>
        <v>0</v>
      </c>
      <c r="AB73" s="209">
        <f t="shared" si="51"/>
        <v>0</v>
      </c>
      <c r="AC73" s="205">
        <f t="shared" si="52"/>
        <v>0</v>
      </c>
      <c r="AD73" s="210">
        <f t="shared" si="53"/>
        <v>0.40555555556056788</v>
      </c>
      <c r="AE73" s="210">
        <f t="shared" si="54"/>
        <v>0</v>
      </c>
      <c r="AF73" s="210">
        <f t="shared" si="55"/>
        <v>0.40555555556056788</v>
      </c>
      <c r="AG73" s="210">
        <f t="shared" si="56"/>
        <v>0</v>
      </c>
    </row>
    <row r="74" spans="2:33" ht="15" customHeight="1" x14ac:dyDescent="0.3">
      <c r="B74" s="196" t="s">
        <v>5</v>
      </c>
      <c r="C74" s="197" t="s">
        <v>13</v>
      </c>
      <c r="D74" s="198" t="str">
        <f t="shared" si="38"/>
        <v>C</v>
      </c>
      <c r="E74" s="199">
        <v>44095.041666666664</v>
      </c>
      <c r="F74" s="200" t="s">
        <v>94</v>
      </c>
      <c r="G74" s="201">
        <v>5996.48</v>
      </c>
      <c r="H74" s="201">
        <v>6073.43</v>
      </c>
      <c r="I74" s="202">
        <f t="shared" si="39"/>
        <v>76.950000000000728</v>
      </c>
      <c r="J74" s="201">
        <v>5611.71</v>
      </c>
      <c r="K74" s="199">
        <v>44097.125</v>
      </c>
      <c r="L74" s="201">
        <v>5898.01</v>
      </c>
      <c r="M74" s="203">
        <f t="shared" si="40"/>
        <v>98.47</v>
      </c>
      <c r="N74" s="204">
        <f t="shared" si="41"/>
        <v>1.28</v>
      </c>
      <c r="O74" s="205">
        <f t="shared" si="42"/>
        <v>0</v>
      </c>
      <c r="P74" s="206">
        <f t="shared" si="43"/>
        <v>1.28</v>
      </c>
      <c r="Q74" s="206">
        <f t="shared" si="44"/>
        <v>0</v>
      </c>
      <c r="R7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7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99090</v>
      </c>
      <c r="T7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74" s="208">
        <f ca="1">IF(Tabla336106734823[[#This Row],[Equity]]&lt;Tabla336106734823[[#This Row],[Equity Peak]],(Tabla336106734823[[#This Row],[Equity Peak]]-Tabla336106734823[[#This Row],[Equity]])/Tabla336106734823[[#This Row],[Equity Peak]],"")</f>
        <v>2.210599032862923E-2</v>
      </c>
      <c r="V74" s="209">
        <f t="shared" si="45"/>
        <v>0</v>
      </c>
      <c r="W74" s="209">
        <f t="shared" si="46"/>
        <v>0</v>
      </c>
      <c r="X74" s="209">
        <f t="shared" si="47"/>
        <v>0</v>
      </c>
      <c r="Y74" s="209">
        <f t="shared" si="48"/>
        <v>0</v>
      </c>
      <c r="Z74" s="209">
        <f t="shared" si="49"/>
        <v>1.28</v>
      </c>
      <c r="AA74" s="205">
        <f t="shared" si="50"/>
        <v>0</v>
      </c>
      <c r="AB74" s="209">
        <f t="shared" si="51"/>
        <v>0</v>
      </c>
      <c r="AC74" s="205">
        <f t="shared" si="52"/>
        <v>0</v>
      </c>
      <c r="AD74" s="210">
        <f t="shared" si="53"/>
        <v>2.0833333333357587</v>
      </c>
      <c r="AE74" s="210">
        <f t="shared" si="54"/>
        <v>2.0833333333357587</v>
      </c>
      <c r="AF74" s="210">
        <f t="shared" si="55"/>
        <v>0</v>
      </c>
      <c r="AG74" s="210">
        <f t="shared" si="56"/>
        <v>0</v>
      </c>
    </row>
    <row r="75" spans="2:33" ht="15" customHeight="1" x14ac:dyDescent="0.3">
      <c r="B75" s="196" t="s">
        <v>5</v>
      </c>
      <c r="C75" s="197" t="s">
        <v>15</v>
      </c>
      <c r="D75" s="198" t="str">
        <f t="shared" ref="D75:D106" si="57">IF(E75&lt;&gt;"",IF(K75&lt;&gt;"","C","O"),"")</f>
        <v>C</v>
      </c>
      <c r="E75" s="199">
        <v>44083.666666666664</v>
      </c>
      <c r="F75" s="200" t="s">
        <v>94</v>
      </c>
      <c r="G75" s="201">
        <v>5999.93</v>
      </c>
      <c r="H75" s="201">
        <v>5892.95</v>
      </c>
      <c r="I75" s="202">
        <f t="shared" ref="I75:I106" si="58">ABS(G75-H75)</f>
        <v>106.98000000000047</v>
      </c>
      <c r="J75" s="201">
        <v>6534.84</v>
      </c>
      <c r="K75" s="199">
        <v>44091.263194444444</v>
      </c>
      <c r="L75" s="201">
        <v>6034.86</v>
      </c>
      <c r="M75" s="203">
        <f t="shared" ref="M75:M106" si="59">ROUND(IF(C75="L",(L75-G75),(G75-L75)),4)</f>
        <v>34.93</v>
      </c>
      <c r="N75" s="204">
        <f t="shared" ref="N75:N106" si="60">IFERROR(ROUND((M75/I75),2),"")</f>
        <v>0.33</v>
      </c>
      <c r="O75" s="205">
        <f t="shared" ref="O75:O106" si="61">IF(D75="O",IF(N75&lt;0,N75,0),0)</f>
        <v>0</v>
      </c>
      <c r="P75" s="206">
        <f t="shared" ref="P75:P106" si="62">IF(N75&gt;= 0,N75,0)</f>
        <v>0.33</v>
      </c>
      <c r="Q75" s="206">
        <f t="shared" ref="Q75:Q106" si="63">IF(N75&lt;0,N75,0)</f>
        <v>0</v>
      </c>
      <c r="R7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7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97810</v>
      </c>
      <c r="T7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75" s="208">
        <f ca="1">IF(Tabla336106734823[[#This Row],[Equity]]&lt;Tabla336106734823[[#This Row],[Equity Peak]],(Tabla336106734823[[#This Row],[Equity Peak]]-Tabla336106734823[[#This Row],[Equity]])/Tabla336106734823[[#This Row],[Equity Peak]],"")</f>
        <v>3.4737984802131652E-2</v>
      </c>
      <c r="V75" s="209">
        <f t="shared" ref="V75:V106" si="64">IF(B75="FX",N75,0)</f>
        <v>0</v>
      </c>
      <c r="W75" s="209">
        <f t="shared" ref="W75:W106" si="65">IF(D75="O",IF(V75&lt;0,V75,0),0)</f>
        <v>0</v>
      </c>
      <c r="X75" s="209">
        <f t="shared" ref="X75:X106" si="66">IF(B75="COM",N75,0)</f>
        <v>0</v>
      </c>
      <c r="Y75" s="209">
        <f t="shared" ref="Y75:Y106" si="67">IF(D75="O",IF(X75&lt;0,X75,0),0)</f>
        <v>0</v>
      </c>
      <c r="Z75" s="209">
        <f t="shared" ref="Z75:Z106" si="68">IF(B75="IND",N75,0)</f>
        <v>0.33</v>
      </c>
      <c r="AA75" s="205">
        <f t="shared" ref="AA75:AA106" si="69">IF(D75="O",IF(Z75&lt;0,Z75,0),0)</f>
        <v>0</v>
      </c>
      <c r="AB75" s="209">
        <f t="shared" ref="AB75:AB106" si="70">IF(B75="CRYPTO",N75,0)</f>
        <v>0</v>
      </c>
      <c r="AC75" s="205">
        <f t="shared" ref="AC75:AC106" si="71">IF(D75="O",IF(AB75&lt;0,AB75,0),0)</f>
        <v>0</v>
      </c>
      <c r="AD75" s="210">
        <f t="shared" ref="AD75:AD106" si="72">IF(K75&lt;&gt;"",K75-E75,0)</f>
        <v>7.5965277777795563</v>
      </c>
      <c r="AE75" s="210">
        <f t="shared" ref="AE75:AE106" si="73">IF(N75&gt;0,AD75,0)</f>
        <v>7.5965277777795563</v>
      </c>
      <c r="AF75" s="210">
        <f t="shared" ref="AF75:AF106" si="74">IF(N75&lt;0,AD75,0)</f>
        <v>0</v>
      </c>
      <c r="AG75" s="210">
        <f t="shared" ref="AG75:AG106" si="75">IF(N75=0,AD75,0)</f>
        <v>0</v>
      </c>
    </row>
    <row r="76" spans="2:33" ht="15" customHeight="1" x14ac:dyDescent="0.3">
      <c r="B76" s="196" t="s">
        <v>5</v>
      </c>
      <c r="C76" s="197" t="s">
        <v>13</v>
      </c>
      <c r="D76" s="198" t="str">
        <f t="shared" si="57"/>
        <v>C</v>
      </c>
      <c r="E76" s="199">
        <v>44069.017361111109</v>
      </c>
      <c r="F76" s="200" t="s">
        <v>94</v>
      </c>
      <c r="G76" s="201">
        <v>6048.12</v>
      </c>
      <c r="H76" s="201">
        <v>6131.33</v>
      </c>
      <c r="I76" s="202">
        <f t="shared" si="58"/>
        <v>83.210000000000036</v>
      </c>
      <c r="J76" s="201">
        <v>5632.06</v>
      </c>
      <c r="K76" s="199">
        <v>44076.442361111112</v>
      </c>
      <c r="L76" s="201">
        <v>5958.95</v>
      </c>
      <c r="M76" s="203">
        <f t="shared" si="59"/>
        <v>89.17</v>
      </c>
      <c r="N76" s="204">
        <f t="shared" si="60"/>
        <v>1.07</v>
      </c>
      <c r="O76" s="205">
        <f t="shared" si="61"/>
        <v>0</v>
      </c>
      <c r="P76" s="206">
        <f t="shared" si="62"/>
        <v>1.07</v>
      </c>
      <c r="Q76" s="206">
        <f t="shared" si="63"/>
        <v>0</v>
      </c>
      <c r="R7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7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97480</v>
      </c>
      <c r="T7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76" s="208">
        <f ca="1">IF(Tabla336106734823[[#This Row],[Equity]]&lt;Tabla336106734823[[#This Row],[Equity Peak]],(Tabla336106734823[[#This Row],[Equity Peak]]-Tabla336106734823[[#This Row],[Equity]])/Tabla336106734823[[#This Row],[Equity Peak]],"")</f>
        <v>3.7994670877331493E-2</v>
      </c>
      <c r="V76" s="209">
        <f t="shared" si="64"/>
        <v>0</v>
      </c>
      <c r="W76" s="209">
        <f t="shared" si="65"/>
        <v>0</v>
      </c>
      <c r="X76" s="209">
        <f t="shared" si="66"/>
        <v>0</v>
      </c>
      <c r="Y76" s="209">
        <f t="shared" si="67"/>
        <v>0</v>
      </c>
      <c r="Z76" s="209">
        <f t="shared" si="68"/>
        <v>1.07</v>
      </c>
      <c r="AA76" s="205">
        <f t="shared" si="69"/>
        <v>0</v>
      </c>
      <c r="AB76" s="209">
        <f t="shared" si="70"/>
        <v>0</v>
      </c>
      <c r="AC76" s="205">
        <f t="shared" si="71"/>
        <v>0</v>
      </c>
      <c r="AD76" s="210">
        <f t="shared" si="72"/>
        <v>7.4250000000029104</v>
      </c>
      <c r="AE76" s="210">
        <f t="shared" si="73"/>
        <v>7.4250000000029104</v>
      </c>
      <c r="AF76" s="210">
        <f t="shared" si="74"/>
        <v>0</v>
      </c>
      <c r="AG76" s="210">
        <f t="shared" si="75"/>
        <v>0</v>
      </c>
    </row>
    <row r="77" spans="2:33" ht="15" customHeight="1" x14ac:dyDescent="0.3">
      <c r="B77" s="196" t="s">
        <v>5</v>
      </c>
      <c r="C77" s="197" t="s">
        <v>15</v>
      </c>
      <c r="D77" s="198" t="str">
        <f t="shared" si="57"/>
        <v>C</v>
      </c>
      <c r="E77" s="199">
        <v>44068.017361111109</v>
      </c>
      <c r="F77" s="200" t="s">
        <v>94</v>
      </c>
      <c r="G77" s="201">
        <v>6106.67</v>
      </c>
      <c r="H77" s="201">
        <v>6028.24</v>
      </c>
      <c r="I77" s="202">
        <f t="shared" si="58"/>
        <v>78.430000000000291</v>
      </c>
      <c r="J77" s="201">
        <v>6498.81</v>
      </c>
      <c r="K77" s="199">
        <v>44068.712500000001</v>
      </c>
      <c r="L77" s="201">
        <v>6073.26</v>
      </c>
      <c r="M77" s="203">
        <f t="shared" si="59"/>
        <v>-33.409999999999997</v>
      </c>
      <c r="N77" s="204">
        <f t="shared" si="60"/>
        <v>-0.43</v>
      </c>
      <c r="O77" s="205">
        <f t="shared" si="61"/>
        <v>0</v>
      </c>
      <c r="P77" s="206">
        <f t="shared" si="62"/>
        <v>0</v>
      </c>
      <c r="Q77" s="206">
        <f t="shared" si="63"/>
        <v>-0.43</v>
      </c>
      <c r="R7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7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96410</v>
      </c>
      <c r="T7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77" s="208">
        <f ca="1">IF(Tabla336106734823[[#This Row],[Equity]]&lt;Tabla336106734823[[#This Row],[Equity Peak]],(Tabla336106734823[[#This Row],[Equity Peak]]-Tabla336106734823[[#This Row],[Equity]])/Tabla336106734823[[#This Row],[Equity Peak]],"")</f>
        <v>4.8554228757524916E-2</v>
      </c>
      <c r="V77" s="209">
        <f t="shared" si="64"/>
        <v>0</v>
      </c>
      <c r="W77" s="209">
        <f t="shared" si="65"/>
        <v>0</v>
      </c>
      <c r="X77" s="209">
        <f t="shared" si="66"/>
        <v>0</v>
      </c>
      <c r="Y77" s="209">
        <f t="shared" si="67"/>
        <v>0</v>
      </c>
      <c r="Z77" s="209">
        <f t="shared" si="68"/>
        <v>-0.43</v>
      </c>
      <c r="AA77" s="205">
        <f t="shared" si="69"/>
        <v>0</v>
      </c>
      <c r="AB77" s="209">
        <f t="shared" si="70"/>
        <v>0</v>
      </c>
      <c r="AC77" s="205">
        <f t="shared" si="71"/>
        <v>0</v>
      </c>
      <c r="AD77" s="210">
        <f t="shared" si="72"/>
        <v>0.69513888889196096</v>
      </c>
      <c r="AE77" s="210">
        <f t="shared" si="73"/>
        <v>0</v>
      </c>
      <c r="AF77" s="210">
        <f t="shared" si="74"/>
        <v>0.69513888889196096</v>
      </c>
      <c r="AG77" s="210">
        <f t="shared" si="75"/>
        <v>0</v>
      </c>
    </row>
    <row r="78" spans="2:33" ht="15" customHeight="1" x14ac:dyDescent="0.3">
      <c r="B78" s="196" t="s">
        <v>5</v>
      </c>
      <c r="C78" s="197" t="s">
        <v>13</v>
      </c>
      <c r="D78" s="198" t="str">
        <f t="shared" si="57"/>
        <v>C</v>
      </c>
      <c r="E78" s="199">
        <v>44061.833333333336</v>
      </c>
      <c r="F78" s="200" t="s">
        <v>94</v>
      </c>
      <c r="G78" s="201">
        <v>6079.73</v>
      </c>
      <c r="H78" s="201">
        <v>6157.16</v>
      </c>
      <c r="I78" s="202">
        <f t="shared" si="58"/>
        <v>77.430000000000291</v>
      </c>
      <c r="J78" s="201">
        <v>5692.59</v>
      </c>
      <c r="K78" s="199">
        <v>44067.370833333334</v>
      </c>
      <c r="L78" s="201">
        <v>6037</v>
      </c>
      <c r="M78" s="203">
        <f t="shared" si="59"/>
        <v>42.73</v>
      </c>
      <c r="N78" s="204">
        <f t="shared" si="60"/>
        <v>0.55000000000000004</v>
      </c>
      <c r="O78" s="205">
        <f t="shared" si="61"/>
        <v>0</v>
      </c>
      <c r="P78" s="206">
        <f t="shared" si="62"/>
        <v>0.55000000000000004</v>
      </c>
      <c r="Q78" s="206">
        <f t="shared" si="63"/>
        <v>0</v>
      </c>
      <c r="R7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7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96840</v>
      </c>
      <c r="T7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78" s="208">
        <f ca="1">IF(Tabla336106734823[[#This Row],[Equity]]&lt;Tabla336106734823[[#This Row],[Equity Peak]],(Tabla336106734823[[#This Row],[Equity Peak]]-Tabla336106734823[[#This Row],[Equity]])/Tabla336106734823[[#This Row],[Equity Peak]],"")</f>
        <v>4.4310668114082699E-2</v>
      </c>
      <c r="V78" s="209">
        <f t="shared" si="64"/>
        <v>0</v>
      </c>
      <c r="W78" s="209">
        <f t="shared" si="65"/>
        <v>0</v>
      </c>
      <c r="X78" s="209">
        <f t="shared" si="66"/>
        <v>0</v>
      </c>
      <c r="Y78" s="209">
        <f t="shared" si="67"/>
        <v>0</v>
      </c>
      <c r="Z78" s="209">
        <f t="shared" si="68"/>
        <v>0.55000000000000004</v>
      </c>
      <c r="AA78" s="205">
        <f t="shared" si="69"/>
        <v>0</v>
      </c>
      <c r="AB78" s="209">
        <f t="shared" si="70"/>
        <v>0</v>
      </c>
      <c r="AC78" s="205">
        <f t="shared" si="71"/>
        <v>0</v>
      </c>
      <c r="AD78" s="210">
        <f t="shared" si="72"/>
        <v>5.5374999999985448</v>
      </c>
      <c r="AE78" s="210">
        <f t="shared" si="73"/>
        <v>5.5374999999985448</v>
      </c>
      <c r="AF78" s="210">
        <f t="shared" si="74"/>
        <v>0</v>
      </c>
      <c r="AG78" s="210">
        <f t="shared" si="75"/>
        <v>0</v>
      </c>
    </row>
    <row r="79" spans="2:33" ht="15" customHeight="1" x14ac:dyDescent="0.3">
      <c r="B79" s="196" t="s">
        <v>5</v>
      </c>
      <c r="C79" s="197" t="s">
        <v>15</v>
      </c>
      <c r="D79" s="198" t="str">
        <f t="shared" si="57"/>
        <v>C</v>
      </c>
      <c r="E79" s="199">
        <v>44061.5</v>
      </c>
      <c r="F79" s="200" t="s">
        <v>94</v>
      </c>
      <c r="G79" s="201">
        <v>6127.83</v>
      </c>
      <c r="H79" s="201">
        <v>6037.78</v>
      </c>
      <c r="I79" s="202">
        <f t="shared" si="58"/>
        <v>90.050000000000182</v>
      </c>
      <c r="J79" s="201">
        <v>6578.07</v>
      </c>
      <c r="K79" s="199">
        <v>44061.833333333336</v>
      </c>
      <c r="L79" s="201">
        <v>6079.73</v>
      </c>
      <c r="M79" s="203">
        <f t="shared" si="59"/>
        <v>-48.1</v>
      </c>
      <c r="N79" s="204">
        <f t="shared" si="60"/>
        <v>-0.53</v>
      </c>
      <c r="O79" s="205">
        <f t="shared" si="61"/>
        <v>0</v>
      </c>
      <c r="P79" s="206">
        <f t="shared" si="62"/>
        <v>0</v>
      </c>
      <c r="Q79" s="206">
        <f t="shared" si="63"/>
        <v>-0.53</v>
      </c>
      <c r="R7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7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96290</v>
      </c>
      <c r="T7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79" s="208">
        <f ca="1">IF(Tabla336106734823[[#This Row],[Equity]]&lt;Tabla336106734823[[#This Row],[Equity Peak]],(Tabla336106734823[[#This Row],[Equity Peak]]-Tabla336106734823[[#This Row],[Equity]])/Tabla336106734823[[#This Row],[Equity Peak]],"")</f>
        <v>4.9738478239415768E-2</v>
      </c>
      <c r="V79" s="209">
        <f t="shared" si="64"/>
        <v>0</v>
      </c>
      <c r="W79" s="209">
        <f t="shared" si="65"/>
        <v>0</v>
      </c>
      <c r="X79" s="209">
        <f t="shared" si="66"/>
        <v>0</v>
      </c>
      <c r="Y79" s="209">
        <f t="shared" si="67"/>
        <v>0</v>
      </c>
      <c r="Z79" s="209">
        <f t="shared" si="68"/>
        <v>-0.53</v>
      </c>
      <c r="AA79" s="205">
        <f t="shared" si="69"/>
        <v>0</v>
      </c>
      <c r="AB79" s="209">
        <f t="shared" si="70"/>
        <v>0</v>
      </c>
      <c r="AC79" s="205">
        <f t="shared" si="71"/>
        <v>0</v>
      </c>
      <c r="AD79" s="210">
        <f t="shared" si="72"/>
        <v>0.33333333333575865</v>
      </c>
      <c r="AE79" s="210">
        <f t="shared" si="73"/>
        <v>0</v>
      </c>
      <c r="AF79" s="210">
        <f t="shared" si="74"/>
        <v>0.33333333333575865</v>
      </c>
      <c r="AG79" s="210">
        <f t="shared" si="75"/>
        <v>0</v>
      </c>
    </row>
    <row r="80" spans="2:33" ht="15" customHeight="1" x14ac:dyDescent="0.3">
      <c r="B80" s="196" t="s">
        <v>5</v>
      </c>
      <c r="C80" s="197" t="s">
        <v>13</v>
      </c>
      <c r="D80" s="198" t="str">
        <f t="shared" si="57"/>
        <v>C</v>
      </c>
      <c r="E80" s="199">
        <v>44057.833333333336</v>
      </c>
      <c r="F80" s="200" t="s">
        <v>94</v>
      </c>
      <c r="G80" s="201">
        <v>6079.93</v>
      </c>
      <c r="H80" s="201">
        <v>6167.71</v>
      </c>
      <c r="I80" s="202">
        <f t="shared" si="58"/>
        <v>87.779999999999745</v>
      </c>
      <c r="J80" s="201">
        <v>5641.04</v>
      </c>
      <c r="K80" s="199">
        <v>44060.65625</v>
      </c>
      <c r="L80" s="201">
        <v>6132.98</v>
      </c>
      <c r="M80" s="203">
        <f t="shared" si="59"/>
        <v>-53.05</v>
      </c>
      <c r="N80" s="204">
        <f t="shared" si="60"/>
        <v>-0.6</v>
      </c>
      <c r="O80" s="205">
        <f t="shared" si="61"/>
        <v>0</v>
      </c>
      <c r="P80" s="206">
        <f t="shared" si="62"/>
        <v>0</v>
      </c>
      <c r="Q80" s="206">
        <f t="shared" si="63"/>
        <v>-0.6</v>
      </c>
      <c r="R8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8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96820</v>
      </c>
      <c r="T8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80" s="208">
        <f ca="1">IF(Tabla336106734823[[#This Row],[Equity]]&lt;Tabla336106734823[[#This Row],[Equity Peak]],(Tabla336106734823[[#This Row],[Equity Peak]]-Tabla336106734823[[#This Row],[Equity]])/Tabla336106734823[[#This Row],[Equity Peak]],"")</f>
        <v>4.4508043027731176E-2</v>
      </c>
      <c r="V80" s="209">
        <f t="shared" si="64"/>
        <v>0</v>
      </c>
      <c r="W80" s="209">
        <f t="shared" si="65"/>
        <v>0</v>
      </c>
      <c r="X80" s="209">
        <f t="shared" si="66"/>
        <v>0</v>
      </c>
      <c r="Y80" s="209">
        <f t="shared" si="67"/>
        <v>0</v>
      </c>
      <c r="Z80" s="209">
        <f t="shared" si="68"/>
        <v>-0.6</v>
      </c>
      <c r="AA80" s="205">
        <f t="shared" si="69"/>
        <v>0</v>
      </c>
      <c r="AB80" s="209">
        <f t="shared" si="70"/>
        <v>0</v>
      </c>
      <c r="AC80" s="205">
        <f t="shared" si="71"/>
        <v>0</v>
      </c>
      <c r="AD80" s="210">
        <f t="shared" si="72"/>
        <v>2.8229166666642413</v>
      </c>
      <c r="AE80" s="210">
        <f t="shared" si="73"/>
        <v>0</v>
      </c>
      <c r="AF80" s="210">
        <f t="shared" si="74"/>
        <v>2.8229166666642413</v>
      </c>
      <c r="AG80" s="210">
        <f t="shared" si="75"/>
        <v>0</v>
      </c>
    </row>
    <row r="81" spans="2:33" ht="15" customHeight="1" x14ac:dyDescent="0.3">
      <c r="B81" s="196" t="s">
        <v>5</v>
      </c>
      <c r="C81" s="197" t="s">
        <v>15</v>
      </c>
      <c r="D81" s="198" t="str">
        <f t="shared" si="57"/>
        <v>C</v>
      </c>
      <c r="E81" s="199">
        <v>44054.017361111109</v>
      </c>
      <c r="F81" s="200" t="s">
        <v>94</v>
      </c>
      <c r="G81" s="201">
        <v>6077.05</v>
      </c>
      <c r="H81" s="201">
        <v>6006.28</v>
      </c>
      <c r="I81" s="202">
        <f t="shared" si="58"/>
        <v>70.770000000000437</v>
      </c>
      <c r="J81" s="201">
        <v>6430.9</v>
      </c>
      <c r="K81" s="199">
        <v>44056.912499999999</v>
      </c>
      <c r="L81" s="201">
        <v>6162.28</v>
      </c>
      <c r="M81" s="203">
        <f t="shared" si="59"/>
        <v>85.23</v>
      </c>
      <c r="N81" s="204">
        <f t="shared" si="60"/>
        <v>1.2</v>
      </c>
      <c r="O81" s="205">
        <f t="shared" si="61"/>
        <v>0</v>
      </c>
      <c r="P81" s="206">
        <f t="shared" si="62"/>
        <v>1.2</v>
      </c>
      <c r="Q81" s="206">
        <f t="shared" si="63"/>
        <v>0</v>
      </c>
      <c r="R8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8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97420</v>
      </c>
      <c r="T8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81" s="208">
        <f ca="1">IF(Tabla336106734823[[#This Row],[Equity]]&lt;Tabla336106734823[[#This Row],[Equity Peak]],(Tabla336106734823[[#This Row],[Equity Peak]]-Tabla336106734823[[#This Row],[Equity]])/Tabla336106734823[[#This Row],[Equity Peak]],"")</f>
        <v>3.8586795618276916E-2</v>
      </c>
      <c r="V81" s="209">
        <f t="shared" si="64"/>
        <v>0</v>
      </c>
      <c r="W81" s="209">
        <f t="shared" si="65"/>
        <v>0</v>
      </c>
      <c r="X81" s="209">
        <f t="shared" si="66"/>
        <v>0</v>
      </c>
      <c r="Y81" s="209">
        <f t="shared" si="67"/>
        <v>0</v>
      </c>
      <c r="Z81" s="209">
        <f t="shared" si="68"/>
        <v>1.2</v>
      </c>
      <c r="AA81" s="205">
        <f t="shared" si="69"/>
        <v>0</v>
      </c>
      <c r="AB81" s="209">
        <f t="shared" si="70"/>
        <v>0</v>
      </c>
      <c r="AC81" s="205">
        <f t="shared" si="71"/>
        <v>0</v>
      </c>
      <c r="AD81" s="210">
        <f t="shared" si="72"/>
        <v>2.8951388888890506</v>
      </c>
      <c r="AE81" s="210">
        <f t="shared" si="73"/>
        <v>2.8951388888890506</v>
      </c>
      <c r="AF81" s="210">
        <f t="shared" si="74"/>
        <v>0</v>
      </c>
      <c r="AG81" s="210">
        <f t="shared" si="75"/>
        <v>0</v>
      </c>
    </row>
    <row r="82" spans="2:33" ht="15" customHeight="1" x14ac:dyDescent="0.3">
      <c r="B82" s="196" t="s">
        <v>5</v>
      </c>
      <c r="C82" s="197" t="s">
        <v>13</v>
      </c>
      <c r="D82" s="198" t="str">
        <f t="shared" si="57"/>
        <v>C</v>
      </c>
      <c r="E82" s="199">
        <v>44034.833333333336</v>
      </c>
      <c r="F82" s="200" t="s">
        <v>94</v>
      </c>
      <c r="G82" s="201">
        <v>6205.19</v>
      </c>
      <c r="H82" s="201">
        <v>6277.89</v>
      </c>
      <c r="I82" s="202">
        <f t="shared" si="58"/>
        <v>72.700000000000728</v>
      </c>
      <c r="J82" s="201">
        <v>5841.67</v>
      </c>
      <c r="K82" s="199">
        <v>44035.418749999997</v>
      </c>
      <c r="L82" s="201">
        <v>6245.29</v>
      </c>
      <c r="M82" s="203">
        <f t="shared" si="59"/>
        <v>-40.1</v>
      </c>
      <c r="N82" s="204">
        <f t="shared" si="60"/>
        <v>-0.55000000000000004</v>
      </c>
      <c r="O82" s="205">
        <f t="shared" si="61"/>
        <v>0</v>
      </c>
      <c r="P82" s="206">
        <f t="shared" si="62"/>
        <v>0</v>
      </c>
      <c r="Q82" s="206">
        <f t="shared" si="63"/>
        <v>-0.55000000000000004</v>
      </c>
      <c r="R8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8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96220</v>
      </c>
      <c r="T8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82" s="208">
        <f ca="1">IF(Tabla336106734823[[#This Row],[Equity]]&lt;Tabla336106734823[[#This Row],[Equity Peak]],(Tabla336106734823[[#This Row],[Equity Peak]]-Tabla336106734823[[#This Row],[Equity]])/Tabla336106734823[[#This Row],[Equity Peak]],"")</f>
        <v>5.0429290437185435E-2</v>
      </c>
      <c r="V82" s="209">
        <f t="shared" si="64"/>
        <v>0</v>
      </c>
      <c r="W82" s="209">
        <f t="shared" si="65"/>
        <v>0</v>
      </c>
      <c r="X82" s="209">
        <f t="shared" si="66"/>
        <v>0</v>
      </c>
      <c r="Y82" s="209">
        <f t="shared" si="67"/>
        <v>0</v>
      </c>
      <c r="Z82" s="209">
        <f t="shared" si="68"/>
        <v>-0.55000000000000004</v>
      </c>
      <c r="AA82" s="205">
        <f t="shared" si="69"/>
        <v>0</v>
      </c>
      <c r="AB82" s="209">
        <f t="shared" si="70"/>
        <v>0</v>
      </c>
      <c r="AC82" s="205">
        <f t="shared" si="71"/>
        <v>0</v>
      </c>
      <c r="AD82" s="210">
        <f t="shared" si="72"/>
        <v>0.58541666666133096</v>
      </c>
      <c r="AE82" s="210">
        <f t="shared" si="73"/>
        <v>0</v>
      </c>
      <c r="AF82" s="210">
        <f t="shared" si="74"/>
        <v>0.58541666666133096</v>
      </c>
      <c r="AG82" s="210">
        <f t="shared" si="75"/>
        <v>0</v>
      </c>
    </row>
    <row r="83" spans="2:33" ht="15" customHeight="1" x14ac:dyDescent="0.3">
      <c r="B83" s="196" t="s">
        <v>5</v>
      </c>
      <c r="C83" s="197" t="s">
        <v>15</v>
      </c>
      <c r="D83" s="198" t="str">
        <f t="shared" si="57"/>
        <v>C</v>
      </c>
      <c r="E83" s="199">
        <v>44027.166666666664</v>
      </c>
      <c r="F83" s="200" t="s">
        <v>94</v>
      </c>
      <c r="G83" s="201">
        <v>6239.82</v>
      </c>
      <c r="H83" s="201">
        <v>6144.78</v>
      </c>
      <c r="I83" s="202">
        <f t="shared" si="58"/>
        <v>95.039999999999964</v>
      </c>
      <c r="J83" s="201">
        <v>6715</v>
      </c>
      <c r="K83" s="199">
        <v>44032.431250000001</v>
      </c>
      <c r="L83" s="201">
        <v>6236.85</v>
      </c>
      <c r="M83" s="203">
        <f t="shared" si="59"/>
        <v>-2.97</v>
      </c>
      <c r="N83" s="204">
        <f t="shared" si="60"/>
        <v>-0.03</v>
      </c>
      <c r="O83" s="205">
        <f t="shared" si="61"/>
        <v>0</v>
      </c>
      <c r="P83" s="206">
        <f t="shared" si="62"/>
        <v>0</v>
      </c>
      <c r="Q83" s="206">
        <f t="shared" si="63"/>
        <v>-0.03</v>
      </c>
      <c r="R8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8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96770</v>
      </c>
      <c r="T8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83" s="208">
        <f ca="1">IF(Tabla336106734823[[#This Row],[Equity]]&lt;Tabla336106734823[[#This Row],[Equity Peak]],(Tabla336106734823[[#This Row],[Equity Peak]]-Tabla336106734823[[#This Row],[Equity]])/Tabla336106734823[[#This Row],[Equity Peak]],"")</f>
        <v>4.5001480311852367E-2</v>
      </c>
      <c r="V83" s="209">
        <f t="shared" si="64"/>
        <v>0</v>
      </c>
      <c r="W83" s="209">
        <f t="shared" si="65"/>
        <v>0</v>
      </c>
      <c r="X83" s="209">
        <f t="shared" si="66"/>
        <v>0</v>
      </c>
      <c r="Y83" s="209">
        <f t="shared" si="67"/>
        <v>0</v>
      </c>
      <c r="Z83" s="209">
        <f t="shared" si="68"/>
        <v>-0.03</v>
      </c>
      <c r="AA83" s="205">
        <f t="shared" si="69"/>
        <v>0</v>
      </c>
      <c r="AB83" s="209">
        <f t="shared" si="70"/>
        <v>0</v>
      </c>
      <c r="AC83" s="205">
        <f t="shared" si="71"/>
        <v>0</v>
      </c>
      <c r="AD83" s="210">
        <f t="shared" si="72"/>
        <v>5.2645833333372138</v>
      </c>
      <c r="AE83" s="210">
        <f t="shared" si="73"/>
        <v>0</v>
      </c>
      <c r="AF83" s="210">
        <f t="shared" si="74"/>
        <v>5.2645833333372138</v>
      </c>
      <c r="AG83" s="210">
        <f t="shared" si="75"/>
        <v>0</v>
      </c>
    </row>
    <row r="84" spans="2:33" ht="15" customHeight="1" x14ac:dyDescent="0.3">
      <c r="B84" s="196" t="s">
        <v>5</v>
      </c>
      <c r="C84" s="197" t="s">
        <v>13</v>
      </c>
      <c r="D84" s="198" t="str">
        <f t="shared" si="57"/>
        <v>C</v>
      </c>
      <c r="E84" s="199">
        <v>44020.017361111109</v>
      </c>
      <c r="F84" s="200" t="s">
        <v>94</v>
      </c>
      <c r="G84" s="201">
        <v>6160.37</v>
      </c>
      <c r="H84" s="201">
        <v>6245.25</v>
      </c>
      <c r="I84" s="202">
        <f t="shared" si="58"/>
        <v>84.880000000000109</v>
      </c>
      <c r="J84" s="201">
        <v>5735.97</v>
      </c>
      <c r="K84" s="199">
        <v>44020.48541666667</v>
      </c>
      <c r="L84" s="201">
        <v>6209.44</v>
      </c>
      <c r="M84" s="203">
        <f t="shared" si="59"/>
        <v>-49.07</v>
      </c>
      <c r="N84" s="204">
        <f t="shared" si="60"/>
        <v>-0.57999999999999996</v>
      </c>
      <c r="O84" s="205">
        <f t="shared" si="61"/>
        <v>0</v>
      </c>
      <c r="P84" s="206">
        <f t="shared" si="62"/>
        <v>0</v>
      </c>
      <c r="Q84" s="206">
        <f t="shared" si="63"/>
        <v>-0.57999999999999996</v>
      </c>
      <c r="R8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8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96800</v>
      </c>
      <c r="T8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84" s="208">
        <f ca="1">IF(Tabla336106734823[[#This Row],[Equity]]&lt;Tabla336106734823[[#This Row],[Equity Peak]],(Tabla336106734823[[#This Row],[Equity Peak]]-Tabla336106734823[[#This Row],[Equity]])/Tabla336106734823[[#This Row],[Equity Peak]],"")</f>
        <v>4.4705417941379652E-2</v>
      </c>
      <c r="V84" s="209">
        <f t="shared" si="64"/>
        <v>0</v>
      </c>
      <c r="W84" s="209">
        <f t="shared" si="65"/>
        <v>0</v>
      </c>
      <c r="X84" s="209">
        <f t="shared" si="66"/>
        <v>0</v>
      </c>
      <c r="Y84" s="209">
        <f t="shared" si="67"/>
        <v>0</v>
      </c>
      <c r="Z84" s="209">
        <f t="shared" si="68"/>
        <v>-0.57999999999999996</v>
      </c>
      <c r="AA84" s="205">
        <f t="shared" si="69"/>
        <v>0</v>
      </c>
      <c r="AB84" s="209">
        <f t="shared" si="70"/>
        <v>0</v>
      </c>
      <c r="AC84" s="205">
        <f t="shared" si="71"/>
        <v>0</v>
      </c>
      <c r="AD84" s="210">
        <f t="shared" si="72"/>
        <v>0.46805555556056788</v>
      </c>
      <c r="AE84" s="210">
        <f t="shared" si="73"/>
        <v>0</v>
      </c>
      <c r="AF84" s="210">
        <f t="shared" si="74"/>
        <v>0.46805555556056788</v>
      </c>
      <c r="AG84" s="210">
        <f t="shared" si="75"/>
        <v>0</v>
      </c>
    </row>
    <row r="85" spans="2:33" ht="15" customHeight="1" x14ac:dyDescent="0.3">
      <c r="B85" s="196" t="s">
        <v>5</v>
      </c>
      <c r="C85" s="197" t="s">
        <v>15</v>
      </c>
      <c r="D85" s="198" t="str">
        <f t="shared" si="57"/>
        <v>C</v>
      </c>
      <c r="E85" s="199">
        <v>44018.375</v>
      </c>
      <c r="F85" s="200" t="s">
        <v>94</v>
      </c>
      <c r="G85" s="201">
        <v>6240.61</v>
      </c>
      <c r="H85" s="201">
        <v>6154.19</v>
      </c>
      <c r="I85" s="202">
        <f t="shared" si="58"/>
        <v>86.420000000000073</v>
      </c>
      <c r="J85" s="201">
        <v>6672.7</v>
      </c>
      <c r="K85" s="199">
        <v>44019.423611111109</v>
      </c>
      <c r="L85" s="201">
        <v>6228.07</v>
      </c>
      <c r="M85" s="203">
        <f t="shared" si="59"/>
        <v>-12.54</v>
      </c>
      <c r="N85" s="204">
        <f t="shared" si="60"/>
        <v>-0.15</v>
      </c>
      <c r="O85" s="205">
        <f t="shared" si="61"/>
        <v>0</v>
      </c>
      <c r="P85" s="206">
        <f t="shared" si="62"/>
        <v>0</v>
      </c>
      <c r="Q85" s="206">
        <f t="shared" si="63"/>
        <v>-0.15</v>
      </c>
      <c r="R8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8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97380</v>
      </c>
      <c r="T8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85" s="208">
        <f ca="1">IF(Tabla336106734823[[#This Row],[Equity]]&lt;Tabla336106734823[[#This Row],[Equity Peak]],(Tabla336106734823[[#This Row],[Equity Peak]]-Tabla336106734823[[#This Row],[Equity]])/Tabla336106734823[[#This Row],[Equity Peak]],"")</f>
        <v>3.8981545445573869E-2</v>
      </c>
      <c r="V85" s="209">
        <f t="shared" si="64"/>
        <v>0</v>
      </c>
      <c r="W85" s="209">
        <f t="shared" si="65"/>
        <v>0</v>
      </c>
      <c r="X85" s="209">
        <f t="shared" si="66"/>
        <v>0</v>
      </c>
      <c r="Y85" s="209">
        <f t="shared" si="67"/>
        <v>0</v>
      </c>
      <c r="Z85" s="209">
        <f t="shared" si="68"/>
        <v>-0.15</v>
      </c>
      <c r="AA85" s="205">
        <f t="shared" si="69"/>
        <v>0</v>
      </c>
      <c r="AB85" s="209">
        <f t="shared" si="70"/>
        <v>0</v>
      </c>
      <c r="AC85" s="205">
        <f t="shared" si="71"/>
        <v>0</v>
      </c>
      <c r="AD85" s="210">
        <f t="shared" si="72"/>
        <v>1.0486111111094942</v>
      </c>
      <c r="AE85" s="210">
        <f t="shared" si="73"/>
        <v>0</v>
      </c>
      <c r="AF85" s="210">
        <f t="shared" si="74"/>
        <v>1.0486111111094942</v>
      </c>
      <c r="AG85" s="210">
        <f t="shared" si="75"/>
        <v>0</v>
      </c>
    </row>
    <row r="86" spans="2:33" ht="15" customHeight="1" x14ac:dyDescent="0.3">
      <c r="B86" s="196" t="s">
        <v>5</v>
      </c>
      <c r="C86" s="197" t="s">
        <v>13</v>
      </c>
      <c r="D86" s="198" t="str">
        <f t="shared" si="57"/>
        <v>C</v>
      </c>
      <c r="E86" s="199">
        <v>44015.666666666664</v>
      </c>
      <c r="F86" s="200" t="s">
        <v>94</v>
      </c>
      <c r="G86" s="201">
        <v>6161.28</v>
      </c>
      <c r="H86" s="201">
        <v>6257.46</v>
      </c>
      <c r="I86" s="202">
        <f t="shared" si="58"/>
        <v>96.180000000000291</v>
      </c>
      <c r="J86" s="201">
        <v>5680.4</v>
      </c>
      <c r="K86" s="199">
        <v>44018.188194444447</v>
      </c>
      <c r="L86" s="201">
        <v>6232.91</v>
      </c>
      <c r="M86" s="203">
        <f t="shared" si="59"/>
        <v>-71.63</v>
      </c>
      <c r="N86" s="204">
        <f t="shared" si="60"/>
        <v>-0.74</v>
      </c>
      <c r="O86" s="205">
        <f t="shared" si="61"/>
        <v>0</v>
      </c>
      <c r="P86" s="206">
        <f t="shared" si="62"/>
        <v>0</v>
      </c>
      <c r="Q86" s="206">
        <f t="shared" si="63"/>
        <v>-0.74</v>
      </c>
      <c r="R8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8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97530</v>
      </c>
      <c r="T8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86" s="208">
        <f ca="1">IF(Tabla336106734823[[#This Row],[Equity]]&lt;Tabla336106734823[[#This Row],[Equity Peak]],(Tabla336106734823[[#This Row],[Equity Peak]]-Tabla336106734823[[#This Row],[Equity]])/Tabla336106734823[[#This Row],[Equity Peak]],"")</f>
        <v>3.7501233593210302E-2</v>
      </c>
      <c r="V86" s="209">
        <f t="shared" si="64"/>
        <v>0</v>
      </c>
      <c r="W86" s="209">
        <f t="shared" si="65"/>
        <v>0</v>
      </c>
      <c r="X86" s="209">
        <f t="shared" si="66"/>
        <v>0</v>
      </c>
      <c r="Y86" s="209">
        <f t="shared" si="67"/>
        <v>0</v>
      </c>
      <c r="Z86" s="209">
        <f t="shared" si="68"/>
        <v>-0.74</v>
      </c>
      <c r="AA86" s="205">
        <f t="shared" si="69"/>
        <v>0</v>
      </c>
      <c r="AB86" s="209">
        <f t="shared" si="70"/>
        <v>0</v>
      </c>
      <c r="AC86" s="205">
        <f t="shared" si="71"/>
        <v>0</v>
      </c>
      <c r="AD86" s="210">
        <f t="shared" si="72"/>
        <v>2.5215277777824667</v>
      </c>
      <c r="AE86" s="210">
        <f t="shared" si="73"/>
        <v>0</v>
      </c>
      <c r="AF86" s="210">
        <f t="shared" si="74"/>
        <v>2.5215277777824667</v>
      </c>
      <c r="AG86" s="210">
        <f t="shared" si="75"/>
        <v>0</v>
      </c>
    </row>
    <row r="87" spans="2:33" ht="15" customHeight="1" x14ac:dyDescent="0.3">
      <c r="B87" s="196" t="s">
        <v>5</v>
      </c>
      <c r="C87" s="197" t="s">
        <v>15</v>
      </c>
      <c r="D87" s="198" t="str">
        <f t="shared" si="57"/>
        <v>C</v>
      </c>
      <c r="E87" s="199">
        <v>44014.666666666664</v>
      </c>
      <c r="F87" s="200" t="s">
        <v>94</v>
      </c>
      <c r="G87" s="201">
        <v>6255.74</v>
      </c>
      <c r="H87" s="201">
        <v>6152.24</v>
      </c>
      <c r="I87" s="202">
        <f t="shared" si="58"/>
        <v>103.5</v>
      </c>
      <c r="J87" s="201">
        <v>6773.23</v>
      </c>
      <c r="K87" s="199">
        <v>44015.53402777778</v>
      </c>
      <c r="L87" s="201">
        <v>6178.48</v>
      </c>
      <c r="M87" s="203">
        <f t="shared" si="59"/>
        <v>-77.260000000000005</v>
      </c>
      <c r="N87" s="204">
        <f t="shared" si="60"/>
        <v>-0.75</v>
      </c>
      <c r="O87" s="205">
        <f t="shared" si="61"/>
        <v>0</v>
      </c>
      <c r="P87" s="206">
        <f t="shared" si="62"/>
        <v>0</v>
      </c>
      <c r="Q87" s="206">
        <f t="shared" si="63"/>
        <v>-0.75</v>
      </c>
      <c r="R8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8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98270</v>
      </c>
      <c r="T8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87" s="208">
        <f ca="1">IF(Tabla336106734823[[#This Row],[Equity]]&lt;Tabla336106734823[[#This Row],[Equity Peak]],(Tabla336106734823[[#This Row],[Equity Peak]]-Tabla336106734823[[#This Row],[Equity]])/Tabla336106734823[[#This Row],[Equity Peak]],"")</f>
        <v>3.0198361788216718E-2</v>
      </c>
      <c r="V87" s="209">
        <f t="shared" si="64"/>
        <v>0</v>
      </c>
      <c r="W87" s="209">
        <f t="shared" si="65"/>
        <v>0</v>
      </c>
      <c r="X87" s="209">
        <f t="shared" si="66"/>
        <v>0</v>
      </c>
      <c r="Y87" s="209">
        <f t="shared" si="67"/>
        <v>0</v>
      </c>
      <c r="Z87" s="209">
        <f t="shared" si="68"/>
        <v>-0.75</v>
      </c>
      <c r="AA87" s="205">
        <f t="shared" si="69"/>
        <v>0</v>
      </c>
      <c r="AB87" s="209">
        <f t="shared" si="70"/>
        <v>0</v>
      </c>
      <c r="AC87" s="205">
        <f t="shared" si="71"/>
        <v>0</v>
      </c>
      <c r="AD87" s="210">
        <f t="shared" si="72"/>
        <v>0.867361111115315</v>
      </c>
      <c r="AE87" s="210">
        <f t="shared" si="73"/>
        <v>0</v>
      </c>
      <c r="AF87" s="210">
        <f t="shared" si="74"/>
        <v>0.867361111115315</v>
      </c>
      <c r="AG87" s="210">
        <f t="shared" si="75"/>
        <v>0</v>
      </c>
    </row>
    <row r="88" spans="2:33" ht="15" customHeight="1" x14ac:dyDescent="0.3">
      <c r="B88" s="196" t="s">
        <v>5</v>
      </c>
      <c r="C88" s="197" t="s">
        <v>13</v>
      </c>
      <c r="D88" s="198" t="str">
        <f t="shared" si="57"/>
        <v>C</v>
      </c>
      <c r="E88" s="199">
        <v>44012.5</v>
      </c>
      <c r="F88" s="200" t="s">
        <v>94</v>
      </c>
      <c r="G88" s="201">
        <v>6165.96</v>
      </c>
      <c r="H88" s="201">
        <v>6274.99</v>
      </c>
      <c r="I88" s="202">
        <f t="shared" si="58"/>
        <v>109.02999999999975</v>
      </c>
      <c r="J88" s="201">
        <v>5620.8</v>
      </c>
      <c r="K88" s="199">
        <v>44014.654861111114</v>
      </c>
      <c r="L88" s="201">
        <v>6230.72</v>
      </c>
      <c r="M88" s="203">
        <f t="shared" si="59"/>
        <v>-64.760000000000005</v>
      </c>
      <c r="N88" s="204">
        <f t="shared" si="60"/>
        <v>-0.59</v>
      </c>
      <c r="O88" s="205">
        <f t="shared" si="61"/>
        <v>0</v>
      </c>
      <c r="P88" s="206">
        <f t="shared" si="62"/>
        <v>0</v>
      </c>
      <c r="Q88" s="206">
        <f t="shared" si="63"/>
        <v>-0.59</v>
      </c>
      <c r="R8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8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99020</v>
      </c>
      <c r="T8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88" s="208">
        <f ca="1">IF(Tabla336106734823[[#This Row],[Equity]]&lt;Tabla336106734823[[#This Row],[Equity Peak]],(Tabla336106734823[[#This Row],[Equity Peak]]-Tabla336106734823[[#This Row],[Equity]])/Tabla336106734823[[#This Row],[Equity Peak]],"")</f>
        <v>2.2796802526398895E-2</v>
      </c>
      <c r="V88" s="209">
        <f t="shared" si="64"/>
        <v>0</v>
      </c>
      <c r="W88" s="209">
        <f t="shared" si="65"/>
        <v>0</v>
      </c>
      <c r="X88" s="209">
        <f t="shared" si="66"/>
        <v>0</v>
      </c>
      <c r="Y88" s="209">
        <f t="shared" si="67"/>
        <v>0</v>
      </c>
      <c r="Z88" s="209">
        <f t="shared" si="68"/>
        <v>-0.59</v>
      </c>
      <c r="AA88" s="205">
        <f t="shared" si="69"/>
        <v>0</v>
      </c>
      <c r="AB88" s="209">
        <f t="shared" si="70"/>
        <v>0</v>
      </c>
      <c r="AC88" s="205">
        <f t="shared" si="71"/>
        <v>0</v>
      </c>
      <c r="AD88" s="210">
        <f t="shared" si="72"/>
        <v>2.1548611111138598</v>
      </c>
      <c r="AE88" s="210">
        <f t="shared" si="73"/>
        <v>0</v>
      </c>
      <c r="AF88" s="210">
        <f t="shared" si="74"/>
        <v>2.1548611111138598</v>
      </c>
      <c r="AG88" s="210">
        <f t="shared" si="75"/>
        <v>0</v>
      </c>
    </row>
    <row r="89" spans="2:33" ht="15" customHeight="1" x14ac:dyDescent="0.3">
      <c r="B89" s="196" t="s">
        <v>5</v>
      </c>
      <c r="C89" s="197" t="s">
        <v>15</v>
      </c>
      <c r="D89" s="198" t="str">
        <f t="shared" si="57"/>
        <v>C</v>
      </c>
      <c r="E89" s="199">
        <v>44012.166666666664</v>
      </c>
      <c r="F89" s="200" t="s">
        <v>94</v>
      </c>
      <c r="G89" s="201">
        <v>6240.02</v>
      </c>
      <c r="H89" s="201">
        <v>6136</v>
      </c>
      <c r="I89" s="202">
        <f t="shared" si="58"/>
        <v>104.02000000000044</v>
      </c>
      <c r="J89" s="201">
        <v>6760.13</v>
      </c>
      <c r="K89" s="199">
        <v>44012.47152777778</v>
      </c>
      <c r="L89" s="201">
        <v>6171.75</v>
      </c>
      <c r="M89" s="203">
        <f t="shared" si="59"/>
        <v>-68.27</v>
      </c>
      <c r="N89" s="204">
        <f t="shared" si="60"/>
        <v>-0.66</v>
      </c>
      <c r="O89" s="205">
        <f t="shared" si="61"/>
        <v>0</v>
      </c>
      <c r="P89" s="206">
        <f t="shared" si="62"/>
        <v>0</v>
      </c>
      <c r="Q89" s="206">
        <f t="shared" si="63"/>
        <v>-0.66</v>
      </c>
      <c r="R8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8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99610</v>
      </c>
      <c r="T8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89" s="208">
        <f ca="1">IF(Tabla336106734823[[#This Row],[Equity]]&lt;Tabla336106734823[[#This Row],[Equity Peak]],(Tabla336106734823[[#This Row],[Equity Peak]]-Tabla336106734823[[#This Row],[Equity]])/Tabla336106734823[[#This Row],[Equity Peak]],"")</f>
        <v>1.6974242573768873E-2</v>
      </c>
      <c r="V89" s="209">
        <f t="shared" si="64"/>
        <v>0</v>
      </c>
      <c r="W89" s="209">
        <f t="shared" si="65"/>
        <v>0</v>
      </c>
      <c r="X89" s="209">
        <f t="shared" si="66"/>
        <v>0</v>
      </c>
      <c r="Y89" s="209">
        <f t="shared" si="67"/>
        <v>0</v>
      </c>
      <c r="Z89" s="209">
        <f t="shared" si="68"/>
        <v>-0.66</v>
      </c>
      <c r="AA89" s="205">
        <f t="shared" si="69"/>
        <v>0</v>
      </c>
      <c r="AB89" s="209">
        <f t="shared" si="70"/>
        <v>0</v>
      </c>
      <c r="AC89" s="205">
        <f t="shared" si="71"/>
        <v>0</v>
      </c>
      <c r="AD89" s="210">
        <f t="shared" si="72"/>
        <v>0.304861111115315</v>
      </c>
      <c r="AE89" s="210">
        <f t="shared" si="73"/>
        <v>0</v>
      </c>
      <c r="AF89" s="210">
        <f t="shared" si="74"/>
        <v>0.304861111115315</v>
      </c>
      <c r="AG89" s="210">
        <f t="shared" si="75"/>
        <v>0</v>
      </c>
    </row>
    <row r="90" spans="2:33" ht="15" customHeight="1" x14ac:dyDescent="0.3">
      <c r="B90" s="196" t="s">
        <v>5</v>
      </c>
      <c r="C90" s="197" t="s">
        <v>13</v>
      </c>
      <c r="D90" s="198" t="str">
        <f t="shared" si="57"/>
        <v>C</v>
      </c>
      <c r="E90" s="199">
        <v>44006.833333333336</v>
      </c>
      <c r="F90" s="200" t="s">
        <v>94</v>
      </c>
      <c r="G90" s="201">
        <v>6138.51</v>
      </c>
      <c r="H90" s="201">
        <v>6253.87</v>
      </c>
      <c r="I90" s="202">
        <f t="shared" si="58"/>
        <v>115.35999999999967</v>
      </c>
      <c r="J90" s="201">
        <v>5561.73</v>
      </c>
      <c r="K90" s="199">
        <v>44007.926388888889</v>
      </c>
      <c r="L90" s="201">
        <v>6191.02</v>
      </c>
      <c r="M90" s="203">
        <f t="shared" si="59"/>
        <v>-52.51</v>
      </c>
      <c r="N90" s="204">
        <f t="shared" si="60"/>
        <v>-0.46</v>
      </c>
      <c r="O90" s="205">
        <f t="shared" si="61"/>
        <v>0</v>
      </c>
      <c r="P90" s="206">
        <f t="shared" si="62"/>
        <v>0</v>
      </c>
      <c r="Q90" s="206">
        <f t="shared" si="63"/>
        <v>-0.46</v>
      </c>
      <c r="R9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9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100270</v>
      </c>
      <c r="T9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90" s="208">
        <f ca="1">IF(Tabla336106734823[[#This Row],[Equity]]&lt;Tabla336106734823[[#This Row],[Equity Peak]],(Tabla336106734823[[#This Row],[Equity Peak]]-Tabla336106734823[[#This Row],[Equity]])/Tabla336106734823[[#This Row],[Equity Peak]],"")</f>
        <v>1.0460870423369189E-2</v>
      </c>
      <c r="V90" s="209">
        <f t="shared" si="64"/>
        <v>0</v>
      </c>
      <c r="W90" s="209">
        <f t="shared" si="65"/>
        <v>0</v>
      </c>
      <c r="X90" s="209">
        <f t="shared" si="66"/>
        <v>0</v>
      </c>
      <c r="Y90" s="209">
        <f t="shared" si="67"/>
        <v>0</v>
      </c>
      <c r="Z90" s="209">
        <f t="shared" si="68"/>
        <v>-0.46</v>
      </c>
      <c r="AA90" s="205">
        <f t="shared" si="69"/>
        <v>0</v>
      </c>
      <c r="AB90" s="209">
        <f t="shared" si="70"/>
        <v>0</v>
      </c>
      <c r="AC90" s="205">
        <f t="shared" si="71"/>
        <v>0</v>
      </c>
      <c r="AD90" s="210">
        <f t="shared" si="72"/>
        <v>1.0930555555532919</v>
      </c>
      <c r="AE90" s="210">
        <f t="shared" si="73"/>
        <v>0</v>
      </c>
      <c r="AF90" s="210">
        <f t="shared" si="74"/>
        <v>1.0930555555532919</v>
      </c>
      <c r="AG90" s="210">
        <f t="shared" si="75"/>
        <v>0</v>
      </c>
    </row>
    <row r="91" spans="2:33" ht="15" customHeight="1" x14ac:dyDescent="0.3">
      <c r="B91" s="196" t="s">
        <v>5</v>
      </c>
      <c r="C91" s="197" t="s">
        <v>15</v>
      </c>
      <c r="D91" s="198" t="str">
        <f t="shared" si="57"/>
        <v>C</v>
      </c>
      <c r="E91" s="199">
        <v>43998.666666666664</v>
      </c>
      <c r="F91" s="200" t="s">
        <v>94</v>
      </c>
      <c r="G91" s="201">
        <v>6286.87</v>
      </c>
      <c r="H91" s="201">
        <v>6103.39</v>
      </c>
      <c r="I91" s="202">
        <f t="shared" si="58"/>
        <v>183.47999999999956</v>
      </c>
      <c r="J91" s="201">
        <v>7204.26</v>
      </c>
      <c r="K91" s="199">
        <v>44000.179861111108</v>
      </c>
      <c r="L91" s="201">
        <v>6177.61</v>
      </c>
      <c r="M91" s="203">
        <f t="shared" si="59"/>
        <v>-109.26</v>
      </c>
      <c r="N91" s="204">
        <f t="shared" si="60"/>
        <v>-0.6</v>
      </c>
      <c r="O91" s="205">
        <f t="shared" si="61"/>
        <v>0</v>
      </c>
      <c r="P91" s="206">
        <f t="shared" si="62"/>
        <v>0</v>
      </c>
      <c r="Q91" s="206">
        <f t="shared" si="63"/>
        <v>-0.6</v>
      </c>
      <c r="R9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9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100730</v>
      </c>
      <c r="T9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91" s="208">
        <f ca="1">IF(Tabla336106734823[[#This Row],[Equity]]&lt;Tabla336106734823[[#This Row],[Equity Peak]],(Tabla336106734823[[#This Row],[Equity Peak]]-Tabla336106734823[[#This Row],[Equity]])/Tabla336106734823[[#This Row],[Equity Peak]],"")</f>
        <v>5.921247409454258E-3</v>
      </c>
      <c r="V91" s="209">
        <f t="shared" si="64"/>
        <v>0</v>
      </c>
      <c r="W91" s="209">
        <f t="shared" si="65"/>
        <v>0</v>
      </c>
      <c r="X91" s="209">
        <f t="shared" si="66"/>
        <v>0</v>
      </c>
      <c r="Y91" s="209">
        <f t="shared" si="67"/>
        <v>0</v>
      </c>
      <c r="Z91" s="209">
        <f t="shared" si="68"/>
        <v>-0.6</v>
      </c>
      <c r="AA91" s="205">
        <f t="shared" si="69"/>
        <v>0</v>
      </c>
      <c r="AB91" s="209">
        <f t="shared" si="70"/>
        <v>0</v>
      </c>
      <c r="AC91" s="205">
        <f t="shared" si="71"/>
        <v>0</v>
      </c>
      <c r="AD91" s="210">
        <f t="shared" si="72"/>
        <v>1.5131944444437977</v>
      </c>
      <c r="AE91" s="210">
        <f t="shared" si="73"/>
        <v>0</v>
      </c>
      <c r="AF91" s="210">
        <f t="shared" si="74"/>
        <v>1.5131944444437977</v>
      </c>
      <c r="AG91" s="210">
        <f t="shared" si="75"/>
        <v>0</v>
      </c>
    </row>
    <row r="92" spans="2:33" ht="15" customHeight="1" x14ac:dyDescent="0.3">
      <c r="B92" s="196" t="s">
        <v>5</v>
      </c>
      <c r="C92" s="197" t="s">
        <v>13</v>
      </c>
      <c r="D92" s="198" t="str">
        <f t="shared" si="57"/>
        <v>C</v>
      </c>
      <c r="E92" s="199">
        <v>43993.333333333336</v>
      </c>
      <c r="F92" s="200" t="s">
        <v>94</v>
      </c>
      <c r="G92" s="201">
        <v>6225.12</v>
      </c>
      <c r="H92" s="201">
        <v>6339.59</v>
      </c>
      <c r="I92" s="202">
        <f t="shared" si="58"/>
        <v>114.47000000000025</v>
      </c>
      <c r="J92" s="201">
        <v>5652.76</v>
      </c>
      <c r="K92" s="199">
        <v>43994.48541666667</v>
      </c>
      <c r="L92" s="201">
        <v>6131.03</v>
      </c>
      <c r="M92" s="203">
        <f t="shared" si="59"/>
        <v>94.09</v>
      </c>
      <c r="N92" s="204">
        <f t="shared" si="60"/>
        <v>0.82</v>
      </c>
      <c r="O92" s="205">
        <f t="shared" si="61"/>
        <v>0</v>
      </c>
      <c r="P92" s="206">
        <f t="shared" si="62"/>
        <v>0.82</v>
      </c>
      <c r="Q92" s="206">
        <f t="shared" si="63"/>
        <v>0</v>
      </c>
      <c r="R9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9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101330</v>
      </c>
      <c r="T9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101330</v>
      </c>
      <c r="U92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92" s="209">
        <f t="shared" si="64"/>
        <v>0</v>
      </c>
      <c r="W92" s="209">
        <f t="shared" si="65"/>
        <v>0</v>
      </c>
      <c r="X92" s="209">
        <f t="shared" si="66"/>
        <v>0</v>
      </c>
      <c r="Y92" s="209">
        <f t="shared" si="67"/>
        <v>0</v>
      </c>
      <c r="Z92" s="209">
        <f t="shared" si="68"/>
        <v>0.82</v>
      </c>
      <c r="AA92" s="205">
        <f t="shared" si="69"/>
        <v>0</v>
      </c>
      <c r="AB92" s="209">
        <f t="shared" si="70"/>
        <v>0</v>
      </c>
      <c r="AC92" s="205">
        <f t="shared" si="71"/>
        <v>0</v>
      </c>
      <c r="AD92" s="210">
        <f t="shared" si="72"/>
        <v>1.1520833333343035</v>
      </c>
      <c r="AE92" s="210">
        <f t="shared" si="73"/>
        <v>1.1520833333343035</v>
      </c>
      <c r="AF92" s="210">
        <f t="shared" si="74"/>
        <v>0</v>
      </c>
      <c r="AG92" s="210">
        <f t="shared" si="75"/>
        <v>0</v>
      </c>
    </row>
    <row r="93" spans="2:33" ht="15" customHeight="1" x14ac:dyDescent="0.3">
      <c r="B93" s="196" t="s">
        <v>5</v>
      </c>
      <c r="C93" s="197" t="s">
        <v>15</v>
      </c>
      <c r="D93" s="198" t="str">
        <f t="shared" si="57"/>
        <v>C</v>
      </c>
      <c r="E93" s="199">
        <v>43969.416666666664</v>
      </c>
      <c r="F93" s="200" t="s">
        <v>94</v>
      </c>
      <c r="G93" s="201">
        <v>5899.79</v>
      </c>
      <c r="H93" s="201">
        <v>5782.54</v>
      </c>
      <c r="I93" s="202">
        <f t="shared" si="58"/>
        <v>117.25</v>
      </c>
      <c r="J93" s="201">
        <v>6486.05</v>
      </c>
      <c r="K93" s="199">
        <v>43970.7</v>
      </c>
      <c r="L93" s="201">
        <v>5970.84</v>
      </c>
      <c r="M93" s="203">
        <f t="shared" si="59"/>
        <v>71.05</v>
      </c>
      <c r="N93" s="204">
        <f t="shared" si="60"/>
        <v>0.61</v>
      </c>
      <c r="O93" s="205">
        <f t="shared" si="61"/>
        <v>0</v>
      </c>
      <c r="P93" s="206">
        <f t="shared" si="62"/>
        <v>0.61</v>
      </c>
      <c r="Q93" s="206">
        <f t="shared" si="63"/>
        <v>0</v>
      </c>
      <c r="R9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9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100510</v>
      </c>
      <c r="T9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100650</v>
      </c>
      <c r="U93" s="208">
        <f ca="1">IF(Tabla336106734823[[#This Row],[Equity]]&lt;Tabla336106734823[[#This Row],[Equity Peak]],(Tabla336106734823[[#This Row],[Equity Peak]]-Tabla336106734823[[#This Row],[Equity]])/Tabla336106734823[[#This Row],[Equity Peak]],"")</f>
        <v>1.3909587680079483E-3</v>
      </c>
      <c r="V93" s="209">
        <f t="shared" si="64"/>
        <v>0</v>
      </c>
      <c r="W93" s="209">
        <f t="shared" si="65"/>
        <v>0</v>
      </c>
      <c r="X93" s="209">
        <f t="shared" si="66"/>
        <v>0</v>
      </c>
      <c r="Y93" s="209">
        <f t="shared" si="67"/>
        <v>0</v>
      </c>
      <c r="Z93" s="209">
        <f t="shared" si="68"/>
        <v>0.61</v>
      </c>
      <c r="AA93" s="205">
        <f t="shared" si="69"/>
        <v>0</v>
      </c>
      <c r="AB93" s="209">
        <f t="shared" si="70"/>
        <v>0</v>
      </c>
      <c r="AC93" s="205">
        <f t="shared" si="71"/>
        <v>0</v>
      </c>
      <c r="AD93" s="210">
        <f t="shared" si="72"/>
        <v>1.2833333333328483</v>
      </c>
      <c r="AE93" s="210">
        <f t="shared" si="73"/>
        <v>1.2833333333328483</v>
      </c>
      <c r="AF93" s="210">
        <f t="shared" si="74"/>
        <v>0</v>
      </c>
      <c r="AG93" s="210">
        <f t="shared" si="75"/>
        <v>0</v>
      </c>
    </row>
    <row r="94" spans="2:33" ht="15" customHeight="1" x14ac:dyDescent="0.3">
      <c r="B94" s="196" t="s">
        <v>5</v>
      </c>
      <c r="C94" s="197" t="s">
        <v>13</v>
      </c>
      <c r="D94" s="198" t="str">
        <f t="shared" si="57"/>
        <v>C</v>
      </c>
      <c r="E94" s="199">
        <v>43965.166666666664</v>
      </c>
      <c r="F94" s="200" t="s">
        <v>94</v>
      </c>
      <c r="G94" s="201">
        <v>5852.93</v>
      </c>
      <c r="H94" s="201">
        <v>5969.48</v>
      </c>
      <c r="I94" s="202">
        <f t="shared" si="58"/>
        <v>116.54999999999927</v>
      </c>
      <c r="J94" s="201">
        <v>5270.17</v>
      </c>
      <c r="K94" s="199">
        <v>43966.438888888886</v>
      </c>
      <c r="L94" s="201">
        <v>5835.03</v>
      </c>
      <c r="M94" s="203">
        <f t="shared" si="59"/>
        <v>17.899999999999999</v>
      </c>
      <c r="N94" s="204">
        <f t="shared" si="60"/>
        <v>0.15</v>
      </c>
      <c r="O94" s="205">
        <f t="shared" si="61"/>
        <v>0</v>
      </c>
      <c r="P94" s="206">
        <f t="shared" si="62"/>
        <v>0.15</v>
      </c>
      <c r="Q94" s="206">
        <f t="shared" si="63"/>
        <v>0</v>
      </c>
      <c r="R9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9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99900</v>
      </c>
      <c r="T9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100650</v>
      </c>
      <c r="U94" s="208">
        <f ca="1">IF(Tabla336106734823[[#This Row],[Equity]]&lt;Tabla336106734823[[#This Row],[Equity Peak]],(Tabla336106734823[[#This Row],[Equity Peak]]-Tabla336106734823[[#This Row],[Equity]])/Tabla336106734823[[#This Row],[Equity Peak]],"")</f>
        <v>7.4515648286140089E-3</v>
      </c>
      <c r="V94" s="209">
        <f t="shared" si="64"/>
        <v>0</v>
      </c>
      <c r="W94" s="209">
        <f t="shared" si="65"/>
        <v>0</v>
      </c>
      <c r="X94" s="209">
        <f t="shared" si="66"/>
        <v>0</v>
      </c>
      <c r="Y94" s="209">
        <f t="shared" si="67"/>
        <v>0</v>
      </c>
      <c r="Z94" s="209">
        <f t="shared" si="68"/>
        <v>0.15</v>
      </c>
      <c r="AA94" s="205">
        <f t="shared" si="69"/>
        <v>0</v>
      </c>
      <c r="AB94" s="209">
        <f t="shared" si="70"/>
        <v>0</v>
      </c>
      <c r="AC94" s="205">
        <f t="shared" si="71"/>
        <v>0</v>
      </c>
      <c r="AD94" s="210">
        <f t="shared" si="72"/>
        <v>1.2722222222218988</v>
      </c>
      <c r="AE94" s="210">
        <f t="shared" si="73"/>
        <v>1.2722222222218988</v>
      </c>
      <c r="AF94" s="210">
        <f t="shared" si="74"/>
        <v>0</v>
      </c>
      <c r="AG94" s="210">
        <f t="shared" si="75"/>
        <v>0</v>
      </c>
    </row>
    <row r="95" spans="2:33" ht="15" customHeight="1" x14ac:dyDescent="0.3">
      <c r="B95" s="196" t="s">
        <v>5</v>
      </c>
      <c r="C95" s="197" t="s">
        <v>15</v>
      </c>
      <c r="D95" s="198" t="str">
        <f t="shared" si="57"/>
        <v>C</v>
      </c>
      <c r="E95" s="199">
        <v>43957.5</v>
      </c>
      <c r="F95" s="200" t="s">
        <v>94</v>
      </c>
      <c r="G95" s="201">
        <v>5877.37</v>
      </c>
      <c r="H95" s="201">
        <v>5769.58</v>
      </c>
      <c r="I95" s="202">
        <f t="shared" si="58"/>
        <v>107.78999999999996</v>
      </c>
      <c r="J95" s="201">
        <v>6416.31</v>
      </c>
      <c r="K95" s="199">
        <v>43957.98541666667</v>
      </c>
      <c r="L95" s="201">
        <v>5805.2</v>
      </c>
      <c r="M95" s="203">
        <f t="shared" si="59"/>
        <v>-72.17</v>
      </c>
      <c r="N95" s="204">
        <f t="shared" si="60"/>
        <v>-0.67</v>
      </c>
      <c r="O95" s="205">
        <f t="shared" si="61"/>
        <v>0</v>
      </c>
      <c r="P95" s="206">
        <f t="shared" si="62"/>
        <v>0</v>
      </c>
      <c r="Q95" s="206">
        <f t="shared" si="63"/>
        <v>-0.67</v>
      </c>
      <c r="R9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9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99750</v>
      </c>
      <c r="T9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100650</v>
      </c>
      <c r="U95" s="208">
        <f ca="1">IF(Tabla336106734823[[#This Row],[Equity]]&lt;Tabla336106734823[[#This Row],[Equity Peak]],(Tabla336106734823[[#This Row],[Equity Peak]]-Tabla336106734823[[#This Row],[Equity]])/Tabla336106734823[[#This Row],[Equity Peak]],"")</f>
        <v>8.9418777943368107E-3</v>
      </c>
      <c r="V95" s="209">
        <f t="shared" si="64"/>
        <v>0</v>
      </c>
      <c r="W95" s="209">
        <f t="shared" si="65"/>
        <v>0</v>
      </c>
      <c r="X95" s="209">
        <f t="shared" si="66"/>
        <v>0</v>
      </c>
      <c r="Y95" s="209">
        <f t="shared" si="67"/>
        <v>0</v>
      </c>
      <c r="Z95" s="209">
        <f t="shared" si="68"/>
        <v>-0.67</v>
      </c>
      <c r="AA95" s="205">
        <f t="shared" si="69"/>
        <v>0</v>
      </c>
      <c r="AB95" s="209">
        <f t="shared" si="70"/>
        <v>0</v>
      </c>
      <c r="AC95" s="205">
        <f t="shared" si="71"/>
        <v>0</v>
      </c>
      <c r="AD95" s="210">
        <f t="shared" si="72"/>
        <v>0.48541666667006211</v>
      </c>
      <c r="AE95" s="210">
        <f t="shared" si="73"/>
        <v>0</v>
      </c>
      <c r="AF95" s="210">
        <f t="shared" si="74"/>
        <v>0.48541666667006211</v>
      </c>
      <c r="AG95" s="210">
        <f t="shared" si="75"/>
        <v>0</v>
      </c>
    </row>
    <row r="96" spans="2:33" ht="15" customHeight="1" x14ac:dyDescent="0.3">
      <c r="B96" s="196" t="s">
        <v>5</v>
      </c>
      <c r="C96" s="197" t="s">
        <v>13</v>
      </c>
      <c r="D96" s="198" t="str">
        <f t="shared" si="57"/>
        <v>C</v>
      </c>
      <c r="E96" s="199">
        <v>43952.5</v>
      </c>
      <c r="F96" s="200" t="s">
        <v>94</v>
      </c>
      <c r="G96" s="201">
        <v>5773.08</v>
      </c>
      <c r="H96" s="201">
        <v>5932.33</v>
      </c>
      <c r="I96" s="202">
        <f t="shared" si="58"/>
        <v>159.25</v>
      </c>
      <c r="J96" s="201">
        <v>4976.82</v>
      </c>
      <c r="K96" s="199">
        <v>43955.943055555559</v>
      </c>
      <c r="L96" s="201">
        <v>5810.34</v>
      </c>
      <c r="M96" s="203">
        <f t="shared" si="59"/>
        <v>-37.26</v>
      </c>
      <c r="N96" s="204">
        <f t="shared" si="60"/>
        <v>-0.23</v>
      </c>
      <c r="O96" s="205">
        <f t="shared" si="61"/>
        <v>0</v>
      </c>
      <c r="P96" s="206">
        <f t="shared" si="62"/>
        <v>0</v>
      </c>
      <c r="Q96" s="206">
        <f t="shared" si="63"/>
        <v>-0.23</v>
      </c>
      <c r="R9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9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100420</v>
      </c>
      <c r="T9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100650</v>
      </c>
      <c r="U96" s="208">
        <f ca="1">IF(Tabla336106734823[[#This Row],[Equity]]&lt;Tabla336106734823[[#This Row],[Equity Peak]],(Tabla336106734823[[#This Row],[Equity Peak]]-Tabla336106734823[[#This Row],[Equity]])/Tabla336106734823[[#This Row],[Equity Peak]],"")</f>
        <v>2.2851465474416294E-3</v>
      </c>
      <c r="V96" s="209">
        <f t="shared" si="64"/>
        <v>0</v>
      </c>
      <c r="W96" s="209">
        <f t="shared" si="65"/>
        <v>0</v>
      </c>
      <c r="X96" s="209">
        <f t="shared" si="66"/>
        <v>0</v>
      </c>
      <c r="Y96" s="209">
        <f t="shared" si="67"/>
        <v>0</v>
      </c>
      <c r="Z96" s="209">
        <f t="shared" si="68"/>
        <v>-0.23</v>
      </c>
      <c r="AA96" s="205">
        <f t="shared" si="69"/>
        <v>0</v>
      </c>
      <c r="AB96" s="209">
        <f t="shared" si="70"/>
        <v>0</v>
      </c>
      <c r="AC96" s="205">
        <f t="shared" si="71"/>
        <v>0</v>
      </c>
      <c r="AD96" s="210">
        <f t="shared" si="72"/>
        <v>3.4430555555591127</v>
      </c>
      <c r="AE96" s="210">
        <f t="shared" si="73"/>
        <v>0</v>
      </c>
      <c r="AF96" s="210">
        <f t="shared" si="74"/>
        <v>3.4430555555591127</v>
      </c>
      <c r="AG96" s="210">
        <f t="shared" si="75"/>
        <v>0</v>
      </c>
    </row>
    <row r="97" spans="2:33" ht="15" customHeight="1" x14ac:dyDescent="0.3">
      <c r="B97" s="196" t="s">
        <v>5</v>
      </c>
      <c r="C97" s="197" t="s">
        <v>15</v>
      </c>
      <c r="D97" s="198" t="str">
        <f t="shared" si="57"/>
        <v>C</v>
      </c>
      <c r="E97" s="199">
        <v>43943.5</v>
      </c>
      <c r="F97" s="200" t="s">
        <v>94</v>
      </c>
      <c r="G97" s="201">
        <v>5740.04</v>
      </c>
      <c r="H97" s="201">
        <v>5602.56</v>
      </c>
      <c r="I97" s="202">
        <f t="shared" si="58"/>
        <v>137.47999999999956</v>
      </c>
      <c r="J97" s="201">
        <v>6427.45</v>
      </c>
      <c r="K97" s="199">
        <v>43951.561111111114</v>
      </c>
      <c r="L97" s="201">
        <v>6077.52</v>
      </c>
      <c r="M97" s="203">
        <f t="shared" si="59"/>
        <v>337.48</v>
      </c>
      <c r="N97" s="204">
        <f t="shared" si="60"/>
        <v>2.4500000000000002</v>
      </c>
      <c r="O97" s="205">
        <f t="shared" si="61"/>
        <v>0</v>
      </c>
      <c r="P97" s="206">
        <f t="shared" si="62"/>
        <v>2.4500000000000002</v>
      </c>
      <c r="Q97" s="206">
        <f t="shared" si="63"/>
        <v>0</v>
      </c>
      <c r="R9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9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100650</v>
      </c>
      <c r="T9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100650</v>
      </c>
      <c r="U97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97" s="209">
        <f t="shared" si="64"/>
        <v>0</v>
      </c>
      <c r="W97" s="209">
        <f t="shared" si="65"/>
        <v>0</v>
      </c>
      <c r="X97" s="209">
        <f t="shared" si="66"/>
        <v>0</v>
      </c>
      <c r="Y97" s="209">
        <f t="shared" si="67"/>
        <v>0</v>
      </c>
      <c r="Z97" s="209">
        <f t="shared" si="68"/>
        <v>2.4500000000000002</v>
      </c>
      <c r="AA97" s="205">
        <f t="shared" si="69"/>
        <v>0</v>
      </c>
      <c r="AB97" s="209">
        <f t="shared" si="70"/>
        <v>0</v>
      </c>
      <c r="AC97" s="205">
        <f t="shared" si="71"/>
        <v>0</v>
      </c>
      <c r="AD97" s="210">
        <f t="shared" si="72"/>
        <v>8.0611111111138598</v>
      </c>
      <c r="AE97" s="210">
        <f t="shared" si="73"/>
        <v>8.0611111111138598</v>
      </c>
      <c r="AF97" s="210">
        <f t="shared" si="74"/>
        <v>0</v>
      </c>
      <c r="AG97" s="210">
        <f t="shared" si="75"/>
        <v>0</v>
      </c>
    </row>
    <row r="98" spans="2:33" ht="15" customHeight="1" x14ac:dyDescent="0.3">
      <c r="B98" s="196" t="s">
        <v>5</v>
      </c>
      <c r="C98" s="197" t="s">
        <v>13</v>
      </c>
      <c r="D98" s="198" t="str">
        <f t="shared" si="57"/>
        <v>C</v>
      </c>
      <c r="E98" s="199">
        <v>43943.017361111109</v>
      </c>
      <c r="F98" s="200" t="s">
        <v>94</v>
      </c>
      <c r="G98" s="201">
        <v>5655</v>
      </c>
      <c r="H98" s="201">
        <v>5792.33</v>
      </c>
      <c r="I98" s="202">
        <f t="shared" si="58"/>
        <v>137.32999999999993</v>
      </c>
      <c r="J98" s="201">
        <v>4968.34</v>
      </c>
      <c r="K98" s="199">
        <v>43943.5</v>
      </c>
      <c r="L98" s="201">
        <v>5740.04</v>
      </c>
      <c r="M98" s="203">
        <f t="shared" si="59"/>
        <v>-85.04</v>
      </c>
      <c r="N98" s="204">
        <f t="shared" si="60"/>
        <v>-0.62</v>
      </c>
      <c r="O98" s="205">
        <f t="shared" si="61"/>
        <v>0</v>
      </c>
      <c r="P98" s="206">
        <f t="shared" si="62"/>
        <v>0</v>
      </c>
      <c r="Q98" s="206">
        <f t="shared" si="63"/>
        <v>-0.62</v>
      </c>
      <c r="R9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9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98200</v>
      </c>
      <c r="T9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100580</v>
      </c>
      <c r="U98" s="208">
        <f ca="1">IF(Tabla336106734823[[#This Row],[Equity]]&lt;Tabla336106734823[[#This Row],[Equity Peak]],(Tabla336106734823[[#This Row],[Equity Peak]]-Tabla336106734823[[#This Row],[Equity]])/Tabla336106734823[[#This Row],[Equity Peak]],"")</f>
        <v>2.3662756015112349E-2</v>
      </c>
      <c r="V98" s="209">
        <f t="shared" si="64"/>
        <v>0</v>
      </c>
      <c r="W98" s="209">
        <f t="shared" si="65"/>
        <v>0</v>
      </c>
      <c r="X98" s="209">
        <f t="shared" si="66"/>
        <v>0</v>
      </c>
      <c r="Y98" s="209">
        <f t="shared" si="67"/>
        <v>0</v>
      </c>
      <c r="Z98" s="209">
        <f t="shared" si="68"/>
        <v>-0.62</v>
      </c>
      <c r="AA98" s="205">
        <f t="shared" si="69"/>
        <v>0</v>
      </c>
      <c r="AB98" s="209">
        <f t="shared" si="70"/>
        <v>0</v>
      </c>
      <c r="AC98" s="205">
        <f t="shared" si="71"/>
        <v>0</v>
      </c>
      <c r="AD98" s="210">
        <f t="shared" si="72"/>
        <v>0.48263888889050577</v>
      </c>
      <c r="AE98" s="210">
        <f t="shared" si="73"/>
        <v>0</v>
      </c>
      <c r="AF98" s="210">
        <f t="shared" si="74"/>
        <v>0.48263888889050577</v>
      </c>
      <c r="AG98" s="210">
        <f t="shared" si="75"/>
        <v>0</v>
      </c>
    </row>
    <row r="99" spans="2:33" ht="15" customHeight="1" x14ac:dyDescent="0.3">
      <c r="B99" s="196" t="s">
        <v>5</v>
      </c>
      <c r="C99" s="197" t="s">
        <v>15</v>
      </c>
      <c r="D99" s="198" t="str">
        <f t="shared" si="57"/>
        <v>C</v>
      </c>
      <c r="E99" s="199">
        <v>43938.017361111109</v>
      </c>
      <c r="F99" s="200" t="s">
        <v>94</v>
      </c>
      <c r="G99" s="201">
        <v>5734.43</v>
      </c>
      <c r="H99" s="201">
        <v>5604.28</v>
      </c>
      <c r="I99" s="202">
        <f t="shared" si="58"/>
        <v>130.15000000000055</v>
      </c>
      <c r="J99" s="201">
        <v>6385.16</v>
      </c>
      <c r="K99" s="199">
        <v>43941.602777777778</v>
      </c>
      <c r="L99" s="201">
        <v>5728.95</v>
      </c>
      <c r="M99" s="203">
        <f t="shared" si="59"/>
        <v>-5.48</v>
      </c>
      <c r="N99" s="204">
        <f t="shared" si="60"/>
        <v>-0.04</v>
      </c>
      <c r="O99" s="205">
        <f t="shared" si="61"/>
        <v>0</v>
      </c>
      <c r="P99" s="206">
        <f t="shared" si="62"/>
        <v>0</v>
      </c>
      <c r="Q99" s="206">
        <f t="shared" si="63"/>
        <v>-0.04</v>
      </c>
      <c r="R9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9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98820</v>
      </c>
      <c r="T9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100580</v>
      </c>
      <c r="U99" s="208">
        <f ca="1">IF(Tabla336106734823[[#This Row],[Equity]]&lt;Tabla336106734823[[#This Row],[Equity Peak]],(Tabla336106734823[[#This Row],[Equity Peak]]-Tabla336106734823[[#This Row],[Equity]])/Tabla336106734823[[#This Row],[Equity Peak]],"")</f>
        <v>1.749850864983098E-2</v>
      </c>
      <c r="V99" s="209">
        <f t="shared" si="64"/>
        <v>0</v>
      </c>
      <c r="W99" s="209">
        <f t="shared" si="65"/>
        <v>0</v>
      </c>
      <c r="X99" s="209">
        <f t="shared" si="66"/>
        <v>0</v>
      </c>
      <c r="Y99" s="209">
        <f t="shared" si="67"/>
        <v>0</v>
      </c>
      <c r="Z99" s="209">
        <f t="shared" si="68"/>
        <v>-0.04</v>
      </c>
      <c r="AA99" s="205">
        <f t="shared" si="69"/>
        <v>0</v>
      </c>
      <c r="AB99" s="209">
        <f t="shared" si="70"/>
        <v>0</v>
      </c>
      <c r="AC99" s="205">
        <f t="shared" si="71"/>
        <v>0</v>
      </c>
      <c r="AD99" s="210">
        <f t="shared" si="72"/>
        <v>3.5854166666686069</v>
      </c>
      <c r="AE99" s="210">
        <f t="shared" si="73"/>
        <v>0</v>
      </c>
      <c r="AF99" s="210">
        <f t="shared" si="74"/>
        <v>3.5854166666686069</v>
      </c>
      <c r="AG99" s="210">
        <f t="shared" si="75"/>
        <v>0</v>
      </c>
    </row>
    <row r="100" spans="2:33" ht="15" customHeight="1" x14ac:dyDescent="0.3">
      <c r="B100" s="196" t="s">
        <v>5</v>
      </c>
      <c r="C100" s="197" t="s">
        <v>13</v>
      </c>
      <c r="D100" s="198" t="str">
        <f t="shared" si="57"/>
        <v>C</v>
      </c>
      <c r="E100" s="199">
        <v>43937.017361111109</v>
      </c>
      <c r="F100" s="200" t="s">
        <v>94</v>
      </c>
      <c r="G100" s="201">
        <v>5560.65</v>
      </c>
      <c r="H100" s="201">
        <v>5704.74</v>
      </c>
      <c r="I100" s="202">
        <f t="shared" si="58"/>
        <v>144.09000000000015</v>
      </c>
      <c r="J100" s="201">
        <v>4840.21</v>
      </c>
      <c r="K100" s="199">
        <v>43937.402083333334</v>
      </c>
      <c r="L100" s="201">
        <v>5653.15</v>
      </c>
      <c r="M100" s="203">
        <f t="shared" si="59"/>
        <v>-92.5</v>
      </c>
      <c r="N100" s="204">
        <f t="shared" si="60"/>
        <v>-0.64</v>
      </c>
      <c r="O100" s="205">
        <f t="shared" si="61"/>
        <v>0</v>
      </c>
      <c r="P100" s="206">
        <f t="shared" si="62"/>
        <v>0</v>
      </c>
      <c r="Q100" s="206">
        <f t="shared" si="63"/>
        <v>-0.64</v>
      </c>
      <c r="R10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10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98860</v>
      </c>
      <c r="T10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100580</v>
      </c>
      <c r="U100" s="208">
        <f ca="1">IF(Tabla336106734823[[#This Row],[Equity]]&lt;Tabla336106734823[[#This Row],[Equity Peak]],(Tabla336106734823[[#This Row],[Equity Peak]]-Tabla336106734823[[#This Row],[Equity]])/Tabla336106734823[[#This Row],[Equity Peak]],"")</f>
        <v>1.7100815271425731E-2</v>
      </c>
      <c r="V100" s="209">
        <f t="shared" si="64"/>
        <v>0</v>
      </c>
      <c r="W100" s="209">
        <f t="shared" si="65"/>
        <v>0</v>
      </c>
      <c r="X100" s="209">
        <f t="shared" si="66"/>
        <v>0</v>
      </c>
      <c r="Y100" s="209">
        <f t="shared" si="67"/>
        <v>0</v>
      </c>
      <c r="Z100" s="209">
        <f t="shared" si="68"/>
        <v>-0.64</v>
      </c>
      <c r="AA100" s="205">
        <f t="shared" si="69"/>
        <v>0</v>
      </c>
      <c r="AB100" s="209">
        <f t="shared" si="70"/>
        <v>0</v>
      </c>
      <c r="AC100" s="205">
        <f t="shared" si="71"/>
        <v>0</v>
      </c>
      <c r="AD100" s="210">
        <f t="shared" si="72"/>
        <v>0.38472222222480923</v>
      </c>
      <c r="AE100" s="210">
        <f t="shared" si="73"/>
        <v>0</v>
      </c>
      <c r="AF100" s="210">
        <f t="shared" si="74"/>
        <v>0.38472222222480923</v>
      </c>
      <c r="AG100" s="210">
        <f t="shared" si="75"/>
        <v>0</v>
      </c>
    </row>
    <row r="101" spans="2:33" ht="15" customHeight="1" x14ac:dyDescent="0.3">
      <c r="B101" s="196" t="s">
        <v>5</v>
      </c>
      <c r="C101" s="197" t="s">
        <v>15</v>
      </c>
      <c r="D101" s="198" t="str">
        <f t="shared" si="57"/>
        <v>C</v>
      </c>
      <c r="E101" s="199">
        <v>43927.583333333336</v>
      </c>
      <c r="F101" s="200" t="s">
        <v>94</v>
      </c>
      <c r="G101" s="201">
        <v>5535.2</v>
      </c>
      <c r="H101" s="201">
        <v>5358.27</v>
      </c>
      <c r="I101" s="202">
        <f t="shared" si="58"/>
        <v>176.92999999999938</v>
      </c>
      <c r="J101" s="201">
        <v>6419.83</v>
      </c>
      <c r="K101" s="199">
        <v>43929.401388888888</v>
      </c>
      <c r="L101" s="201">
        <v>5583.86</v>
      </c>
      <c r="M101" s="203">
        <f t="shared" si="59"/>
        <v>48.66</v>
      </c>
      <c r="N101" s="204">
        <f t="shared" si="60"/>
        <v>0.28000000000000003</v>
      </c>
      <c r="O101" s="205">
        <f t="shared" si="61"/>
        <v>0</v>
      </c>
      <c r="P101" s="206">
        <f t="shared" si="62"/>
        <v>0.28000000000000003</v>
      </c>
      <c r="Q101" s="206">
        <f t="shared" si="63"/>
        <v>0</v>
      </c>
      <c r="R10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10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99500</v>
      </c>
      <c r="T10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100580</v>
      </c>
      <c r="U101" s="208">
        <f ca="1">IF(Tabla336106734823[[#This Row],[Equity]]&lt;Tabla336106734823[[#This Row],[Equity Peak]],(Tabla336106734823[[#This Row],[Equity Peak]]-Tabla336106734823[[#This Row],[Equity]])/Tabla336106734823[[#This Row],[Equity Peak]],"")</f>
        <v>1.0737721216941738E-2</v>
      </c>
      <c r="V101" s="209">
        <f t="shared" si="64"/>
        <v>0</v>
      </c>
      <c r="W101" s="209">
        <f t="shared" si="65"/>
        <v>0</v>
      </c>
      <c r="X101" s="209">
        <f t="shared" si="66"/>
        <v>0</v>
      </c>
      <c r="Y101" s="209">
        <f t="shared" si="67"/>
        <v>0</v>
      </c>
      <c r="Z101" s="209">
        <f t="shared" si="68"/>
        <v>0.28000000000000003</v>
      </c>
      <c r="AA101" s="205">
        <f t="shared" si="69"/>
        <v>0</v>
      </c>
      <c r="AB101" s="209">
        <f t="shared" si="70"/>
        <v>0</v>
      </c>
      <c r="AC101" s="205">
        <f t="shared" si="71"/>
        <v>0</v>
      </c>
      <c r="AD101" s="210">
        <f t="shared" si="72"/>
        <v>1.8180555555518367</v>
      </c>
      <c r="AE101" s="210">
        <f t="shared" si="73"/>
        <v>1.8180555555518367</v>
      </c>
      <c r="AF101" s="210">
        <f t="shared" si="74"/>
        <v>0</v>
      </c>
      <c r="AG101" s="210">
        <f t="shared" si="75"/>
        <v>0</v>
      </c>
    </row>
    <row r="102" spans="2:33" ht="15" customHeight="1" x14ac:dyDescent="0.3">
      <c r="B102" s="196" t="s">
        <v>5</v>
      </c>
      <c r="C102" s="197" t="s">
        <v>13</v>
      </c>
      <c r="D102" s="198" t="str">
        <f t="shared" si="57"/>
        <v>C</v>
      </c>
      <c r="E102" s="199">
        <v>43922.833333333336</v>
      </c>
      <c r="F102" s="200" t="s">
        <v>94</v>
      </c>
      <c r="G102" s="201">
        <v>5391.59</v>
      </c>
      <c r="H102" s="201">
        <v>5597.8</v>
      </c>
      <c r="I102" s="202">
        <f t="shared" si="58"/>
        <v>206.21000000000004</v>
      </c>
      <c r="J102" s="201">
        <v>4360.5600000000004</v>
      </c>
      <c r="K102" s="199">
        <v>43923.728472222225</v>
      </c>
      <c r="L102" s="201">
        <v>5514.5</v>
      </c>
      <c r="M102" s="203">
        <f t="shared" si="59"/>
        <v>-122.91</v>
      </c>
      <c r="N102" s="204">
        <f t="shared" si="60"/>
        <v>-0.6</v>
      </c>
      <c r="O102" s="205">
        <f t="shared" si="61"/>
        <v>0</v>
      </c>
      <c r="P102" s="206">
        <f t="shared" si="62"/>
        <v>0</v>
      </c>
      <c r="Q102" s="206">
        <f t="shared" si="63"/>
        <v>-0.6</v>
      </c>
      <c r="R10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10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99220</v>
      </c>
      <c r="T10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100580</v>
      </c>
      <c r="U102" s="208">
        <f ca="1">IF(Tabla336106734823[[#This Row],[Equity]]&lt;Tabla336106734823[[#This Row],[Equity Peak]],(Tabla336106734823[[#This Row],[Equity Peak]]-Tabla336106734823[[#This Row],[Equity]])/Tabla336106734823[[#This Row],[Equity Peak]],"")</f>
        <v>1.3521574865778485E-2</v>
      </c>
      <c r="V102" s="209">
        <f t="shared" si="64"/>
        <v>0</v>
      </c>
      <c r="W102" s="209">
        <f t="shared" si="65"/>
        <v>0</v>
      </c>
      <c r="X102" s="209">
        <f t="shared" si="66"/>
        <v>0</v>
      </c>
      <c r="Y102" s="209">
        <f t="shared" si="67"/>
        <v>0</v>
      </c>
      <c r="Z102" s="209">
        <f t="shared" si="68"/>
        <v>-0.6</v>
      </c>
      <c r="AA102" s="205">
        <f t="shared" si="69"/>
        <v>0</v>
      </c>
      <c r="AB102" s="209">
        <f t="shared" si="70"/>
        <v>0</v>
      </c>
      <c r="AC102" s="205">
        <f t="shared" si="71"/>
        <v>0</v>
      </c>
      <c r="AD102" s="210">
        <f t="shared" si="72"/>
        <v>0.89513888888905058</v>
      </c>
      <c r="AE102" s="210">
        <f t="shared" si="73"/>
        <v>0</v>
      </c>
      <c r="AF102" s="210">
        <f t="shared" si="74"/>
        <v>0.89513888888905058</v>
      </c>
      <c r="AG102" s="210">
        <f t="shared" si="75"/>
        <v>0</v>
      </c>
    </row>
    <row r="103" spans="2:33" ht="15" customHeight="1" x14ac:dyDescent="0.3">
      <c r="B103" s="196" t="s">
        <v>5</v>
      </c>
      <c r="C103" s="197" t="s">
        <v>15</v>
      </c>
      <c r="D103" s="198" t="str">
        <f t="shared" si="57"/>
        <v>C</v>
      </c>
      <c r="E103" s="199">
        <v>43915.5</v>
      </c>
      <c r="F103" s="200" t="s">
        <v>94</v>
      </c>
      <c r="G103" s="201">
        <v>5692.75</v>
      </c>
      <c r="H103" s="201">
        <v>5399.77</v>
      </c>
      <c r="I103" s="202">
        <f t="shared" si="58"/>
        <v>292.97999999999956</v>
      </c>
      <c r="J103" s="201">
        <v>7157.64</v>
      </c>
      <c r="K103" s="199">
        <v>43915.566666666666</v>
      </c>
      <c r="L103" s="201">
        <v>5470.82</v>
      </c>
      <c r="M103" s="203">
        <f t="shared" si="59"/>
        <v>-221.93</v>
      </c>
      <c r="N103" s="204">
        <f t="shared" si="60"/>
        <v>-0.76</v>
      </c>
      <c r="O103" s="205">
        <f t="shared" si="61"/>
        <v>0</v>
      </c>
      <c r="P103" s="206">
        <f t="shared" si="62"/>
        <v>0</v>
      </c>
      <c r="Q103" s="206">
        <f t="shared" si="63"/>
        <v>-0.76</v>
      </c>
      <c r="R10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10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99820</v>
      </c>
      <c r="T10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100580</v>
      </c>
      <c r="U103" s="208">
        <f ca="1">IF(Tabla336106734823[[#This Row],[Equity]]&lt;Tabla336106734823[[#This Row],[Equity Peak]],(Tabla336106734823[[#This Row],[Equity Peak]]-Tabla336106734823[[#This Row],[Equity]])/Tabla336106734823[[#This Row],[Equity Peak]],"")</f>
        <v>7.5561741896997417E-3</v>
      </c>
      <c r="V103" s="209">
        <f t="shared" si="64"/>
        <v>0</v>
      </c>
      <c r="W103" s="209">
        <f t="shared" si="65"/>
        <v>0</v>
      </c>
      <c r="X103" s="209">
        <f t="shared" si="66"/>
        <v>0</v>
      </c>
      <c r="Y103" s="209">
        <f t="shared" si="67"/>
        <v>0</v>
      </c>
      <c r="Z103" s="209">
        <f t="shared" si="68"/>
        <v>-0.76</v>
      </c>
      <c r="AA103" s="205">
        <f t="shared" si="69"/>
        <v>0</v>
      </c>
      <c r="AB103" s="209">
        <f t="shared" si="70"/>
        <v>0</v>
      </c>
      <c r="AC103" s="205">
        <f t="shared" si="71"/>
        <v>0</v>
      </c>
      <c r="AD103" s="210">
        <f t="shared" si="72"/>
        <v>6.6666666665696539E-2</v>
      </c>
      <c r="AE103" s="210">
        <f t="shared" si="73"/>
        <v>0</v>
      </c>
      <c r="AF103" s="210">
        <f t="shared" si="74"/>
        <v>6.6666666665696539E-2</v>
      </c>
      <c r="AG103" s="210">
        <f t="shared" si="75"/>
        <v>0</v>
      </c>
    </row>
    <row r="104" spans="2:33" ht="15" customHeight="1" x14ac:dyDescent="0.3">
      <c r="B104" s="196" t="s">
        <v>5</v>
      </c>
      <c r="C104" s="197" t="s">
        <v>13</v>
      </c>
      <c r="D104" s="198" t="str">
        <f t="shared" si="57"/>
        <v>C</v>
      </c>
      <c r="E104" s="199">
        <v>43882.166666666664</v>
      </c>
      <c r="F104" s="200" t="s">
        <v>94</v>
      </c>
      <c r="G104" s="201">
        <v>7439.39</v>
      </c>
      <c r="H104" s="201">
        <v>7493.55</v>
      </c>
      <c r="I104" s="202">
        <f t="shared" si="58"/>
        <v>54.159999999999854</v>
      </c>
      <c r="J104" s="201">
        <v>7168.6</v>
      </c>
      <c r="K104" s="199">
        <v>43885.48333333333</v>
      </c>
      <c r="L104" s="201">
        <v>7168.6</v>
      </c>
      <c r="M104" s="203">
        <f t="shared" si="59"/>
        <v>270.79000000000002</v>
      </c>
      <c r="N104" s="204">
        <f t="shared" si="60"/>
        <v>5</v>
      </c>
      <c r="O104" s="205">
        <f t="shared" si="61"/>
        <v>0</v>
      </c>
      <c r="P104" s="206">
        <f t="shared" si="62"/>
        <v>5</v>
      </c>
      <c r="Q104" s="206">
        <f t="shared" si="63"/>
        <v>0</v>
      </c>
      <c r="R10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10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100580</v>
      </c>
      <c r="T10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100580</v>
      </c>
      <c r="U104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104" s="209">
        <f t="shared" si="64"/>
        <v>0</v>
      </c>
      <c r="W104" s="209">
        <f t="shared" si="65"/>
        <v>0</v>
      </c>
      <c r="X104" s="209">
        <f t="shared" si="66"/>
        <v>0</v>
      </c>
      <c r="Y104" s="209">
        <f t="shared" si="67"/>
        <v>0</v>
      </c>
      <c r="Z104" s="209">
        <f t="shared" si="68"/>
        <v>5</v>
      </c>
      <c r="AA104" s="205">
        <f t="shared" si="69"/>
        <v>0</v>
      </c>
      <c r="AB104" s="209">
        <f t="shared" si="70"/>
        <v>0</v>
      </c>
      <c r="AC104" s="205">
        <f t="shared" si="71"/>
        <v>0</v>
      </c>
      <c r="AD104" s="210">
        <f t="shared" si="72"/>
        <v>3.3166666666656965</v>
      </c>
      <c r="AE104" s="210">
        <f t="shared" si="73"/>
        <v>3.3166666666656965</v>
      </c>
      <c r="AF104" s="210">
        <f t="shared" si="74"/>
        <v>0</v>
      </c>
      <c r="AG104" s="210">
        <f t="shared" si="75"/>
        <v>0</v>
      </c>
    </row>
    <row r="105" spans="2:33" ht="15" customHeight="1" x14ac:dyDescent="0.3">
      <c r="B105" s="196" t="s">
        <v>5</v>
      </c>
      <c r="C105" s="197" t="s">
        <v>15</v>
      </c>
      <c r="D105" s="198" t="str">
        <f t="shared" si="57"/>
        <v>C</v>
      </c>
      <c r="E105" s="199">
        <v>43881.5</v>
      </c>
      <c r="F105" s="200" t="s">
        <v>94</v>
      </c>
      <c r="G105" s="201">
        <v>7466.13</v>
      </c>
      <c r="H105" s="201">
        <v>7407.42</v>
      </c>
      <c r="I105" s="202">
        <f t="shared" si="58"/>
        <v>58.710000000000036</v>
      </c>
      <c r="J105" s="201">
        <v>7759.69</v>
      </c>
      <c r="K105" s="199">
        <v>43882.166666666664</v>
      </c>
      <c r="L105" s="201">
        <v>7439.39</v>
      </c>
      <c r="M105" s="203">
        <f t="shared" si="59"/>
        <v>-26.74</v>
      </c>
      <c r="N105" s="204">
        <f t="shared" si="60"/>
        <v>-0.46</v>
      </c>
      <c r="O105" s="205">
        <f t="shared" si="61"/>
        <v>0</v>
      </c>
      <c r="P105" s="206">
        <f t="shared" si="62"/>
        <v>0</v>
      </c>
      <c r="Q105" s="206">
        <f t="shared" si="63"/>
        <v>-0.46</v>
      </c>
      <c r="R10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Yes</v>
      </c>
      <c r="S10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95580</v>
      </c>
      <c r="T10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105" s="208">
        <f ca="1">IF(Tabla336106734823[[#This Row],[Equity]]&lt;Tabla336106734823[[#This Row],[Equity Peak]],(Tabla336106734823[[#This Row],[Equity Peak]]-Tabla336106734823[[#This Row],[Equity]])/Tabla336106734823[[#This Row],[Equity Peak]],"")</f>
        <v>4.4200000000000003E-2</v>
      </c>
      <c r="V105" s="209">
        <f t="shared" si="64"/>
        <v>0</v>
      </c>
      <c r="W105" s="209">
        <f t="shared" si="65"/>
        <v>0</v>
      </c>
      <c r="X105" s="209">
        <f t="shared" si="66"/>
        <v>0</v>
      </c>
      <c r="Y105" s="209">
        <f t="shared" si="67"/>
        <v>0</v>
      </c>
      <c r="Z105" s="209">
        <f t="shared" si="68"/>
        <v>-0.46</v>
      </c>
      <c r="AA105" s="205">
        <f t="shared" si="69"/>
        <v>0</v>
      </c>
      <c r="AB105" s="209">
        <f t="shared" si="70"/>
        <v>0</v>
      </c>
      <c r="AC105" s="205">
        <f t="shared" si="71"/>
        <v>0</v>
      </c>
      <c r="AD105" s="210">
        <f t="shared" si="72"/>
        <v>0.66666666666424135</v>
      </c>
      <c r="AE105" s="210">
        <f t="shared" si="73"/>
        <v>0</v>
      </c>
      <c r="AF105" s="210">
        <f t="shared" si="74"/>
        <v>0.66666666666424135</v>
      </c>
      <c r="AG105" s="210">
        <f t="shared" si="75"/>
        <v>0</v>
      </c>
    </row>
    <row r="106" spans="2:33" ht="15" customHeight="1" x14ac:dyDescent="0.3">
      <c r="B106" s="196" t="s">
        <v>5</v>
      </c>
      <c r="C106" s="197" t="s">
        <v>13</v>
      </c>
      <c r="D106" s="198" t="str">
        <f t="shared" si="57"/>
        <v>C</v>
      </c>
      <c r="E106" s="199">
        <v>43881.333333333336</v>
      </c>
      <c r="F106" s="200" t="s">
        <v>94</v>
      </c>
      <c r="G106" s="201">
        <v>7440.14</v>
      </c>
      <c r="H106" s="201">
        <v>7497.58</v>
      </c>
      <c r="I106" s="202">
        <f t="shared" si="58"/>
        <v>57.4399999999996</v>
      </c>
      <c r="J106" s="201">
        <v>7152.94</v>
      </c>
      <c r="K106" s="199">
        <v>43881.5</v>
      </c>
      <c r="L106" s="201">
        <v>7466.13</v>
      </c>
      <c r="M106" s="203">
        <f t="shared" si="59"/>
        <v>-25.99</v>
      </c>
      <c r="N106" s="204">
        <f t="shared" si="60"/>
        <v>-0.45</v>
      </c>
      <c r="O106" s="205">
        <f t="shared" si="61"/>
        <v>0</v>
      </c>
      <c r="P106" s="206">
        <f t="shared" si="62"/>
        <v>0</v>
      </c>
      <c r="Q106" s="206">
        <f t="shared" si="63"/>
        <v>-0.45</v>
      </c>
      <c r="R10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Yes</v>
      </c>
      <c r="S10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96040</v>
      </c>
      <c r="T10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106" s="208">
        <f ca="1">IF(Tabla336106734823[[#This Row],[Equity]]&lt;Tabla336106734823[[#This Row],[Equity Peak]],(Tabla336106734823[[#This Row],[Equity Peak]]-Tabla336106734823[[#This Row],[Equity]])/Tabla336106734823[[#This Row],[Equity Peak]],"")</f>
        <v>3.9600000000000003E-2</v>
      </c>
      <c r="V106" s="209">
        <f t="shared" si="64"/>
        <v>0</v>
      </c>
      <c r="W106" s="209">
        <f t="shared" si="65"/>
        <v>0</v>
      </c>
      <c r="X106" s="209">
        <f t="shared" si="66"/>
        <v>0</v>
      </c>
      <c r="Y106" s="209">
        <f t="shared" si="67"/>
        <v>0</v>
      </c>
      <c r="Z106" s="209">
        <f t="shared" si="68"/>
        <v>-0.45</v>
      </c>
      <c r="AA106" s="205">
        <f t="shared" si="69"/>
        <v>0</v>
      </c>
      <c r="AB106" s="209">
        <f t="shared" si="70"/>
        <v>0</v>
      </c>
      <c r="AC106" s="205">
        <f t="shared" si="71"/>
        <v>0</v>
      </c>
      <c r="AD106" s="210">
        <f t="shared" si="72"/>
        <v>0.16666666666424135</v>
      </c>
      <c r="AE106" s="210">
        <f t="shared" si="73"/>
        <v>0</v>
      </c>
      <c r="AF106" s="210">
        <f t="shared" si="74"/>
        <v>0.16666666666424135</v>
      </c>
      <c r="AG106" s="210">
        <f t="shared" si="75"/>
        <v>0</v>
      </c>
    </row>
    <row r="107" spans="2:33" ht="15" customHeight="1" x14ac:dyDescent="0.3">
      <c r="B107" s="196" t="s">
        <v>5</v>
      </c>
      <c r="C107" s="197" t="s">
        <v>15</v>
      </c>
      <c r="D107" s="198" t="str">
        <f t="shared" ref="D107:D114" si="76">IF(E107&lt;&gt;"",IF(K107&lt;&gt;"","C","O"),"")</f>
        <v>C</v>
      </c>
      <c r="E107" s="199">
        <v>43881.166666666664</v>
      </c>
      <c r="F107" s="200" t="s">
        <v>94</v>
      </c>
      <c r="G107" s="201">
        <v>7461.04</v>
      </c>
      <c r="H107" s="201">
        <v>7407.44</v>
      </c>
      <c r="I107" s="202">
        <f t="shared" ref="I107:I114" si="77">ABS(G107-H107)</f>
        <v>53.600000000000364</v>
      </c>
      <c r="J107" s="201">
        <v>7729.06</v>
      </c>
      <c r="K107" s="199">
        <v>43881.333333333336</v>
      </c>
      <c r="L107" s="201">
        <v>7440.14</v>
      </c>
      <c r="M107" s="203">
        <f t="shared" ref="M107:M114" si="78">ROUND(IF(C107="L",(L107-G107),(G107-L107)),4)</f>
        <v>-20.9</v>
      </c>
      <c r="N107" s="204">
        <f t="shared" ref="N107:N114" si="79">IFERROR(ROUND((M107/I107),2),"")</f>
        <v>-0.39</v>
      </c>
      <c r="O107" s="205">
        <f t="shared" ref="O107:O114" si="80">IF(D107="O",IF(N107&lt;0,N107,0),0)</f>
        <v>0</v>
      </c>
      <c r="P107" s="206">
        <f t="shared" ref="P107:P114" si="81">IF(N107&gt;= 0,N107,0)</f>
        <v>0</v>
      </c>
      <c r="Q107" s="206">
        <f t="shared" ref="Q107:Q114" si="82">IF(N107&lt;0,N107,0)</f>
        <v>-0.39</v>
      </c>
      <c r="R10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Yes</v>
      </c>
      <c r="S10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96490</v>
      </c>
      <c r="T10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107" s="208">
        <f ca="1">IF(Tabla336106734823[[#This Row],[Equity]]&lt;Tabla336106734823[[#This Row],[Equity Peak]],(Tabla336106734823[[#This Row],[Equity Peak]]-Tabla336106734823[[#This Row],[Equity]])/Tabla336106734823[[#This Row],[Equity Peak]],"")</f>
        <v>3.5099999999999999E-2</v>
      </c>
      <c r="V107" s="209">
        <f t="shared" ref="V107:V114" si="83">IF(B107="FX",N107,0)</f>
        <v>0</v>
      </c>
      <c r="W107" s="209">
        <f t="shared" ref="W107:W114" si="84">IF(D107="O",IF(V107&lt;0,V107,0),0)</f>
        <v>0</v>
      </c>
      <c r="X107" s="209">
        <f t="shared" ref="X107:X114" si="85">IF(B107="COM",N107,0)</f>
        <v>0</v>
      </c>
      <c r="Y107" s="209">
        <f t="shared" ref="Y107:Y114" si="86">IF(D107="O",IF(X107&lt;0,X107,0),0)</f>
        <v>0</v>
      </c>
      <c r="Z107" s="209">
        <f t="shared" ref="Z107:Z114" si="87">IF(B107="IND",N107,0)</f>
        <v>-0.39</v>
      </c>
      <c r="AA107" s="205">
        <f t="shared" ref="AA107:AA114" si="88">IF(D107="O",IF(Z107&lt;0,Z107,0),0)</f>
        <v>0</v>
      </c>
      <c r="AB107" s="209">
        <f t="shared" ref="AB107:AB114" si="89">IF(B107="CRYPTO",N107,0)</f>
        <v>0</v>
      </c>
      <c r="AC107" s="205">
        <f t="shared" ref="AC107:AC114" si="90">IF(D107="O",IF(AB107&lt;0,AB107,0),0)</f>
        <v>0</v>
      </c>
      <c r="AD107" s="210">
        <f t="shared" ref="AD107:AD114" si="91">IF(K107&lt;&gt;"",K107-E107,0)</f>
        <v>0.16666666667151731</v>
      </c>
      <c r="AE107" s="210">
        <f t="shared" ref="AE107:AE114" si="92">IF(N107&gt;0,AD107,0)</f>
        <v>0</v>
      </c>
      <c r="AF107" s="210">
        <f t="shared" ref="AF107:AF114" si="93">IF(N107&lt;0,AD107,0)</f>
        <v>0.16666666667151731</v>
      </c>
      <c r="AG107" s="210">
        <f t="shared" ref="AG107:AG114" si="94">IF(N107=0,AD107,0)</f>
        <v>0</v>
      </c>
    </row>
    <row r="108" spans="2:33" ht="15" customHeight="1" x14ac:dyDescent="0.3">
      <c r="B108" s="196" t="s">
        <v>5</v>
      </c>
      <c r="C108" s="197" t="s">
        <v>13</v>
      </c>
      <c r="D108" s="198" t="str">
        <f t="shared" si="76"/>
        <v>C</v>
      </c>
      <c r="E108" s="199">
        <v>43874.666666666664</v>
      </c>
      <c r="F108" s="200" t="s">
        <v>94</v>
      </c>
      <c r="G108" s="201">
        <v>7425.04</v>
      </c>
      <c r="H108" s="201">
        <v>7486.09</v>
      </c>
      <c r="I108" s="202">
        <f t="shared" si="77"/>
        <v>61.050000000000182</v>
      </c>
      <c r="J108" s="201">
        <v>7119.8</v>
      </c>
      <c r="K108" s="199">
        <v>43875.526388888888</v>
      </c>
      <c r="L108" s="201">
        <v>7470.13</v>
      </c>
      <c r="M108" s="203">
        <f t="shared" si="78"/>
        <v>-45.09</v>
      </c>
      <c r="N108" s="204">
        <f t="shared" si="79"/>
        <v>-0.74</v>
      </c>
      <c r="O108" s="205">
        <f t="shared" si="80"/>
        <v>0</v>
      </c>
      <c r="P108" s="206">
        <f t="shared" si="81"/>
        <v>0</v>
      </c>
      <c r="Q108" s="206">
        <f t="shared" si="82"/>
        <v>-0.74</v>
      </c>
      <c r="R10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Yes</v>
      </c>
      <c r="S10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96880</v>
      </c>
      <c r="T10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108" s="208">
        <f ca="1">IF(Tabla336106734823[[#This Row],[Equity]]&lt;Tabla336106734823[[#This Row],[Equity Peak]],(Tabla336106734823[[#This Row],[Equity Peak]]-Tabla336106734823[[#This Row],[Equity]])/Tabla336106734823[[#This Row],[Equity Peak]],"")</f>
        <v>3.1199999999999999E-2</v>
      </c>
      <c r="V108" s="209">
        <f t="shared" si="83"/>
        <v>0</v>
      </c>
      <c r="W108" s="209">
        <f t="shared" si="84"/>
        <v>0</v>
      </c>
      <c r="X108" s="209">
        <f t="shared" si="85"/>
        <v>0</v>
      </c>
      <c r="Y108" s="209">
        <f t="shared" si="86"/>
        <v>0</v>
      </c>
      <c r="Z108" s="209">
        <f t="shared" si="87"/>
        <v>-0.74</v>
      </c>
      <c r="AA108" s="205">
        <f t="shared" si="88"/>
        <v>0</v>
      </c>
      <c r="AB108" s="209">
        <f t="shared" si="89"/>
        <v>0</v>
      </c>
      <c r="AC108" s="205">
        <f t="shared" si="90"/>
        <v>0</v>
      </c>
      <c r="AD108" s="210">
        <f t="shared" si="91"/>
        <v>0.85972222222335404</v>
      </c>
      <c r="AE108" s="210">
        <f t="shared" si="92"/>
        <v>0</v>
      </c>
      <c r="AF108" s="210">
        <f t="shared" si="93"/>
        <v>0.85972222222335404</v>
      </c>
      <c r="AG108" s="210">
        <f t="shared" si="94"/>
        <v>0</v>
      </c>
    </row>
    <row r="109" spans="2:33" ht="15" customHeight="1" x14ac:dyDescent="0.3">
      <c r="B109" s="196" t="s">
        <v>5</v>
      </c>
      <c r="C109" s="197" t="s">
        <v>15</v>
      </c>
      <c r="D109" s="198" t="str">
        <f t="shared" si="76"/>
        <v>C</v>
      </c>
      <c r="E109" s="199">
        <v>43872.166666666664</v>
      </c>
      <c r="F109" s="200" t="s">
        <v>94</v>
      </c>
      <c r="G109" s="201">
        <v>7493.29</v>
      </c>
      <c r="H109" s="201">
        <v>7431.24</v>
      </c>
      <c r="I109" s="202">
        <f t="shared" si="77"/>
        <v>62.050000000000182</v>
      </c>
      <c r="J109" s="201">
        <v>7803.55</v>
      </c>
      <c r="K109" s="199">
        <v>43874.386111111111</v>
      </c>
      <c r="L109" s="201">
        <v>7491.79</v>
      </c>
      <c r="M109" s="203">
        <f t="shared" si="78"/>
        <v>-1.5</v>
      </c>
      <c r="N109" s="204">
        <f t="shared" si="79"/>
        <v>-0.02</v>
      </c>
      <c r="O109" s="205">
        <f t="shared" si="80"/>
        <v>0</v>
      </c>
      <c r="P109" s="206">
        <f t="shared" si="81"/>
        <v>0</v>
      </c>
      <c r="Q109" s="206">
        <f t="shared" si="82"/>
        <v>-0.02</v>
      </c>
      <c r="R10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Yes</v>
      </c>
      <c r="S10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97620</v>
      </c>
      <c r="T10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109" s="208">
        <f ca="1">IF(Tabla336106734823[[#This Row],[Equity]]&lt;Tabla336106734823[[#This Row],[Equity Peak]],(Tabla336106734823[[#This Row],[Equity Peak]]-Tabla336106734823[[#This Row],[Equity]])/Tabla336106734823[[#This Row],[Equity Peak]],"")</f>
        <v>2.3800000000000002E-2</v>
      </c>
      <c r="V109" s="209">
        <f t="shared" si="83"/>
        <v>0</v>
      </c>
      <c r="W109" s="209">
        <f t="shared" si="84"/>
        <v>0</v>
      </c>
      <c r="X109" s="209">
        <f t="shared" si="85"/>
        <v>0</v>
      </c>
      <c r="Y109" s="209">
        <f t="shared" si="86"/>
        <v>0</v>
      </c>
      <c r="Z109" s="209">
        <f t="shared" si="87"/>
        <v>-0.02</v>
      </c>
      <c r="AA109" s="205">
        <f t="shared" si="88"/>
        <v>0</v>
      </c>
      <c r="AB109" s="209">
        <f t="shared" si="89"/>
        <v>0</v>
      </c>
      <c r="AC109" s="205">
        <f t="shared" si="90"/>
        <v>0</v>
      </c>
      <c r="AD109" s="210">
        <f t="shared" si="91"/>
        <v>2.2194444444467081</v>
      </c>
      <c r="AE109" s="210">
        <f t="shared" si="92"/>
        <v>0</v>
      </c>
      <c r="AF109" s="210">
        <f t="shared" si="93"/>
        <v>2.2194444444467081</v>
      </c>
      <c r="AG109" s="210">
        <f t="shared" si="94"/>
        <v>0</v>
      </c>
    </row>
    <row r="110" spans="2:33" ht="15" customHeight="1" x14ac:dyDescent="0.3">
      <c r="B110" s="196" t="s">
        <v>5</v>
      </c>
      <c r="C110" s="197" t="s">
        <v>13</v>
      </c>
      <c r="D110" s="198" t="str">
        <f t="shared" si="76"/>
        <v>C</v>
      </c>
      <c r="E110" s="199">
        <v>43871.375</v>
      </c>
      <c r="F110" s="200" t="s">
        <v>94</v>
      </c>
      <c r="G110" s="201">
        <v>7458.11</v>
      </c>
      <c r="H110" s="201">
        <v>7524.15</v>
      </c>
      <c r="I110" s="202">
        <f t="shared" si="77"/>
        <v>66.039999999999964</v>
      </c>
      <c r="J110" s="201">
        <v>7127.89</v>
      </c>
      <c r="K110" s="199">
        <v>43872.104166666664</v>
      </c>
      <c r="L110" s="201">
        <v>7488.48</v>
      </c>
      <c r="M110" s="203">
        <f t="shared" si="78"/>
        <v>-30.37</v>
      </c>
      <c r="N110" s="204">
        <f t="shared" si="79"/>
        <v>-0.46</v>
      </c>
      <c r="O110" s="205">
        <f t="shared" si="80"/>
        <v>0</v>
      </c>
      <c r="P110" s="206">
        <f t="shared" si="81"/>
        <v>0</v>
      </c>
      <c r="Q110" s="206">
        <f t="shared" si="82"/>
        <v>-0.46</v>
      </c>
      <c r="R11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Yes</v>
      </c>
      <c r="S11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97640</v>
      </c>
      <c r="T11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110" s="208">
        <f ca="1">IF(Tabla336106734823[[#This Row],[Equity]]&lt;Tabla336106734823[[#This Row],[Equity Peak]],(Tabla336106734823[[#This Row],[Equity Peak]]-Tabla336106734823[[#This Row],[Equity]])/Tabla336106734823[[#This Row],[Equity Peak]],"")</f>
        <v>2.3599999999999999E-2</v>
      </c>
      <c r="V110" s="209">
        <f t="shared" si="83"/>
        <v>0</v>
      </c>
      <c r="W110" s="209">
        <f t="shared" si="84"/>
        <v>0</v>
      </c>
      <c r="X110" s="209">
        <f t="shared" si="85"/>
        <v>0</v>
      </c>
      <c r="Y110" s="209">
        <f t="shared" si="86"/>
        <v>0</v>
      </c>
      <c r="Z110" s="209">
        <f t="shared" si="87"/>
        <v>-0.46</v>
      </c>
      <c r="AA110" s="205">
        <f t="shared" si="88"/>
        <v>0</v>
      </c>
      <c r="AB110" s="209">
        <f t="shared" si="89"/>
        <v>0</v>
      </c>
      <c r="AC110" s="205">
        <f t="shared" si="90"/>
        <v>0</v>
      </c>
      <c r="AD110" s="210">
        <f t="shared" si="91"/>
        <v>0.72916666666424135</v>
      </c>
      <c r="AE110" s="210">
        <f t="shared" si="92"/>
        <v>0</v>
      </c>
      <c r="AF110" s="210">
        <f t="shared" si="93"/>
        <v>0.72916666666424135</v>
      </c>
      <c r="AG110" s="210">
        <f t="shared" si="94"/>
        <v>0</v>
      </c>
    </row>
    <row r="111" spans="2:33" ht="15" customHeight="1" x14ac:dyDescent="0.3">
      <c r="B111" s="196" t="s">
        <v>5</v>
      </c>
      <c r="C111" s="197" t="s">
        <v>15</v>
      </c>
      <c r="D111" s="198" t="str">
        <f t="shared" si="76"/>
        <v>C</v>
      </c>
      <c r="E111" s="199">
        <v>43866.666666666664</v>
      </c>
      <c r="F111" s="200" t="s">
        <v>94</v>
      </c>
      <c r="G111" s="201">
        <v>7490.55</v>
      </c>
      <c r="H111" s="201">
        <v>7410.27</v>
      </c>
      <c r="I111" s="202">
        <f t="shared" si="77"/>
        <v>80.279999999999745</v>
      </c>
      <c r="J111" s="201">
        <v>7891.97</v>
      </c>
      <c r="K111" s="199">
        <v>43868.434027777781</v>
      </c>
      <c r="L111" s="201">
        <v>7473.52</v>
      </c>
      <c r="M111" s="203">
        <f t="shared" si="78"/>
        <v>-17.03</v>
      </c>
      <c r="N111" s="204">
        <f t="shared" si="79"/>
        <v>-0.21</v>
      </c>
      <c r="O111" s="205">
        <f t="shared" si="80"/>
        <v>0</v>
      </c>
      <c r="P111" s="206">
        <f t="shared" si="81"/>
        <v>0</v>
      </c>
      <c r="Q111" s="206">
        <f t="shared" si="82"/>
        <v>-0.21</v>
      </c>
      <c r="R11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Yes</v>
      </c>
      <c r="S11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98100</v>
      </c>
      <c r="T11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111" s="208">
        <f ca="1">IF(Tabla336106734823[[#This Row],[Equity]]&lt;Tabla336106734823[[#This Row],[Equity Peak]],(Tabla336106734823[[#This Row],[Equity Peak]]-Tabla336106734823[[#This Row],[Equity]])/Tabla336106734823[[#This Row],[Equity Peak]],"")</f>
        <v>1.9E-2</v>
      </c>
      <c r="V111" s="209">
        <f t="shared" si="83"/>
        <v>0</v>
      </c>
      <c r="W111" s="209">
        <f t="shared" si="84"/>
        <v>0</v>
      </c>
      <c r="X111" s="209">
        <f t="shared" si="85"/>
        <v>0</v>
      </c>
      <c r="Y111" s="209">
        <f t="shared" si="86"/>
        <v>0</v>
      </c>
      <c r="Z111" s="209">
        <f t="shared" si="87"/>
        <v>-0.21</v>
      </c>
      <c r="AA111" s="205">
        <f t="shared" si="88"/>
        <v>0</v>
      </c>
      <c r="AB111" s="209">
        <f t="shared" si="89"/>
        <v>0</v>
      </c>
      <c r="AC111" s="205">
        <f t="shared" si="90"/>
        <v>0</v>
      </c>
      <c r="AD111" s="210">
        <f t="shared" si="91"/>
        <v>1.7673611111167702</v>
      </c>
      <c r="AE111" s="210">
        <f t="shared" si="92"/>
        <v>0</v>
      </c>
      <c r="AF111" s="210">
        <f t="shared" si="93"/>
        <v>1.7673611111167702</v>
      </c>
      <c r="AG111" s="210">
        <f t="shared" si="94"/>
        <v>0</v>
      </c>
    </row>
    <row r="112" spans="2:33" ht="15" customHeight="1" x14ac:dyDescent="0.3">
      <c r="B112" s="196" t="s">
        <v>5</v>
      </c>
      <c r="C112" s="197" t="s">
        <v>13</v>
      </c>
      <c r="D112" s="198" t="str">
        <f t="shared" si="76"/>
        <v>C</v>
      </c>
      <c r="E112" s="199">
        <v>43851.5</v>
      </c>
      <c r="F112" s="200" t="s">
        <v>94</v>
      </c>
      <c r="G112" s="201">
        <v>7555.79</v>
      </c>
      <c r="H112" s="201">
        <v>7606.47</v>
      </c>
      <c r="I112" s="202">
        <f t="shared" si="77"/>
        <v>50.680000000000291</v>
      </c>
      <c r="J112" s="201">
        <v>7302.4</v>
      </c>
      <c r="K112" s="199">
        <v>43851.60833333333</v>
      </c>
      <c r="L112" s="201">
        <v>7593.5</v>
      </c>
      <c r="M112" s="203">
        <f t="shared" si="78"/>
        <v>-37.71</v>
      </c>
      <c r="N112" s="204">
        <f t="shared" si="79"/>
        <v>-0.74</v>
      </c>
      <c r="O112" s="205">
        <f t="shared" si="80"/>
        <v>0</v>
      </c>
      <c r="P112" s="206">
        <f t="shared" si="81"/>
        <v>0</v>
      </c>
      <c r="Q112" s="206">
        <f t="shared" si="82"/>
        <v>-0.74</v>
      </c>
      <c r="R11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Yes</v>
      </c>
      <c r="S11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98310</v>
      </c>
      <c r="T11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112" s="208">
        <f ca="1">IF(Tabla336106734823[[#This Row],[Equity]]&lt;Tabla336106734823[[#This Row],[Equity Peak]],(Tabla336106734823[[#This Row],[Equity Peak]]-Tabla336106734823[[#This Row],[Equity]])/Tabla336106734823[[#This Row],[Equity Peak]],"")</f>
        <v>1.6899999999999998E-2</v>
      </c>
      <c r="V112" s="209">
        <f t="shared" si="83"/>
        <v>0</v>
      </c>
      <c r="W112" s="209">
        <f t="shared" si="84"/>
        <v>0</v>
      </c>
      <c r="X112" s="209">
        <f t="shared" si="85"/>
        <v>0</v>
      </c>
      <c r="Y112" s="209">
        <f t="shared" si="86"/>
        <v>0</v>
      </c>
      <c r="Z112" s="209">
        <f t="shared" si="87"/>
        <v>-0.74</v>
      </c>
      <c r="AA112" s="205">
        <f t="shared" si="88"/>
        <v>0</v>
      </c>
      <c r="AB112" s="209">
        <f t="shared" si="89"/>
        <v>0</v>
      </c>
      <c r="AC112" s="205">
        <f t="shared" si="90"/>
        <v>0</v>
      </c>
      <c r="AD112" s="210">
        <f t="shared" si="91"/>
        <v>0.10833333332993789</v>
      </c>
      <c r="AE112" s="210">
        <f t="shared" si="92"/>
        <v>0</v>
      </c>
      <c r="AF112" s="210">
        <f t="shared" si="93"/>
        <v>0.10833333332993789</v>
      </c>
      <c r="AG112" s="210">
        <f t="shared" si="94"/>
        <v>0</v>
      </c>
    </row>
    <row r="113" spans="2:33" ht="15" customHeight="1" x14ac:dyDescent="0.3">
      <c r="B113" s="196" t="s">
        <v>5</v>
      </c>
      <c r="C113" s="197" t="s">
        <v>15</v>
      </c>
      <c r="D113" s="198" t="str">
        <f t="shared" si="76"/>
        <v>C</v>
      </c>
      <c r="E113" s="199">
        <v>43838.833333333336</v>
      </c>
      <c r="F113" s="200" t="s">
        <v>94</v>
      </c>
      <c r="G113" s="201">
        <v>7592.62</v>
      </c>
      <c r="H113" s="201">
        <v>7521.23</v>
      </c>
      <c r="I113" s="202">
        <f t="shared" si="77"/>
        <v>71.390000000000327</v>
      </c>
      <c r="J113" s="201">
        <v>7949.56</v>
      </c>
      <c r="K113" s="199">
        <v>43840.772222222222</v>
      </c>
      <c r="L113" s="201">
        <v>7577.92</v>
      </c>
      <c r="M113" s="203">
        <f t="shared" si="78"/>
        <v>-14.7</v>
      </c>
      <c r="N113" s="204">
        <f t="shared" si="79"/>
        <v>-0.21</v>
      </c>
      <c r="O113" s="205">
        <f t="shared" si="80"/>
        <v>0</v>
      </c>
      <c r="P113" s="206">
        <f t="shared" si="81"/>
        <v>0</v>
      </c>
      <c r="Q113" s="206">
        <f t="shared" si="82"/>
        <v>-0.21</v>
      </c>
      <c r="R11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Yes</v>
      </c>
      <c r="S11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99050</v>
      </c>
      <c r="T11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113" s="208">
        <f ca="1">IF(Tabla336106734823[[#This Row],[Equity]]&lt;Tabla336106734823[[#This Row],[Equity Peak]],(Tabla336106734823[[#This Row],[Equity Peak]]-Tabla336106734823[[#This Row],[Equity]])/Tabla336106734823[[#This Row],[Equity Peak]],"")</f>
        <v>9.4999999999999998E-3</v>
      </c>
      <c r="V113" s="209">
        <f t="shared" si="83"/>
        <v>0</v>
      </c>
      <c r="W113" s="209">
        <f t="shared" si="84"/>
        <v>0</v>
      </c>
      <c r="X113" s="209">
        <f t="shared" si="85"/>
        <v>0</v>
      </c>
      <c r="Y113" s="209">
        <f t="shared" si="86"/>
        <v>0</v>
      </c>
      <c r="Z113" s="209">
        <f t="shared" si="87"/>
        <v>-0.21</v>
      </c>
      <c r="AA113" s="205">
        <f t="shared" si="88"/>
        <v>0</v>
      </c>
      <c r="AB113" s="209">
        <f t="shared" si="89"/>
        <v>0</v>
      </c>
      <c r="AC113" s="205">
        <f t="shared" si="90"/>
        <v>0</v>
      </c>
      <c r="AD113" s="210">
        <f t="shared" si="91"/>
        <v>1.9388888888861402</v>
      </c>
      <c r="AE113" s="210">
        <f t="shared" si="92"/>
        <v>0</v>
      </c>
      <c r="AF113" s="210">
        <f t="shared" si="93"/>
        <v>1.9388888888861402</v>
      </c>
      <c r="AG113" s="210">
        <f t="shared" si="94"/>
        <v>0</v>
      </c>
    </row>
    <row r="114" spans="2:33" ht="15" customHeight="1" x14ac:dyDescent="0.3">
      <c r="B114" s="196" t="s">
        <v>5</v>
      </c>
      <c r="C114" s="197" t="s">
        <v>13</v>
      </c>
      <c r="D114" s="198" t="str">
        <f t="shared" si="76"/>
        <v>C</v>
      </c>
      <c r="E114" s="199">
        <v>43838.166666666664</v>
      </c>
      <c r="F114" s="200" t="s">
        <v>94</v>
      </c>
      <c r="G114" s="201">
        <v>7505.61</v>
      </c>
      <c r="H114" s="201">
        <v>7576.5</v>
      </c>
      <c r="I114" s="202">
        <f t="shared" si="77"/>
        <v>70.890000000000327</v>
      </c>
      <c r="J114" s="201">
        <v>7151.14</v>
      </c>
      <c r="K114" s="199">
        <v>43838.502083333333</v>
      </c>
      <c r="L114" s="201">
        <v>7558.28</v>
      </c>
      <c r="M114" s="203">
        <f t="shared" si="78"/>
        <v>-52.67</v>
      </c>
      <c r="N114" s="204">
        <f t="shared" si="79"/>
        <v>-0.74</v>
      </c>
      <c r="O114" s="205">
        <f t="shared" si="80"/>
        <v>0</v>
      </c>
      <c r="P114" s="206">
        <f t="shared" si="81"/>
        <v>0</v>
      </c>
      <c r="Q114" s="206">
        <f t="shared" si="82"/>
        <v>-0.74</v>
      </c>
      <c r="R11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Yes</v>
      </c>
      <c r="S11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99260</v>
      </c>
      <c r="T11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114" s="208">
        <f ca="1">IF(Tabla336106734823[[#This Row],[Equity]]&lt;Tabla336106734823[[#This Row],[Equity Peak]],(Tabla336106734823[[#This Row],[Equity Peak]]-Tabla336106734823[[#This Row],[Equity]])/Tabla336106734823[[#This Row],[Equity Peak]],"")</f>
        <v>7.4000000000000003E-3</v>
      </c>
      <c r="V114" s="209">
        <f t="shared" si="83"/>
        <v>0</v>
      </c>
      <c r="W114" s="209">
        <f t="shared" si="84"/>
        <v>0</v>
      </c>
      <c r="X114" s="209">
        <f t="shared" si="85"/>
        <v>0</v>
      </c>
      <c r="Y114" s="209">
        <f t="shared" si="86"/>
        <v>0</v>
      </c>
      <c r="Z114" s="209">
        <f t="shared" si="87"/>
        <v>-0.74</v>
      </c>
      <c r="AA114" s="205">
        <f t="shared" si="88"/>
        <v>0</v>
      </c>
      <c r="AB114" s="209">
        <f t="shared" si="89"/>
        <v>0</v>
      </c>
      <c r="AC114" s="205">
        <f t="shared" si="90"/>
        <v>0</v>
      </c>
      <c r="AD114" s="210">
        <f t="shared" si="91"/>
        <v>0.33541666666860692</v>
      </c>
      <c r="AE114" s="210">
        <f t="shared" si="92"/>
        <v>0</v>
      </c>
      <c r="AF114" s="210">
        <f t="shared" si="93"/>
        <v>0.33541666666860692</v>
      </c>
      <c r="AG114" s="210">
        <f t="shared" si="94"/>
        <v>0</v>
      </c>
    </row>
  </sheetData>
  <sheetProtection algorithmName="SHA-512" hashValue="4+atXKDI4jinWfjQSl51XRPBbfRco5LB95RSLgS0XEuT8NohD7Xg4j5gCaFneHW38+RSuYesgbYgvIiEPvqeTA==" saltValue="wvb8ELhuXwFZaVzxNLSJa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167" priority="3" operator="equal">
      <formula>"OK"</formula>
    </cfRule>
    <cfRule type="cellIs" dxfId="166" priority="4" operator="equal">
      <formula>"warning"</formula>
    </cfRule>
  </conditionalFormatting>
  <conditionalFormatting sqref="F13">
    <cfRule type="cellIs" dxfId="165" priority="1" operator="equal">
      <formula>"OK"</formula>
    </cfRule>
    <cfRule type="cellIs" dxfId="164" priority="2" operator="equal">
      <formula>"Error!!"</formula>
    </cfRule>
  </conditionalFormatting>
  <conditionalFormatting sqref="E15:H15 K15:L15">
    <cfRule type="expression" dxfId="163" priority="5">
      <formula>+$D15=#REF!</formula>
    </cfRule>
    <cfRule type="expression" dxfId="162" priority="6">
      <formula>+$D15=#REF!</formula>
    </cfRule>
  </conditionalFormatting>
  <conditionalFormatting sqref="D15 K16:L16 D16:H114 J17:L114">
    <cfRule type="expression" dxfId="161" priority="7">
      <formula>+$D15=$AG$8</formula>
    </cfRule>
    <cfRule type="expression" dxfId="16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9D062520-5218-4730-83B2-42F95CA6CC5C}">
      <formula1>$AE$4:$AE$6</formula1>
    </dataValidation>
    <dataValidation type="list" allowBlank="1" showInputMessage="1" showErrorMessage="1" promptTitle="Trade Direction" prompt="Select from List" sqref="C15:C17" xr:uid="{74BAACA8-1128-4B6D-BE0D-868414672862}">
      <formula1>$AG$4:$AG$5</formula1>
    </dataValidation>
    <dataValidation type="list" allowBlank="1" showInputMessage="1" showErrorMessage="1" promptTitle="Instrument Type" prompt="Select Type from List_x000a_" sqref="B17:B114" xr:uid="{2709CD1F-C64E-49DE-A224-7E4561AB56E6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F3E8-5CAE-4D3B-BE12-713A63494BB2}">
  <sheetPr codeName="Hoja30">
    <pageSetUpPr fitToPage="1"/>
  </sheetPr>
  <dimension ref="A1:AX39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COUNTA(Tabla336106734824[Inst])</f>
        <v>23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18.55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18.55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COUNTIF(Tabla336106734824[No. of Rs],"&gt;0")</f>
        <v>8</v>
      </c>
      <c r="G7" s="24">
        <f>IFERROR((F7/$F$6),"")</f>
        <v>0.34782608695652173</v>
      </c>
      <c r="H7" s="78">
        <f>IFERROR((+P13/F7),"")</f>
        <v>4</v>
      </c>
      <c r="I7" s="227">
        <f>H7/H9</f>
        <v>4.1635687732342008</v>
      </c>
      <c r="J7" s="227">
        <f>AVERAGE(Tabla336106734824[No. of Rs])</f>
        <v>0.80652173913043479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COUNTIF(Tabla336106734824[No. of Rs],"=0")</f>
        <v>1</v>
      </c>
      <c r="G8" s="24">
        <f>IFERROR((F8/$F$6),"")</f>
        <v>4.3478260869565216E-2</v>
      </c>
      <c r="H8" s="78"/>
      <c r="I8" s="228"/>
      <c r="J8" s="228"/>
      <c r="K8" s="163"/>
      <c r="L8" s="212" t="s">
        <v>112</v>
      </c>
      <c r="M8" s="213"/>
      <c r="N8" s="195">
        <f ca="1">OFFSET(Tabla336106734824[[#Headers],[Equity]],1,0)</f>
        <v>118550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COUNTIF(Tabla336106734824[No. of Rs],"&lt;0")</f>
        <v>14</v>
      </c>
      <c r="G9" s="32">
        <f>IFERROR((F9/$F$6),"")</f>
        <v>0.60869565217391308</v>
      </c>
      <c r="H9" s="79">
        <f>IFERROR((-Q13/F9),"")</f>
        <v>0.96071428571428563</v>
      </c>
      <c r="I9" s="229"/>
      <c r="J9" s="229"/>
      <c r="K9" s="149"/>
      <c r="L9" s="230" t="s">
        <v>106</v>
      </c>
      <c r="M9" s="231"/>
      <c r="N9" s="125">
        <f ca="1">MAX(Tabla336106734824[Drawdown])</f>
        <v>3.4767917481771299E-2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OFFSET(Tabla336106734824[[#Headers],[Drawdown]],1,0)</f>
        <v>8.3647009619406115E-3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COUNTIF(Tabla336106734824[Heat],"&lt;0")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IF(COUNTIFS(Tabla336106734824[O/C],"O")&lt;1,"None",COUNTIFS(Tabla336106734824[O/C],"O"))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SUM(Tabla336106734824[No. of Rs])</f>
        <v>18.55</v>
      </c>
      <c r="O13" s="42">
        <f>SUM(Tabla336106734824[Heat])</f>
        <v>0</v>
      </c>
      <c r="P13" s="43">
        <f>SUM(Tabla336106734824[[ TR WIN]])</f>
        <v>32</v>
      </c>
      <c r="Q13" s="43">
        <f>SUM(Tabla336106734824[[ TR LOSS]])</f>
        <v>-13.45</v>
      </c>
      <c r="R13" s="114"/>
      <c r="S13" s="115"/>
      <c r="T13" s="115"/>
      <c r="U13" s="121"/>
      <c r="V13" s="44">
        <f>SUM(Tabla336106734824[Currency])</f>
        <v>0</v>
      </c>
      <c r="W13" s="44">
        <f>SUM(Tabla336106734824[Heat3])</f>
        <v>0</v>
      </c>
      <c r="X13" s="44">
        <f>SUM(Tabla336106734824[Commodities])</f>
        <v>0</v>
      </c>
      <c r="Y13" s="44">
        <f>SUM(Tabla336106734824[Heat4])</f>
        <v>0</v>
      </c>
      <c r="Z13" s="44">
        <f>SUM(Tabla336106734824[Index])</f>
        <v>18.55</v>
      </c>
      <c r="AA13" s="44">
        <f>SUM(Tabla336106734824[Heat5])</f>
        <v>0</v>
      </c>
      <c r="AB13" s="44">
        <f>SUM(Tabla336106734824[Cryptocurrency])</f>
        <v>0</v>
      </c>
      <c r="AC13" s="44">
        <f>SUM(Tabla336106734824[Heat6])</f>
        <v>0</v>
      </c>
      <c r="AD13" s="75">
        <f>AVERAGEIF(Tabla336106734824[Length of 
Trade],"&lt;&gt;0")</f>
        <v>4.769565217391178</v>
      </c>
      <c r="AE13" s="75">
        <f>AVERAGEIF(Tabla336106734824[Win],"&lt;&gt;0")</f>
        <v>7.0850694444443434</v>
      </c>
      <c r="AF13" s="75">
        <f>AVERAGEIF(Tabla336106734824[Loss],"&lt;&gt;0")</f>
        <v>2.5345238095235669</v>
      </c>
      <c r="AG13" s="76">
        <f>AVERAGEIF(Tabla336106734824[Breakeven],"&lt;&gt;0")</f>
        <v>17.536111111112405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25" si="0">IF(E17&lt;&gt;"",IF(K17&lt;&gt;"","C","O"),"")</f>
        <v>C</v>
      </c>
      <c r="E17" s="199">
        <v>44194.333333333336</v>
      </c>
      <c r="F17" s="200" t="s">
        <v>95</v>
      </c>
      <c r="G17" s="201">
        <v>30591.200000000001</v>
      </c>
      <c r="H17" s="201">
        <v>30299.64</v>
      </c>
      <c r="I17" s="202">
        <f t="shared" ref="I17:I25" si="1">ABS(G17-H17)</f>
        <v>291.56000000000131</v>
      </c>
      <c r="J17" s="201">
        <v>31757.439999999999</v>
      </c>
      <c r="K17" s="199">
        <v>44194.82708333333</v>
      </c>
      <c r="L17" s="201">
        <v>30299.64</v>
      </c>
      <c r="M17" s="203">
        <f t="shared" ref="M17:M25" si="2">ROUND(IF(C17="L",(L17-G17),(G17-L17)),4)</f>
        <v>-291.56</v>
      </c>
      <c r="N17" s="204">
        <f t="shared" ref="N17:N25" si="3">IFERROR(ROUND((M17/I17),2),"")</f>
        <v>-1</v>
      </c>
      <c r="O17" s="205">
        <f t="shared" ref="O17:O25" si="4">IF(D17="O",IF(N17&lt;0,N17,0),0)</f>
        <v>0</v>
      </c>
      <c r="P17" s="206">
        <f t="shared" ref="P17:P25" si="5">IF(N17&gt;= 0,N17,0)</f>
        <v>0</v>
      </c>
      <c r="Q17" s="206">
        <f t="shared" ref="Q17:Q25" si="6">IF(N17&lt;0,N17,0)</f>
        <v>-1</v>
      </c>
      <c r="R17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17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118550</v>
      </c>
      <c r="T17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119550</v>
      </c>
      <c r="U17" s="208">
        <f ca="1">IF(Tabla336106734824[[#This Row],[Equity]]&lt;Tabla336106734824[[#This Row],[Equity Peak]],(Tabla336106734824[[#This Row],[Equity Peak]]-Tabla336106734824[[#This Row],[Equity]])/Tabla336106734824[[#This Row],[Equity Peak]],"")</f>
        <v>8.3647009619406115E-3</v>
      </c>
      <c r="V17" s="209">
        <f t="shared" ref="V17:V25" si="7">IF(B17="FX",N17,0)</f>
        <v>0</v>
      </c>
      <c r="W17" s="209">
        <f t="shared" ref="W17:W25" si="8">IF(D17="O",IF(V17&lt;0,V17,0),0)</f>
        <v>0</v>
      </c>
      <c r="X17" s="209">
        <f t="shared" ref="X17:X25" si="9">IF(B17="COM",N17,0)</f>
        <v>0</v>
      </c>
      <c r="Y17" s="209">
        <f t="shared" ref="Y17:Y25" si="10">IF(D17="O",IF(X17&lt;0,X17,0),0)</f>
        <v>0</v>
      </c>
      <c r="Z17" s="209">
        <f t="shared" ref="Z17:Z25" si="11">IF(B17="IND",N17,0)</f>
        <v>-1</v>
      </c>
      <c r="AA17" s="205">
        <f t="shared" ref="AA17:AA25" si="12">IF(D17="O",IF(Z17&lt;0,Z17,0),0)</f>
        <v>0</v>
      </c>
      <c r="AB17" s="209">
        <f t="shared" ref="AB17:AB25" si="13">IF(B17="CRYPTO",N17,0)</f>
        <v>0</v>
      </c>
      <c r="AC17" s="205">
        <f t="shared" ref="AC17:AC25" si="14">IF(D17="O",IF(AB17&lt;0,AB17,0),0)</f>
        <v>0</v>
      </c>
      <c r="AD17" s="210">
        <f t="shared" ref="AD17:AD25" si="15">IF(K17&lt;&gt;"",K17-E17,0)</f>
        <v>0.49374999999417923</v>
      </c>
      <c r="AE17" s="210">
        <f t="shared" ref="AE17:AE25" si="16">IF(N17&gt;0,AD17,0)</f>
        <v>0</v>
      </c>
      <c r="AF17" s="210">
        <f t="shared" ref="AF17:AF25" si="17">IF(N17&lt;0,AD17,0)</f>
        <v>0.49374999999417923</v>
      </c>
      <c r="AG17" s="210">
        <f t="shared" ref="AG17:AG25" si="18">IF(N17=0,AD17,0)</f>
        <v>0</v>
      </c>
    </row>
    <row r="18" spans="2:33" ht="15" customHeight="1" x14ac:dyDescent="0.3">
      <c r="B18" s="196" t="s">
        <v>5</v>
      </c>
      <c r="C18" s="197" t="s">
        <v>15</v>
      </c>
      <c r="D18" s="198" t="str">
        <f t="shared" si="0"/>
        <v>C</v>
      </c>
      <c r="E18" s="199">
        <v>44140.833333333336</v>
      </c>
      <c r="F18" s="200" t="s">
        <v>95</v>
      </c>
      <c r="G18" s="201">
        <v>28358.799999999999</v>
      </c>
      <c r="H18" s="201">
        <v>28055.18</v>
      </c>
      <c r="I18" s="202">
        <f t="shared" si="1"/>
        <v>303.61999999999898</v>
      </c>
      <c r="J18" s="201">
        <v>29573.27</v>
      </c>
      <c r="K18" s="199">
        <v>44144.577777777777</v>
      </c>
      <c r="L18" s="201">
        <v>29573.27</v>
      </c>
      <c r="M18" s="203">
        <f t="shared" si="2"/>
        <v>1214.47</v>
      </c>
      <c r="N18" s="204">
        <f t="shared" si="3"/>
        <v>4</v>
      </c>
      <c r="O18" s="205">
        <f t="shared" si="4"/>
        <v>0</v>
      </c>
      <c r="P18" s="206">
        <f t="shared" si="5"/>
        <v>4</v>
      </c>
      <c r="Q18" s="206">
        <f t="shared" si="6"/>
        <v>0</v>
      </c>
      <c r="R18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18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119550</v>
      </c>
      <c r="T18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119550</v>
      </c>
      <c r="U18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4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3.7444444444408873</v>
      </c>
      <c r="AE18" s="210">
        <f t="shared" si="16"/>
        <v>3.7444444444408873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44139.833333333336</v>
      </c>
      <c r="F19" s="200" t="s">
        <v>95</v>
      </c>
      <c r="G19" s="201">
        <v>28198.2</v>
      </c>
      <c r="H19" s="201">
        <v>27897.86</v>
      </c>
      <c r="I19" s="202">
        <f t="shared" si="1"/>
        <v>300.34000000000015</v>
      </c>
      <c r="J19" s="201">
        <v>29399.56</v>
      </c>
      <c r="K19" s="199">
        <v>44139.931944444441</v>
      </c>
      <c r="L19" s="201">
        <v>27897.86</v>
      </c>
      <c r="M19" s="203">
        <f t="shared" si="2"/>
        <v>-300.33999999999997</v>
      </c>
      <c r="N19" s="204">
        <f t="shared" si="3"/>
        <v>-1</v>
      </c>
      <c r="O19" s="205">
        <f t="shared" si="4"/>
        <v>0</v>
      </c>
      <c r="P19" s="206">
        <f t="shared" si="5"/>
        <v>0</v>
      </c>
      <c r="Q19" s="206">
        <f t="shared" si="6"/>
        <v>-1</v>
      </c>
      <c r="R19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19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115550</v>
      </c>
      <c r="T19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116550</v>
      </c>
      <c r="U19" s="208">
        <f ca="1">IF(Tabla336106734824[[#This Row],[Equity]]&lt;Tabla336106734824[[#This Row],[Equity Peak]],(Tabla336106734824[[#This Row],[Equity Peak]]-Tabla336106734824[[#This Row],[Equity]])/Tabla336106734824[[#This Row],[Equity Peak]],"")</f>
        <v>8.5800085800085794E-3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-1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9.8611111105128657E-2</v>
      </c>
      <c r="AE19" s="210">
        <f t="shared" si="16"/>
        <v>0</v>
      </c>
      <c r="AF19" s="210">
        <f t="shared" si="17"/>
        <v>9.8611111105128657E-2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13</v>
      </c>
      <c r="D20" s="198" t="str">
        <f t="shared" si="0"/>
        <v>C</v>
      </c>
      <c r="E20" s="199">
        <v>44132.166666666664</v>
      </c>
      <c r="F20" s="200" t="s">
        <v>95</v>
      </c>
      <c r="G20" s="201">
        <v>27311.8</v>
      </c>
      <c r="H20" s="201">
        <v>27587.9</v>
      </c>
      <c r="I20" s="202">
        <f t="shared" si="1"/>
        <v>276.10000000000218</v>
      </c>
      <c r="J20" s="201">
        <v>26207.38</v>
      </c>
      <c r="K20" s="199">
        <v>44134.370833333334</v>
      </c>
      <c r="L20" s="201">
        <v>26207.38</v>
      </c>
      <c r="M20" s="203">
        <f t="shared" si="2"/>
        <v>1104.42</v>
      </c>
      <c r="N20" s="204">
        <f t="shared" si="3"/>
        <v>4</v>
      </c>
      <c r="O20" s="205">
        <f t="shared" si="4"/>
        <v>0</v>
      </c>
      <c r="P20" s="206">
        <f t="shared" si="5"/>
        <v>4</v>
      </c>
      <c r="Q20" s="206">
        <f t="shared" si="6"/>
        <v>0</v>
      </c>
      <c r="R20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0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116550</v>
      </c>
      <c r="T20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116550</v>
      </c>
      <c r="U20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4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2.2041666666700621</v>
      </c>
      <c r="AE20" s="210">
        <f t="shared" si="16"/>
        <v>2.2041666666700621</v>
      </c>
      <c r="AF20" s="210">
        <f t="shared" si="17"/>
        <v>0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15</v>
      </c>
      <c r="D21" s="198" t="str">
        <f t="shared" si="0"/>
        <v>C</v>
      </c>
      <c r="E21" s="199">
        <v>44127.017361111109</v>
      </c>
      <c r="F21" s="200" t="s">
        <v>95</v>
      </c>
      <c r="G21" s="201">
        <v>28386.6</v>
      </c>
      <c r="H21" s="201">
        <v>28112.81</v>
      </c>
      <c r="I21" s="202">
        <f t="shared" si="1"/>
        <v>273.78999999999724</v>
      </c>
      <c r="J21" s="201">
        <v>29481.77</v>
      </c>
      <c r="K21" s="199">
        <v>44130.058333333334</v>
      </c>
      <c r="L21" s="201">
        <v>28112.81</v>
      </c>
      <c r="M21" s="203">
        <f t="shared" si="2"/>
        <v>-273.79000000000002</v>
      </c>
      <c r="N21" s="204">
        <f t="shared" si="3"/>
        <v>-1</v>
      </c>
      <c r="O21" s="205">
        <f t="shared" si="4"/>
        <v>0</v>
      </c>
      <c r="P21" s="206">
        <f t="shared" si="5"/>
        <v>0</v>
      </c>
      <c r="Q21" s="206">
        <f t="shared" si="6"/>
        <v>-1</v>
      </c>
      <c r="R21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1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112550</v>
      </c>
      <c r="T21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113550</v>
      </c>
      <c r="U21" s="208">
        <f ca="1">IF(Tabla336106734824[[#This Row],[Equity]]&lt;Tabla336106734824[[#This Row],[Equity Peak]],(Tabla336106734824[[#This Row],[Equity Peak]]-Tabla336106734824[[#This Row],[Equity]])/Tabla336106734824[[#This Row],[Equity Peak]],"")</f>
        <v>8.8066930867459273E-3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-1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3.0409722222248092</v>
      </c>
      <c r="AE21" s="210">
        <f t="shared" si="16"/>
        <v>0</v>
      </c>
      <c r="AF21" s="210">
        <f t="shared" si="17"/>
        <v>3.0409722222248092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15</v>
      </c>
      <c r="D22" s="198" t="str">
        <f t="shared" si="0"/>
        <v>C</v>
      </c>
      <c r="E22" s="199">
        <v>44106.833333333336</v>
      </c>
      <c r="F22" s="200" t="s">
        <v>95</v>
      </c>
      <c r="G22" s="201">
        <v>27812.9</v>
      </c>
      <c r="H22" s="201">
        <v>27530.46</v>
      </c>
      <c r="I22" s="202">
        <f t="shared" si="1"/>
        <v>282.44000000000233</v>
      </c>
      <c r="J22" s="201">
        <v>28942.65</v>
      </c>
      <c r="K22" s="199">
        <v>44116.848611111112</v>
      </c>
      <c r="L22" s="201">
        <v>28942.65</v>
      </c>
      <c r="M22" s="203">
        <f t="shared" si="2"/>
        <v>1129.75</v>
      </c>
      <c r="N22" s="204">
        <f t="shared" si="3"/>
        <v>4</v>
      </c>
      <c r="O22" s="205">
        <f t="shared" si="4"/>
        <v>0</v>
      </c>
      <c r="P22" s="206">
        <f t="shared" si="5"/>
        <v>4</v>
      </c>
      <c r="Q22" s="206">
        <f t="shared" si="6"/>
        <v>0</v>
      </c>
      <c r="R22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2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113550</v>
      </c>
      <c r="T22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113550</v>
      </c>
      <c r="U22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4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10.015277777776646</v>
      </c>
      <c r="AE22" s="210">
        <f t="shared" si="16"/>
        <v>10.015277777776646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15</v>
      </c>
      <c r="D23" s="198" t="str">
        <f t="shared" si="0"/>
        <v>C</v>
      </c>
      <c r="E23" s="199">
        <v>44104.833333333336</v>
      </c>
      <c r="F23" s="200" t="s">
        <v>95</v>
      </c>
      <c r="G23" s="201">
        <v>27947.5</v>
      </c>
      <c r="H23" s="201">
        <v>27667.63</v>
      </c>
      <c r="I23" s="202">
        <f t="shared" si="1"/>
        <v>279.86999999999898</v>
      </c>
      <c r="J23" s="201">
        <v>29066.97</v>
      </c>
      <c r="K23" s="199">
        <v>44104.927083333336</v>
      </c>
      <c r="L23" s="201">
        <v>27667.63</v>
      </c>
      <c r="M23" s="203">
        <f t="shared" si="2"/>
        <v>-279.87</v>
      </c>
      <c r="N23" s="204">
        <f t="shared" si="3"/>
        <v>-1</v>
      </c>
      <c r="O23" s="205">
        <f t="shared" si="4"/>
        <v>0</v>
      </c>
      <c r="P23" s="206">
        <f t="shared" si="5"/>
        <v>0</v>
      </c>
      <c r="Q23" s="206">
        <f t="shared" si="6"/>
        <v>-1</v>
      </c>
      <c r="R23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3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109550</v>
      </c>
      <c r="T23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112550</v>
      </c>
      <c r="U23" s="208">
        <f ca="1">IF(Tabla336106734824[[#This Row],[Equity]]&lt;Tabla336106734824[[#This Row],[Equity Peak]],(Tabla336106734824[[#This Row],[Equity Peak]]-Tabla336106734824[[#This Row],[Equity]])/Tabla336106734824[[#This Row],[Equity Peak]],"")</f>
        <v>2.6654820079964461E-2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-1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9.375E-2</v>
      </c>
      <c r="AE23" s="210">
        <f t="shared" si="16"/>
        <v>0</v>
      </c>
      <c r="AF23" s="210">
        <f t="shared" si="17"/>
        <v>9.375E-2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15</v>
      </c>
      <c r="D24" s="198" t="str">
        <f t="shared" si="0"/>
        <v>C</v>
      </c>
      <c r="E24" s="199">
        <v>44103.333333333336</v>
      </c>
      <c r="F24" s="200" t="s">
        <v>95</v>
      </c>
      <c r="G24" s="201">
        <v>27731.200000000001</v>
      </c>
      <c r="H24" s="201">
        <v>27453.13</v>
      </c>
      <c r="I24" s="202">
        <f t="shared" si="1"/>
        <v>278.06999999999971</v>
      </c>
      <c r="J24" s="201">
        <v>28843.48</v>
      </c>
      <c r="K24" s="199">
        <v>44103.744444444441</v>
      </c>
      <c r="L24" s="201">
        <v>27453.13</v>
      </c>
      <c r="M24" s="203">
        <f t="shared" si="2"/>
        <v>-278.07</v>
      </c>
      <c r="N24" s="204">
        <f t="shared" si="3"/>
        <v>-1</v>
      </c>
      <c r="O24" s="205">
        <f t="shared" si="4"/>
        <v>0</v>
      </c>
      <c r="P24" s="206">
        <f t="shared" si="5"/>
        <v>0</v>
      </c>
      <c r="Q24" s="206">
        <f t="shared" si="6"/>
        <v>-1</v>
      </c>
      <c r="R24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4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110550</v>
      </c>
      <c r="T24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112550</v>
      </c>
      <c r="U24" s="208">
        <f ca="1">IF(Tabla336106734824[[#This Row],[Equity]]&lt;Tabla336106734824[[#This Row],[Equity Peak]],(Tabla336106734824[[#This Row],[Equity Peak]]-Tabla336106734824[[#This Row],[Equity]])/Tabla336106734824[[#This Row],[Equity Peak]],"")</f>
        <v>1.776988005330964E-2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-1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0.41111111110512866</v>
      </c>
      <c r="AE24" s="210">
        <f t="shared" si="16"/>
        <v>0</v>
      </c>
      <c r="AF24" s="210">
        <f t="shared" si="17"/>
        <v>0.41111111110512866</v>
      </c>
      <c r="AG24" s="210">
        <f t="shared" si="18"/>
        <v>0</v>
      </c>
    </row>
    <row r="25" spans="2:33" ht="15" customHeight="1" x14ac:dyDescent="0.3">
      <c r="B25" s="196" t="s">
        <v>5</v>
      </c>
      <c r="C25" s="197" t="s">
        <v>15</v>
      </c>
      <c r="D25" s="198" t="str">
        <f t="shared" si="0"/>
        <v>C</v>
      </c>
      <c r="E25" s="199">
        <v>44089.5</v>
      </c>
      <c r="F25" s="200" t="s">
        <v>95</v>
      </c>
      <c r="G25" s="201">
        <v>28112.7</v>
      </c>
      <c r="H25" s="201">
        <v>27813.43</v>
      </c>
      <c r="I25" s="202">
        <f t="shared" si="1"/>
        <v>299.27000000000044</v>
      </c>
      <c r="J25" s="201">
        <v>29309.79</v>
      </c>
      <c r="K25" s="199">
        <v>44091.244444444441</v>
      </c>
      <c r="L25" s="201">
        <v>27813.43</v>
      </c>
      <c r="M25" s="203">
        <f t="shared" si="2"/>
        <v>-299.27</v>
      </c>
      <c r="N25" s="204">
        <f t="shared" si="3"/>
        <v>-1</v>
      </c>
      <c r="O25" s="205">
        <f t="shared" si="4"/>
        <v>0</v>
      </c>
      <c r="P25" s="206">
        <f t="shared" si="5"/>
        <v>0</v>
      </c>
      <c r="Q25" s="206">
        <f t="shared" si="6"/>
        <v>-1</v>
      </c>
      <c r="R25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5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111550</v>
      </c>
      <c r="T25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112550</v>
      </c>
      <c r="U25" s="208">
        <f ca="1">IF(Tabla336106734824[[#This Row],[Equity]]&lt;Tabla336106734824[[#This Row],[Equity Peak]],(Tabla336106734824[[#This Row],[Equity Peak]]-Tabla336106734824[[#This Row],[Equity]])/Tabla336106734824[[#This Row],[Equity Peak]],"")</f>
        <v>8.8849400266548199E-3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-1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1.7444444444408873</v>
      </c>
      <c r="AE25" s="210">
        <f t="shared" si="16"/>
        <v>0</v>
      </c>
      <c r="AF25" s="210">
        <f t="shared" si="17"/>
        <v>1.7444444444408873</v>
      </c>
      <c r="AG25" s="210">
        <f t="shared" si="18"/>
        <v>0</v>
      </c>
    </row>
    <row r="26" spans="2:33" ht="15" customHeight="1" x14ac:dyDescent="0.3">
      <c r="B26" s="196" t="s">
        <v>5</v>
      </c>
      <c r="C26" s="197" t="s">
        <v>15</v>
      </c>
      <c r="D26" s="198" t="str">
        <f t="shared" ref="D26:D39" si="19">IF(E26&lt;&gt;"",IF(K26&lt;&gt;"","C","O"),"")</f>
        <v>C</v>
      </c>
      <c r="E26" s="199">
        <v>44046.708333333336</v>
      </c>
      <c r="F26" s="200" t="s">
        <v>95</v>
      </c>
      <c r="G26" s="201">
        <v>26562.7</v>
      </c>
      <c r="H26" s="201">
        <v>26213.03</v>
      </c>
      <c r="I26" s="202">
        <f t="shared" ref="I26:I39" si="20">ABS(G26-H26)</f>
        <v>349.67000000000189</v>
      </c>
      <c r="J26" s="201">
        <v>27961.37</v>
      </c>
      <c r="K26" s="199">
        <v>44054.442361111112</v>
      </c>
      <c r="L26" s="201">
        <v>27961.37</v>
      </c>
      <c r="M26" s="203">
        <f t="shared" ref="M26:M39" si="21">ROUND(IF(C26="L",(L26-G26),(G26-L26)),4)</f>
        <v>1398.67</v>
      </c>
      <c r="N26" s="204">
        <f t="shared" ref="N26:N39" si="22">IFERROR(ROUND((M26/I26),2),"")</f>
        <v>4</v>
      </c>
      <c r="O26" s="205">
        <f t="shared" ref="O26:O39" si="23">IF(D26="O",IF(N26&lt;0,N26,0),0)</f>
        <v>0</v>
      </c>
      <c r="P26" s="206">
        <f t="shared" ref="P26:P39" si="24">IF(N26&gt;= 0,N26,0)</f>
        <v>4</v>
      </c>
      <c r="Q26" s="206">
        <f t="shared" ref="Q26:Q39" si="25">IF(N26&lt;0,N26,0)</f>
        <v>0</v>
      </c>
      <c r="R26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6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112550</v>
      </c>
      <c r="T26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112550</v>
      </c>
      <c r="U26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26" s="209">
        <f t="shared" ref="V26:V39" si="26">IF(B26="FX",N26,0)</f>
        <v>0</v>
      </c>
      <c r="W26" s="209">
        <f t="shared" ref="W26:W39" si="27">IF(D26="O",IF(V26&lt;0,V26,0),0)</f>
        <v>0</v>
      </c>
      <c r="X26" s="209">
        <f t="shared" ref="X26:X39" si="28">IF(B26="COM",N26,0)</f>
        <v>0</v>
      </c>
      <c r="Y26" s="209">
        <f t="shared" ref="Y26:Y39" si="29">IF(D26="O",IF(X26&lt;0,X26,0),0)</f>
        <v>0</v>
      </c>
      <c r="Z26" s="209">
        <f t="shared" ref="Z26:Z39" si="30">IF(B26="IND",N26,0)</f>
        <v>4</v>
      </c>
      <c r="AA26" s="205">
        <f t="shared" ref="AA26:AA39" si="31">IF(D26="O",IF(Z26&lt;0,Z26,0),0)</f>
        <v>0</v>
      </c>
      <c r="AB26" s="209">
        <f t="shared" ref="AB26:AB39" si="32">IF(B26="CRYPTO",N26,0)</f>
        <v>0</v>
      </c>
      <c r="AC26" s="205">
        <f t="shared" ref="AC26:AC39" si="33">IF(D26="O",IF(AB26&lt;0,AB26,0),0)</f>
        <v>0</v>
      </c>
      <c r="AD26" s="210">
        <f t="shared" ref="AD26:AD39" si="34">IF(K26&lt;&gt;"",K26-E26,0)</f>
        <v>7.734027777776646</v>
      </c>
      <c r="AE26" s="210">
        <f t="shared" ref="AE26:AE39" si="35">IF(N26&gt;0,AD26,0)</f>
        <v>7.734027777776646</v>
      </c>
      <c r="AF26" s="210">
        <f t="shared" ref="AF26:AF39" si="36">IF(N26&lt;0,AD26,0)</f>
        <v>0</v>
      </c>
      <c r="AG26" s="210">
        <f t="shared" ref="AG26:AG39" si="37">IF(N26=0,AD26,0)</f>
        <v>0</v>
      </c>
    </row>
    <row r="27" spans="2:33" ht="15" customHeight="1" x14ac:dyDescent="0.3">
      <c r="B27" s="196" t="s">
        <v>5</v>
      </c>
      <c r="C27" s="197" t="s">
        <v>15</v>
      </c>
      <c r="D27" s="198" t="str">
        <f t="shared" si="19"/>
        <v>C</v>
      </c>
      <c r="E27" s="199">
        <v>44025.041666666664</v>
      </c>
      <c r="F27" s="200" t="s">
        <v>95</v>
      </c>
      <c r="G27" s="201">
        <v>26235</v>
      </c>
      <c r="H27" s="201">
        <v>25853.63</v>
      </c>
      <c r="I27" s="202">
        <f t="shared" si="20"/>
        <v>381.36999999999898</v>
      </c>
      <c r="J27" s="201">
        <v>27760.49</v>
      </c>
      <c r="K27" s="199">
        <v>44042.577777777777</v>
      </c>
      <c r="L27" s="201">
        <v>26233.89</v>
      </c>
      <c r="M27" s="203">
        <f t="shared" si="21"/>
        <v>-1.1100000000000001</v>
      </c>
      <c r="N27" s="204">
        <f t="shared" si="22"/>
        <v>0</v>
      </c>
      <c r="O27" s="205">
        <f t="shared" si="23"/>
        <v>0</v>
      </c>
      <c r="P27" s="206">
        <f t="shared" si="24"/>
        <v>0</v>
      </c>
      <c r="Q27" s="206">
        <f t="shared" si="25"/>
        <v>0</v>
      </c>
      <c r="R27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7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108550</v>
      </c>
      <c r="T27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112460</v>
      </c>
      <c r="U27" s="208">
        <f ca="1">IF(Tabla336106734824[[#This Row],[Equity]]&lt;Tabla336106734824[[#This Row],[Equity Peak]],(Tabla336106734824[[#This Row],[Equity Peak]]-Tabla336106734824[[#This Row],[Equity]])/Tabla336106734824[[#This Row],[Equity Peak]],"")</f>
        <v>3.4767917481771299E-2</v>
      </c>
      <c r="V27" s="209">
        <f t="shared" si="26"/>
        <v>0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0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17.536111111112405</v>
      </c>
      <c r="AE27" s="210">
        <f t="shared" si="35"/>
        <v>0</v>
      </c>
      <c r="AF27" s="210">
        <f t="shared" si="36"/>
        <v>0</v>
      </c>
      <c r="AG27" s="210">
        <f t="shared" si="37"/>
        <v>17.536111111112405</v>
      </c>
    </row>
    <row r="28" spans="2:33" ht="15" customHeight="1" x14ac:dyDescent="0.3">
      <c r="B28" s="196" t="s">
        <v>5</v>
      </c>
      <c r="C28" s="197" t="s">
        <v>15</v>
      </c>
      <c r="D28" s="198" t="str">
        <f t="shared" si="19"/>
        <v>C</v>
      </c>
      <c r="E28" s="199">
        <v>44013.666666666664</v>
      </c>
      <c r="F28" s="200" t="s">
        <v>95</v>
      </c>
      <c r="G28" s="201">
        <v>25832.6</v>
      </c>
      <c r="H28" s="201">
        <v>25414.39</v>
      </c>
      <c r="I28" s="202">
        <f t="shared" si="20"/>
        <v>418.20999999999913</v>
      </c>
      <c r="J28" s="201">
        <v>27505.43</v>
      </c>
      <c r="K28" s="199">
        <v>44022.359722222223</v>
      </c>
      <c r="L28" s="201">
        <v>25443.89</v>
      </c>
      <c r="M28" s="203">
        <f t="shared" si="21"/>
        <v>-388.71</v>
      </c>
      <c r="N28" s="204">
        <f t="shared" si="22"/>
        <v>-0.93</v>
      </c>
      <c r="O28" s="205">
        <f t="shared" si="23"/>
        <v>0</v>
      </c>
      <c r="P28" s="206">
        <f t="shared" si="24"/>
        <v>0</v>
      </c>
      <c r="Q28" s="206">
        <f t="shared" si="25"/>
        <v>-0.93</v>
      </c>
      <c r="R28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8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108550</v>
      </c>
      <c r="T28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112460</v>
      </c>
      <c r="U28" s="208">
        <f ca="1">IF(Tabla336106734824[[#This Row],[Equity]]&lt;Tabla336106734824[[#This Row],[Equity Peak]],(Tabla336106734824[[#This Row],[Equity Peak]]-Tabla336106734824[[#This Row],[Equity]])/Tabla336106734824[[#This Row],[Equity Peak]],"")</f>
        <v>3.4767917481771299E-2</v>
      </c>
      <c r="V28" s="209">
        <f t="shared" si="26"/>
        <v>0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-0.93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8.6930555555591127</v>
      </c>
      <c r="AE28" s="210">
        <f t="shared" si="35"/>
        <v>0</v>
      </c>
      <c r="AF28" s="210">
        <f t="shared" si="36"/>
        <v>8.6930555555591127</v>
      </c>
      <c r="AG28" s="210">
        <f t="shared" si="37"/>
        <v>0</v>
      </c>
    </row>
    <row r="29" spans="2:33" ht="15" customHeight="1" x14ac:dyDescent="0.3">
      <c r="B29" s="196" t="s">
        <v>5</v>
      </c>
      <c r="C29" s="197" t="s">
        <v>13</v>
      </c>
      <c r="D29" s="198" t="str">
        <f t="shared" si="19"/>
        <v>C</v>
      </c>
      <c r="E29" s="199">
        <v>44011.041666666664</v>
      </c>
      <c r="F29" s="200" t="s">
        <v>95</v>
      </c>
      <c r="G29" s="201">
        <v>24926.3</v>
      </c>
      <c r="H29" s="201">
        <v>25357.439999999999</v>
      </c>
      <c r="I29" s="202">
        <f t="shared" si="20"/>
        <v>431.13999999999942</v>
      </c>
      <c r="J29" s="201">
        <v>23201.73</v>
      </c>
      <c r="K29" s="199">
        <v>44011.720833333333</v>
      </c>
      <c r="L29" s="201">
        <v>25357.439999999999</v>
      </c>
      <c r="M29" s="203">
        <f t="shared" si="21"/>
        <v>-431.14</v>
      </c>
      <c r="N29" s="204">
        <f t="shared" si="22"/>
        <v>-1</v>
      </c>
      <c r="O29" s="205">
        <f t="shared" si="23"/>
        <v>0</v>
      </c>
      <c r="P29" s="206">
        <f t="shared" si="24"/>
        <v>0</v>
      </c>
      <c r="Q29" s="206">
        <f t="shared" si="25"/>
        <v>-1</v>
      </c>
      <c r="R29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9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109480</v>
      </c>
      <c r="T29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112460</v>
      </c>
      <c r="U29" s="208">
        <f ca="1">IF(Tabla336106734824[[#This Row],[Equity]]&lt;Tabla336106734824[[#This Row],[Equity Peak]],(Tabla336106734824[[#This Row],[Equity Peak]]-Tabla336106734824[[#This Row],[Equity]])/Tabla336106734824[[#This Row],[Equity Peak]],"")</f>
        <v>2.6498310510403699E-2</v>
      </c>
      <c r="V29" s="209">
        <f t="shared" si="26"/>
        <v>0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-1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0.67916666666860692</v>
      </c>
      <c r="AE29" s="210">
        <f t="shared" si="35"/>
        <v>0</v>
      </c>
      <c r="AF29" s="210">
        <f t="shared" si="36"/>
        <v>0.67916666666860692</v>
      </c>
      <c r="AG29" s="210">
        <f t="shared" si="37"/>
        <v>0</v>
      </c>
    </row>
    <row r="30" spans="2:33" ht="15" customHeight="1" x14ac:dyDescent="0.3">
      <c r="B30" s="196" t="s">
        <v>5</v>
      </c>
      <c r="C30" s="197" t="s">
        <v>15</v>
      </c>
      <c r="D30" s="198" t="str">
        <f t="shared" si="19"/>
        <v>C</v>
      </c>
      <c r="E30" s="199">
        <v>43998.166666666664</v>
      </c>
      <c r="F30" s="200" t="s">
        <v>95</v>
      </c>
      <c r="G30" s="201">
        <v>26032.7</v>
      </c>
      <c r="H30" s="201">
        <v>25498.51</v>
      </c>
      <c r="I30" s="202">
        <f t="shared" si="20"/>
        <v>534.19000000000233</v>
      </c>
      <c r="J30" s="201">
        <v>28169.47</v>
      </c>
      <c r="K30" s="199">
        <v>44004.095833333333</v>
      </c>
      <c r="L30" s="201">
        <v>25508.83</v>
      </c>
      <c r="M30" s="203">
        <f t="shared" si="21"/>
        <v>-523.87</v>
      </c>
      <c r="N30" s="204">
        <f t="shared" si="22"/>
        <v>-0.98</v>
      </c>
      <c r="O30" s="205">
        <f t="shared" si="23"/>
        <v>0</v>
      </c>
      <c r="P30" s="206">
        <f t="shared" si="24"/>
        <v>0</v>
      </c>
      <c r="Q30" s="206">
        <f t="shared" si="25"/>
        <v>-0.98</v>
      </c>
      <c r="R30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0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110480</v>
      </c>
      <c r="T30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112460</v>
      </c>
      <c r="U30" s="208">
        <f ca="1">IF(Tabla336106734824[[#This Row],[Equity]]&lt;Tabla336106734824[[#This Row],[Equity Peak]],(Tabla336106734824[[#This Row],[Equity Peak]]-Tabla336106734824[[#This Row],[Equity]])/Tabla336106734824[[#This Row],[Equity Peak]],"")</f>
        <v>1.760626000355682E-2</v>
      </c>
      <c r="V30" s="209">
        <f t="shared" si="26"/>
        <v>0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-0.98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5.9291666666686069</v>
      </c>
      <c r="AE30" s="210">
        <f t="shared" si="35"/>
        <v>0</v>
      </c>
      <c r="AF30" s="210">
        <f t="shared" si="36"/>
        <v>5.9291666666686069</v>
      </c>
      <c r="AG30" s="210">
        <f t="shared" si="37"/>
        <v>0</v>
      </c>
    </row>
    <row r="31" spans="2:33" ht="15" customHeight="1" x14ac:dyDescent="0.3">
      <c r="B31" s="196" t="s">
        <v>5</v>
      </c>
      <c r="C31" s="197" t="s">
        <v>13</v>
      </c>
      <c r="D31" s="198" t="str">
        <f t="shared" si="19"/>
        <v>C</v>
      </c>
      <c r="E31" s="199">
        <v>43997.416666666664</v>
      </c>
      <c r="F31" s="200" t="s">
        <v>95</v>
      </c>
      <c r="G31" s="201">
        <v>24697.3</v>
      </c>
      <c r="H31" s="201">
        <v>25244.959999999999</v>
      </c>
      <c r="I31" s="202">
        <f t="shared" si="20"/>
        <v>547.65999999999985</v>
      </c>
      <c r="J31" s="201">
        <v>22506.67</v>
      </c>
      <c r="K31" s="199">
        <v>43997.741666666669</v>
      </c>
      <c r="L31" s="201">
        <v>25244.959999999999</v>
      </c>
      <c r="M31" s="203">
        <f t="shared" si="21"/>
        <v>-547.66</v>
      </c>
      <c r="N31" s="204">
        <f t="shared" si="22"/>
        <v>-1</v>
      </c>
      <c r="O31" s="205">
        <f t="shared" si="23"/>
        <v>0</v>
      </c>
      <c r="P31" s="206">
        <f t="shared" si="24"/>
        <v>0</v>
      </c>
      <c r="Q31" s="206">
        <f t="shared" si="25"/>
        <v>-1</v>
      </c>
      <c r="R31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1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111460</v>
      </c>
      <c r="T31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112460</v>
      </c>
      <c r="U31" s="208">
        <f ca="1">IF(Tabla336106734824[[#This Row],[Equity]]&lt;Tabla336106734824[[#This Row],[Equity Peak]],(Tabla336106734824[[#This Row],[Equity Peak]]-Tabla336106734824[[#This Row],[Equity]])/Tabla336106734824[[#This Row],[Equity Peak]],"")</f>
        <v>8.892050506846879E-3</v>
      </c>
      <c r="V31" s="209">
        <f t="shared" si="26"/>
        <v>0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-1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0.32500000000436557</v>
      </c>
      <c r="AE31" s="210">
        <f t="shared" si="35"/>
        <v>0</v>
      </c>
      <c r="AF31" s="210">
        <f t="shared" si="36"/>
        <v>0.32500000000436557</v>
      </c>
      <c r="AG31" s="210">
        <f t="shared" si="37"/>
        <v>0</v>
      </c>
    </row>
    <row r="32" spans="2:33" ht="15" customHeight="1" x14ac:dyDescent="0.3">
      <c r="B32" s="196" t="s">
        <v>5</v>
      </c>
      <c r="C32" s="197" t="s">
        <v>15</v>
      </c>
      <c r="D32" s="198" t="str">
        <f t="shared" si="19"/>
        <v>C</v>
      </c>
      <c r="E32" s="199">
        <v>43977.333333333336</v>
      </c>
      <c r="F32" s="200" t="s">
        <v>95</v>
      </c>
      <c r="G32" s="201">
        <v>24948.400000000001</v>
      </c>
      <c r="H32" s="201">
        <v>24325.51</v>
      </c>
      <c r="I32" s="202">
        <f t="shared" si="20"/>
        <v>622.89000000000306</v>
      </c>
      <c r="J32" s="201">
        <v>27439.97</v>
      </c>
      <c r="K32" s="199">
        <v>43990.908333333333</v>
      </c>
      <c r="L32" s="201">
        <v>27439.97</v>
      </c>
      <c r="M32" s="203">
        <f t="shared" si="21"/>
        <v>2491.5700000000002</v>
      </c>
      <c r="N32" s="204">
        <f t="shared" si="22"/>
        <v>4</v>
      </c>
      <c r="O32" s="205">
        <f t="shared" si="23"/>
        <v>0</v>
      </c>
      <c r="P32" s="206">
        <f t="shared" si="24"/>
        <v>4</v>
      </c>
      <c r="Q32" s="206">
        <f t="shared" si="25"/>
        <v>0</v>
      </c>
      <c r="R32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2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112460</v>
      </c>
      <c r="T32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112460</v>
      </c>
      <c r="U32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32" s="209">
        <f t="shared" si="26"/>
        <v>0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4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13.57499999999709</v>
      </c>
      <c r="AE32" s="210">
        <f t="shared" si="35"/>
        <v>13.57499999999709</v>
      </c>
      <c r="AF32" s="210">
        <f t="shared" si="36"/>
        <v>0</v>
      </c>
      <c r="AG32" s="210">
        <f t="shared" si="37"/>
        <v>0</v>
      </c>
    </row>
    <row r="33" spans="2:33" ht="15" customHeight="1" x14ac:dyDescent="0.3">
      <c r="B33" s="196" t="s">
        <v>5</v>
      </c>
      <c r="C33" s="197" t="s">
        <v>13</v>
      </c>
      <c r="D33" s="198" t="str">
        <f t="shared" si="19"/>
        <v>C</v>
      </c>
      <c r="E33" s="199">
        <v>43964.5</v>
      </c>
      <c r="F33" s="200" t="s">
        <v>95</v>
      </c>
      <c r="G33" s="201">
        <v>23672.1</v>
      </c>
      <c r="H33" s="201">
        <v>24272.03</v>
      </c>
      <c r="I33" s="202">
        <f t="shared" si="20"/>
        <v>599.93000000000029</v>
      </c>
      <c r="J33" s="201">
        <v>21272.400000000001</v>
      </c>
      <c r="K33" s="199">
        <v>43969.660416666666</v>
      </c>
      <c r="L33" s="201">
        <v>24272.03</v>
      </c>
      <c r="M33" s="203">
        <f t="shared" si="21"/>
        <v>-599.92999999999995</v>
      </c>
      <c r="N33" s="204">
        <f t="shared" si="22"/>
        <v>-1</v>
      </c>
      <c r="O33" s="205">
        <f t="shared" si="23"/>
        <v>0</v>
      </c>
      <c r="P33" s="206">
        <f t="shared" si="24"/>
        <v>0</v>
      </c>
      <c r="Q33" s="206">
        <f t="shared" si="25"/>
        <v>-1</v>
      </c>
      <c r="R33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3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108460</v>
      </c>
      <c r="T33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110460</v>
      </c>
      <c r="U33" s="208">
        <f ca="1">IF(Tabla336106734824[[#This Row],[Equity]]&lt;Tabla336106734824[[#This Row],[Equity Peak]],(Tabla336106734824[[#This Row],[Equity Peak]]-Tabla336106734824[[#This Row],[Equity]])/Tabla336106734824[[#This Row],[Equity Peak]],"")</f>
        <v>1.8106101756291869E-2</v>
      </c>
      <c r="V33" s="209">
        <f t="shared" si="26"/>
        <v>0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-1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5.1604166666656965</v>
      </c>
      <c r="AE33" s="210">
        <f t="shared" si="35"/>
        <v>0</v>
      </c>
      <c r="AF33" s="210">
        <f t="shared" si="36"/>
        <v>5.1604166666656965</v>
      </c>
      <c r="AG33" s="210">
        <f t="shared" si="37"/>
        <v>0</v>
      </c>
    </row>
    <row r="34" spans="2:33" ht="15" customHeight="1" x14ac:dyDescent="0.3">
      <c r="B34" s="196" t="s">
        <v>5</v>
      </c>
      <c r="C34" s="197" t="s">
        <v>13</v>
      </c>
      <c r="D34" s="198" t="str">
        <f t="shared" si="19"/>
        <v>C</v>
      </c>
      <c r="E34" s="199">
        <v>43955.75</v>
      </c>
      <c r="F34" s="200" t="s">
        <v>95</v>
      </c>
      <c r="G34" s="201">
        <v>23480.400000000001</v>
      </c>
      <c r="H34" s="201">
        <v>24071.26</v>
      </c>
      <c r="I34" s="202">
        <f t="shared" si="20"/>
        <v>590.85999999999694</v>
      </c>
      <c r="J34" s="201">
        <v>21116.959999999999</v>
      </c>
      <c r="K34" s="199">
        <v>43956.743055555555</v>
      </c>
      <c r="L34" s="201">
        <v>24071.26</v>
      </c>
      <c r="M34" s="203">
        <f t="shared" si="21"/>
        <v>-590.86</v>
      </c>
      <c r="N34" s="204">
        <f t="shared" si="22"/>
        <v>-1</v>
      </c>
      <c r="O34" s="205">
        <f t="shared" si="23"/>
        <v>0</v>
      </c>
      <c r="P34" s="206">
        <f t="shared" si="24"/>
        <v>0</v>
      </c>
      <c r="Q34" s="206">
        <f t="shared" si="25"/>
        <v>-1</v>
      </c>
      <c r="R34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4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109460</v>
      </c>
      <c r="T34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110460</v>
      </c>
      <c r="U34" s="208">
        <f ca="1">IF(Tabla336106734824[[#This Row],[Equity]]&lt;Tabla336106734824[[#This Row],[Equity Peak]],(Tabla336106734824[[#This Row],[Equity Peak]]-Tabla336106734824[[#This Row],[Equity]])/Tabla336106734824[[#This Row],[Equity Peak]],"")</f>
        <v>9.0530508781459344E-3</v>
      </c>
      <c r="V34" s="209">
        <f t="shared" si="26"/>
        <v>0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-1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0.99305555555474712</v>
      </c>
      <c r="AE34" s="210">
        <f t="shared" si="35"/>
        <v>0</v>
      </c>
      <c r="AF34" s="210">
        <f t="shared" si="36"/>
        <v>0.99305555555474712</v>
      </c>
      <c r="AG34" s="210">
        <f t="shared" si="37"/>
        <v>0</v>
      </c>
    </row>
    <row r="35" spans="2:33" ht="15" customHeight="1" x14ac:dyDescent="0.3">
      <c r="B35" s="196" t="s">
        <v>5</v>
      </c>
      <c r="C35" s="197" t="s">
        <v>13</v>
      </c>
      <c r="D35" s="198" t="str">
        <f t="shared" si="19"/>
        <v>C</v>
      </c>
      <c r="E35" s="199">
        <v>43885.541666666664</v>
      </c>
      <c r="F35" s="200" t="s">
        <v>95</v>
      </c>
      <c r="G35" s="201">
        <v>28179.4</v>
      </c>
      <c r="H35" s="201">
        <v>28334.11</v>
      </c>
      <c r="I35" s="202">
        <f t="shared" si="20"/>
        <v>154.70999999999913</v>
      </c>
      <c r="J35" s="201">
        <v>27560.560000000001</v>
      </c>
      <c r="K35" s="199">
        <v>43886.773611111108</v>
      </c>
      <c r="L35" s="201">
        <v>27560.560000000001</v>
      </c>
      <c r="M35" s="203">
        <f t="shared" si="21"/>
        <v>618.84</v>
      </c>
      <c r="N35" s="204">
        <f t="shared" si="22"/>
        <v>4</v>
      </c>
      <c r="O35" s="205">
        <f t="shared" si="23"/>
        <v>0</v>
      </c>
      <c r="P35" s="206">
        <f t="shared" si="24"/>
        <v>4</v>
      </c>
      <c r="Q35" s="206">
        <f t="shared" si="25"/>
        <v>0</v>
      </c>
      <c r="R35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5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110460</v>
      </c>
      <c r="T35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110460</v>
      </c>
      <c r="U35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35" s="209">
        <f t="shared" si="26"/>
        <v>0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4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1.2319444444437977</v>
      </c>
      <c r="AE35" s="210">
        <f t="shared" si="35"/>
        <v>1.2319444444437977</v>
      </c>
      <c r="AF35" s="210">
        <f t="shared" si="36"/>
        <v>0</v>
      </c>
      <c r="AG35" s="210">
        <f t="shared" si="37"/>
        <v>0</v>
      </c>
    </row>
    <row r="36" spans="2:33" ht="15" customHeight="1" x14ac:dyDescent="0.3">
      <c r="B36" s="196" t="s">
        <v>5</v>
      </c>
      <c r="C36" s="197" t="s">
        <v>15</v>
      </c>
      <c r="D36" s="198" t="str">
        <f t="shared" si="19"/>
        <v>C</v>
      </c>
      <c r="E36" s="199">
        <v>43866.166666666664</v>
      </c>
      <c r="F36" s="200" t="s">
        <v>95</v>
      </c>
      <c r="G36" s="201">
        <v>28832.9</v>
      </c>
      <c r="H36" s="201">
        <v>28691.01</v>
      </c>
      <c r="I36" s="202">
        <f t="shared" si="20"/>
        <v>141.89000000000306</v>
      </c>
      <c r="J36" s="201">
        <v>29400.45</v>
      </c>
      <c r="K36" s="199">
        <v>43867.107638888891</v>
      </c>
      <c r="L36" s="201">
        <v>29400.45</v>
      </c>
      <c r="M36" s="203">
        <f t="shared" si="21"/>
        <v>567.54999999999995</v>
      </c>
      <c r="N36" s="204">
        <f t="shared" si="22"/>
        <v>4</v>
      </c>
      <c r="O36" s="205">
        <f t="shared" si="23"/>
        <v>0</v>
      </c>
      <c r="P36" s="206">
        <f t="shared" si="24"/>
        <v>4</v>
      </c>
      <c r="Q36" s="206">
        <f t="shared" si="25"/>
        <v>0</v>
      </c>
      <c r="R36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6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106460</v>
      </c>
      <c r="T36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106460</v>
      </c>
      <c r="U36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36" s="209">
        <f t="shared" si="26"/>
        <v>0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4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0.94097222222626442</v>
      </c>
      <c r="AE36" s="210">
        <f t="shared" si="35"/>
        <v>0.94097222222626442</v>
      </c>
      <c r="AF36" s="210">
        <f t="shared" si="36"/>
        <v>0</v>
      </c>
      <c r="AG36" s="210">
        <f t="shared" si="37"/>
        <v>0</v>
      </c>
    </row>
    <row r="37" spans="2:33" ht="15" customHeight="1" x14ac:dyDescent="0.3">
      <c r="B37" s="196" t="s">
        <v>5</v>
      </c>
      <c r="C37" s="197" t="s">
        <v>15</v>
      </c>
      <c r="D37" s="198" t="str">
        <f t="shared" si="19"/>
        <v>C</v>
      </c>
      <c r="E37" s="199">
        <v>43846.5</v>
      </c>
      <c r="F37" s="200" t="s">
        <v>95</v>
      </c>
      <c r="G37" s="201">
        <v>29138.1</v>
      </c>
      <c r="H37" s="201">
        <v>29008.45</v>
      </c>
      <c r="I37" s="202">
        <f t="shared" si="20"/>
        <v>129.64999999999782</v>
      </c>
      <c r="J37" s="201">
        <v>29656.69</v>
      </c>
      <c r="K37" s="199">
        <v>43853.71875</v>
      </c>
      <c r="L37" s="201">
        <v>29068.44</v>
      </c>
      <c r="M37" s="203">
        <f t="shared" si="21"/>
        <v>-69.66</v>
      </c>
      <c r="N37" s="204">
        <f t="shared" si="22"/>
        <v>-0.54</v>
      </c>
      <c r="O37" s="205">
        <f t="shared" si="23"/>
        <v>0</v>
      </c>
      <c r="P37" s="206">
        <f t="shared" si="24"/>
        <v>0</v>
      </c>
      <c r="Q37" s="206">
        <f t="shared" si="25"/>
        <v>-0.54</v>
      </c>
      <c r="R37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7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102460</v>
      </c>
      <c r="T37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104000</v>
      </c>
      <c r="U37" s="208">
        <f ca="1">IF(Tabla336106734824[[#This Row],[Equity]]&lt;Tabla336106734824[[#This Row],[Equity Peak]],(Tabla336106734824[[#This Row],[Equity Peak]]-Tabla336106734824[[#This Row],[Equity]])/Tabla336106734824[[#This Row],[Equity Peak]],"")</f>
        <v>1.4807692307692308E-2</v>
      </c>
      <c r="V37" s="209">
        <f t="shared" si="26"/>
        <v>0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-0.54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7.21875</v>
      </c>
      <c r="AE37" s="210">
        <f t="shared" si="35"/>
        <v>0</v>
      </c>
      <c r="AF37" s="210">
        <f t="shared" si="36"/>
        <v>7.21875</v>
      </c>
      <c r="AG37" s="210">
        <f t="shared" si="37"/>
        <v>0</v>
      </c>
    </row>
    <row r="38" spans="2:33" ht="15" customHeight="1" x14ac:dyDescent="0.3">
      <c r="B38" s="196" t="s">
        <v>5</v>
      </c>
      <c r="C38" s="197" t="s">
        <v>15</v>
      </c>
      <c r="D38" s="198" t="str">
        <f t="shared" si="19"/>
        <v>C</v>
      </c>
      <c r="E38" s="199">
        <v>43840.166666666664</v>
      </c>
      <c r="F38" s="200" t="s">
        <v>95</v>
      </c>
      <c r="G38" s="201">
        <v>29017</v>
      </c>
      <c r="H38" s="201">
        <v>28882.59</v>
      </c>
      <c r="I38" s="202">
        <f t="shared" si="20"/>
        <v>134.40999999999985</v>
      </c>
      <c r="J38" s="201">
        <v>29554.63</v>
      </c>
      <c r="K38" s="199">
        <v>43840.768750000003</v>
      </c>
      <c r="L38" s="201">
        <v>28882.59</v>
      </c>
      <c r="M38" s="203">
        <f t="shared" si="21"/>
        <v>-134.41</v>
      </c>
      <c r="N38" s="204">
        <f t="shared" si="22"/>
        <v>-1</v>
      </c>
      <c r="O38" s="205">
        <f t="shared" si="23"/>
        <v>0</v>
      </c>
      <c r="P38" s="206">
        <f t="shared" si="24"/>
        <v>0</v>
      </c>
      <c r="Q38" s="206">
        <f t="shared" si="25"/>
        <v>-1</v>
      </c>
      <c r="R38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8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103000</v>
      </c>
      <c r="T38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104000</v>
      </c>
      <c r="U38" s="208">
        <f ca="1">IF(Tabla336106734824[[#This Row],[Equity]]&lt;Tabla336106734824[[#This Row],[Equity Peak]],(Tabla336106734824[[#This Row],[Equity Peak]]-Tabla336106734824[[#This Row],[Equity]])/Tabla336106734824[[#This Row],[Equity Peak]],"")</f>
        <v>9.6153846153846159E-3</v>
      </c>
      <c r="V38" s="209">
        <f t="shared" si="26"/>
        <v>0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-1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0.60208333333866904</v>
      </c>
      <c r="AE38" s="210">
        <f t="shared" si="35"/>
        <v>0</v>
      </c>
      <c r="AF38" s="210">
        <f t="shared" si="36"/>
        <v>0.60208333333866904</v>
      </c>
      <c r="AG38" s="210">
        <f t="shared" si="37"/>
        <v>0</v>
      </c>
    </row>
    <row r="39" spans="2:33" ht="15" customHeight="1" x14ac:dyDescent="0.3">
      <c r="B39" s="196" t="s">
        <v>5</v>
      </c>
      <c r="C39" s="197" t="s">
        <v>15</v>
      </c>
      <c r="D39" s="198" t="str">
        <f t="shared" si="19"/>
        <v>C</v>
      </c>
      <c r="E39" s="199">
        <v>43815.708333333336</v>
      </c>
      <c r="F39" s="200" t="s">
        <v>95</v>
      </c>
      <c r="G39" s="201">
        <v>28300.25</v>
      </c>
      <c r="H39" s="201">
        <v>28151.88</v>
      </c>
      <c r="I39" s="202">
        <f t="shared" si="20"/>
        <v>148.36999999999898</v>
      </c>
      <c r="J39" s="201">
        <v>28893.73</v>
      </c>
      <c r="K39" s="199">
        <v>43832.943055555559</v>
      </c>
      <c r="L39" s="201">
        <v>28893.73</v>
      </c>
      <c r="M39" s="203">
        <f t="shared" si="21"/>
        <v>593.48</v>
      </c>
      <c r="N39" s="204">
        <f t="shared" si="22"/>
        <v>4</v>
      </c>
      <c r="O39" s="205">
        <f t="shared" si="23"/>
        <v>0</v>
      </c>
      <c r="P39" s="206">
        <f t="shared" si="24"/>
        <v>4</v>
      </c>
      <c r="Q39" s="206">
        <f t="shared" si="25"/>
        <v>0</v>
      </c>
      <c r="R39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9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104000</v>
      </c>
      <c r="T39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104000</v>
      </c>
      <c r="U39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39" s="209">
        <f t="shared" si="26"/>
        <v>0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4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17.234722222223354</v>
      </c>
      <c r="AE39" s="210">
        <f t="shared" si="35"/>
        <v>17.234722222223354</v>
      </c>
      <c r="AF39" s="210">
        <f t="shared" si="36"/>
        <v>0</v>
      </c>
      <c r="AG39" s="210">
        <f t="shared" si="37"/>
        <v>0</v>
      </c>
    </row>
  </sheetData>
  <sheetProtection algorithmName="SHA-512" hashValue="B7lAS5gk1C3rnhmxm/lPs7n1BsD9KjIGUWKa2uAR6MG+ExGMRZwUFl/mebfXt44TQUdvyCfYtrRKTYP6at2XSQ==" saltValue="n4mSJa2pNDsh45IO+4G+m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125" priority="3" operator="equal">
      <formula>"OK"</formula>
    </cfRule>
    <cfRule type="cellIs" dxfId="124" priority="4" operator="equal">
      <formula>"warning"</formula>
    </cfRule>
  </conditionalFormatting>
  <conditionalFormatting sqref="F13">
    <cfRule type="cellIs" dxfId="123" priority="1" operator="equal">
      <formula>"OK"</formula>
    </cfRule>
    <cfRule type="cellIs" dxfId="122" priority="2" operator="equal">
      <formula>"Error!!"</formula>
    </cfRule>
  </conditionalFormatting>
  <conditionalFormatting sqref="E15:H15 K15:L15">
    <cfRule type="expression" dxfId="121" priority="5">
      <formula>+$D15=#REF!</formula>
    </cfRule>
    <cfRule type="expression" dxfId="120" priority="6">
      <formula>+$D15=#REF!</formula>
    </cfRule>
  </conditionalFormatting>
  <conditionalFormatting sqref="D15 K16:L16 D16:H39 J17:L39">
    <cfRule type="expression" dxfId="119" priority="7">
      <formula>+$D15=$AG$8</formula>
    </cfRule>
    <cfRule type="expression" dxfId="11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E25D7CDA-EF69-4605-99C8-C87A2D6333B8}">
      <formula1>$AE$4:$AE$6</formula1>
    </dataValidation>
    <dataValidation type="list" allowBlank="1" showInputMessage="1" showErrorMessage="1" promptTitle="Trade Direction" prompt="Select from List" sqref="C15:C16" xr:uid="{6ABBF9F4-9C81-4156-9C31-366B506AED0D}">
      <formula1>$AG$4:$AG$5</formula1>
    </dataValidation>
    <dataValidation type="list" allowBlank="1" showInputMessage="1" showErrorMessage="1" promptTitle="Instrument Type" prompt="Select Type from List_x000a_" sqref="B17:B39" xr:uid="{51B6CBC4-22B7-4C58-89D9-F581C76A6F92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853B-4B43-4ADA-A9E7-EEC366D19109}">
  <sheetPr codeName="Hoja31">
    <pageSetUpPr fitToPage="1"/>
  </sheetPr>
  <dimension ref="A1:AX3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COUNTA(Tabla336106734825[Inst])</f>
        <v>21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36.85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36.85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COUNTIF(Tabla336106734825[No. of Rs],"&gt;0")</f>
        <v>6</v>
      </c>
      <c r="G7" s="24">
        <f>IFERROR((F7/$F$6),"")</f>
        <v>0.2857142857142857</v>
      </c>
      <c r="H7" s="78">
        <f>IFERROR((+P13/F7),"")</f>
        <v>8.1733333333333338</v>
      </c>
      <c r="I7" s="227">
        <f>H7/H9</f>
        <v>10.057424118129616</v>
      </c>
      <c r="J7" s="227">
        <f>AVERAGE(Tabla336106734825[No. of Rs])</f>
        <v>1.7547619047619047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1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COUNTIF(Tabla336106734825[No.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OFFSET(Tabla336106734825[[#Headers],[Equity]],1,0)</f>
        <v>136850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COUNTIF(Tabla336106734825[No. of Rs],"&lt;0")</f>
        <v>15</v>
      </c>
      <c r="G9" s="32">
        <f>IFERROR((F9/$F$6),"")</f>
        <v>0.7142857142857143</v>
      </c>
      <c r="H9" s="79">
        <f>IFERROR((-Q13/F9),"")</f>
        <v>0.81266666666666665</v>
      </c>
      <c r="I9" s="229"/>
      <c r="J9" s="229"/>
      <c r="K9" s="149"/>
      <c r="L9" s="230" t="s">
        <v>106</v>
      </c>
      <c r="M9" s="231"/>
      <c r="N9" s="125">
        <f ca="1">MAX(Tabla336106734825[Drawdown])</f>
        <v>8.1900000000000001E-2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OFFSET(Tabla336106734825[[#Headers],[Drawdown]],1,0)</f>
        <v>4.0029112081513829E-3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COUNTIF(Tabla336106734825[Heat],"&lt;0")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IF(COUNTIFS(Tabla336106734825[O/C],"O")&lt;1,"None",COUNTIFS(Tabla336106734825[O/C],"O"))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SUM(Tabla336106734825[No. of Rs])</f>
        <v>36.85</v>
      </c>
      <c r="O13" s="42">
        <f>SUM(Tabla336106734825[Heat])</f>
        <v>0</v>
      </c>
      <c r="P13" s="43">
        <f>SUM(Tabla336106734825[[ TR WIN]])</f>
        <v>49.04</v>
      </c>
      <c r="Q13" s="43">
        <f>SUM(Tabla336106734825[[ TR LOSS]])</f>
        <v>-12.19</v>
      </c>
      <c r="R13" s="114"/>
      <c r="S13" s="115"/>
      <c r="T13" s="115"/>
      <c r="U13" s="121"/>
      <c r="V13" s="44">
        <f>SUM(Tabla336106734825[Currency])</f>
        <v>0</v>
      </c>
      <c r="W13" s="44">
        <f>SUM(Tabla336106734825[Heat3])</f>
        <v>0</v>
      </c>
      <c r="X13" s="44">
        <f>SUM(Tabla336106734825[Commodities])</f>
        <v>0</v>
      </c>
      <c r="Y13" s="44">
        <f>SUM(Tabla336106734825[Heat4])</f>
        <v>0</v>
      </c>
      <c r="Z13" s="44">
        <f>SUM(Tabla336106734825[Index])</f>
        <v>0</v>
      </c>
      <c r="AA13" s="44">
        <f>SUM(Tabla336106734825[Heat5])</f>
        <v>0</v>
      </c>
      <c r="AB13" s="44">
        <f>SUM(Tabla336106734825[Cryptocurrency])</f>
        <v>36.85</v>
      </c>
      <c r="AC13" s="44">
        <f>SUM(Tabla336106734825[Heat6])</f>
        <v>0</v>
      </c>
      <c r="AD13" s="75">
        <f>AVERAGEIF(Tabla336106734825[Length of 
Trade],"&lt;&gt;0")</f>
        <v>20.53498677248648</v>
      </c>
      <c r="AE13" s="75">
        <f>AVERAGEIF(Tabla336106734825[Win],"&lt;&gt;0")</f>
        <v>17.089351851852069</v>
      </c>
      <c r="AF13" s="75">
        <f>AVERAGEIF(Tabla336106734825[Loss],"&lt;&gt;0")</f>
        <v>21.913240740740246</v>
      </c>
      <c r="AG13" s="76" t="e">
        <f>AVERAGEIF(Tabla336106734825[Breakeven],"&lt;&gt;0")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84</v>
      </c>
      <c r="C17" s="197" t="s">
        <v>13</v>
      </c>
      <c r="D17" s="198" t="str">
        <f t="shared" ref="D17:D33" si="0">IF(E17&lt;&gt;"",IF(K17&lt;&gt;"","C","O"),"")</f>
        <v>C</v>
      </c>
      <c r="E17" s="199">
        <v>44174.166666666664</v>
      </c>
      <c r="F17" s="200" t="s">
        <v>80</v>
      </c>
      <c r="G17" s="201">
        <v>18189</v>
      </c>
      <c r="H17" s="201">
        <v>18814.11</v>
      </c>
      <c r="I17" s="202">
        <f t="shared" ref="I17:I33" si="1">ABS(G17-H17)</f>
        <v>625.11000000000058</v>
      </c>
      <c r="J17" s="201">
        <v>8812.39</v>
      </c>
      <c r="K17" s="199">
        <v>44174.61041666667</v>
      </c>
      <c r="L17" s="201">
        <v>18480.09</v>
      </c>
      <c r="M17" s="203">
        <f t="shared" ref="M17:M33" si="2">ROUND(IF(C17="L",(L17-G17),(G17-L17)),4)</f>
        <v>-291.08999999999997</v>
      </c>
      <c r="N17" s="204">
        <f t="shared" ref="N17:N33" si="3">IFERROR(ROUND((M17/I17),2),"")</f>
        <v>-0.47</v>
      </c>
      <c r="O17" s="205">
        <f t="shared" ref="O17:O33" si="4">IF(D17="O",IF(N17&lt;0,N17,0),0)</f>
        <v>0</v>
      </c>
      <c r="P17" s="206">
        <f t="shared" ref="P17:P33" si="5">IF(N17&gt;= 0,N17,0)</f>
        <v>0</v>
      </c>
      <c r="Q17" s="206">
        <f t="shared" ref="Q17:Q33" si="6">IF(N17&lt;0,N17,0)</f>
        <v>-0.47</v>
      </c>
      <c r="R17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17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136850</v>
      </c>
      <c r="T17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137400</v>
      </c>
      <c r="U17" s="208">
        <f ca="1">IF(Tabla336106734825[[#This Row],[Equity]]&lt;Tabla336106734825[[#This Row],[Equity Peak]],(Tabla336106734825[[#This Row],[Equity Peak]]-Tabla336106734825[[#This Row],[Equity]])/Tabla336106734825[[#This Row],[Equity Peak]],"")</f>
        <v>4.0029112081513829E-3</v>
      </c>
      <c r="V17" s="209">
        <f t="shared" ref="V17:V33" si="7">IF(B17="FX",N17,0)</f>
        <v>0</v>
      </c>
      <c r="W17" s="209">
        <f t="shared" ref="W17:W33" si="8">IF(D17="O",IF(V17&lt;0,V17,0),0)</f>
        <v>0</v>
      </c>
      <c r="X17" s="209">
        <f t="shared" ref="X17:X33" si="9">IF(B17="COM",N17,0)</f>
        <v>0</v>
      </c>
      <c r="Y17" s="209">
        <f t="shared" ref="Y17:Y33" si="10">IF(D17="O",IF(X17&lt;0,X17,0),0)</f>
        <v>0</v>
      </c>
      <c r="Z17" s="209">
        <f t="shared" ref="Z17:Z33" si="11">IF(B17="IND",N17,0)</f>
        <v>0</v>
      </c>
      <c r="AA17" s="205">
        <f t="shared" ref="AA17:AA33" si="12">IF(D17="O",IF(Z17&lt;0,Z17,0),0)</f>
        <v>0</v>
      </c>
      <c r="AB17" s="209">
        <f t="shared" ref="AB17:AB33" si="13">IF(B17="CRYPTO",N17,0)</f>
        <v>-0.47</v>
      </c>
      <c r="AC17" s="205">
        <f t="shared" ref="AC17:AC33" si="14">IF(D17="O",IF(AB17&lt;0,AB17,0),0)</f>
        <v>0</v>
      </c>
      <c r="AD17" s="210">
        <f t="shared" ref="AD17:AD33" si="15">IF(K17&lt;&gt;"",K17-E17,0)</f>
        <v>0.44375000000582077</v>
      </c>
      <c r="AE17" s="210">
        <f t="shared" ref="AE17:AE33" si="16">IF(N17&gt;0,AD17,0)</f>
        <v>0</v>
      </c>
      <c r="AF17" s="210">
        <f t="shared" ref="AF17:AF33" si="17">IF(N17&lt;0,AD17,0)</f>
        <v>0.44375000000582077</v>
      </c>
      <c r="AG17" s="210">
        <f t="shared" ref="AG17:AG33" si="18">IF(N17=0,AD17,0)</f>
        <v>0</v>
      </c>
    </row>
    <row r="18" spans="2:33" ht="15" customHeight="1" x14ac:dyDescent="0.3">
      <c r="B18" s="196" t="s">
        <v>84</v>
      </c>
      <c r="C18" s="197" t="s">
        <v>15</v>
      </c>
      <c r="D18" s="198" t="str">
        <f t="shared" si="0"/>
        <v>C</v>
      </c>
      <c r="E18" s="199">
        <v>44165.333333333336</v>
      </c>
      <c r="F18" s="200" t="s">
        <v>80</v>
      </c>
      <c r="G18" s="201">
        <v>18525.3</v>
      </c>
      <c r="H18" s="201">
        <v>16993.580000000002</v>
      </c>
      <c r="I18" s="202">
        <f t="shared" si="1"/>
        <v>1531.7199999999975</v>
      </c>
      <c r="J18" s="201">
        <v>41501.1</v>
      </c>
      <c r="K18" s="199">
        <v>44166.606249999997</v>
      </c>
      <c r="L18" s="201">
        <v>18404.05</v>
      </c>
      <c r="M18" s="203">
        <f t="shared" si="2"/>
        <v>-121.25</v>
      </c>
      <c r="N18" s="204">
        <f t="shared" si="3"/>
        <v>-0.08</v>
      </c>
      <c r="O18" s="205">
        <f t="shared" si="4"/>
        <v>0</v>
      </c>
      <c r="P18" s="206">
        <f t="shared" si="5"/>
        <v>0</v>
      </c>
      <c r="Q18" s="206">
        <f t="shared" si="6"/>
        <v>-0.08</v>
      </c>
      <c r="R18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18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137320</v>
      </c>
      <c r="T18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137400</v>
      </c>
      <c r="U18" s="208">
        <f ca="1">IF(Tabla336106734825[[#This Row],[Equity]]&lt;Tabla336106734825[[#This Row],[Equity Peak]],(Tabla336106734825[[#This Row],[Equity Peak]]-Tabla336106734825[[#This Row],[Equity]])/Tabla336106734825[[#This Row],[Equity Peak]],"")</f>
        <v>5.8224163027656482E-4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-0.08</v>
      </c>
      <c r="AC18" s="205">
        <f t="shared" si="14"/>
        <v>0</v>
      </c>
      <c r="AD18" s="210">
        <f t="shared" si="15"/>
        <v>1.272916666661331</v>
      </c>
      <c r="AE18" s="210">
        <f t="shared" si="16"/>
        <v>0</v>
      </c>
      <c r="AF18" s="210">
        <f t="shared" si="17"/>
        <v>1.272916666661331</v>
      </c>
      <c r="AG18" s="210">
        <f t="shared" si="18"/>
        <v>0</v>
      </c>
    </row>
    <row r="19" spans="2:33" ht="15" customHeight="1" x14ac:dyDescent="0.3">
      <c r="B19" s="196" t="s">
        <v>84</v>
      </c>
      <c r="C19" s="197" t="s">
        <v>15</v>
      </c>
      <c r="D19" s="198" t="str">
        <f t="shared" si="0"/>
        <v>C</v>
      </c>
      <c r="E19" s="199">
        <v>44112.833333333336</v>
      </c>
      <c r="F19" s="200" t="s">
        <v>80</v>
      </c>
      <c r="G19" s="201">
        <v>10928.48</v>
      </c>
      <c r="H19" s="201">
        <v>10734.88</v>
      </c>
      <c r="I19" s="202">
        <f t="shared" si="1"/>
        <v>193.60000000000036</v>
      </c>
      <c r="J19" s="201">
        <v>13832.42</v>
      </c>
      <c r="K19" s="199">
        <v>44165.333333333336</v>
      </c>
      <c r="L19" s="201">
        <v>18525.3</v>
      </c>
      <c r="M19" s="203">
        <f t="shared" si="2"/>
        <v>7596.82</v>
      </c>
      <c r="N19" s="204">
        <f t="shared" si="3"/>
        <v>39.24</v>
      </c>
      <c r="O19" s="205">
        <f t="shared" si="4"/>
        <v>0</v>
      </c>
      <c r="P19" s="206">
        <f t="shared" si="5"/>
        <v>39.24</v>
      </c>
      <c r="Q19" s="206">
        <f t="shared" si="6"/>
        <v>0</v>
      </c>
      <c r="R19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19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137400</v>
      </c>
      <c r="T19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137400</v>
      </c>
      <c r="U19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39.24</v>
      </c>
      <c r="AC19" s="205">
        <f t="shared" si="14"/>
        <v>0</v>
      </c>
      <c r="AD19" s="210">
        <f t="shared" si="15"/>
        <v>52.5</v>
      </c>
      <c r="AE19" s="210">
        <f t="shared" si="16"/>
        <v>52.5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84</v>
      </c>
      <c r="C20" s="197" t="s">
        <v>13</v>
      </c>
      <c r="D20" s="198" t="str">
        <f t="shared" si="0"/>
        <v>C</v>
      </c>
      <c r="E20" s="199">
        <v>44111.017361111109</v>
      </c>
      <c r="F20" s="200" t="s">
        <v>80</v>
      </c>
      <c r="G20" s="201">
        <v>10552.32</v>
      </c>
      <c r="H20" s="201">
        <v>10741.92</v>
      </c>
      <c r="I20" s="202">
        <f t="shared" si="1"/>
        <v>189.60000000000036</v>
      </c>
      <c r="J20" s="201">
        <v>7708.32</v>
      </c>
      <c r="K20" s="199">
        <v>44111.92291666667</v>
      </c>
      <c r="L20" s="201">
        <v>10671.01</v>
      </c>
      <c r="M20" s="203">
        <f t="shared" si="2"/>
        <v>-118.69</v>
      </c>
      <c r="N20" s="204">
        <f t="shared" si="3"/>
        <v>-0.63</v>
      </c>
      <c r="O20" s="205">
        <f t="shared" si="4"/>
        <v>0</v>
      </c>
      <c r="P20" s="206">
        <f t="shared" si="5"/>
        <v>0</v>
      </c>
      <c r="Q20" s="206">
        <f t="shared" si="6"/>
        <v>-0.63</v>
      </c>
      <c r="R20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0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98160</v>
      </c>
      <c r="T20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100310</v>
      </c>
      <c r="U20" s="208">
        <f ca="1">IF(Tabla336106734825[[#This Row],[Equity]]&lt;Tabla336106734825[[#This Row],[Equity Peak]],(Tabla336106734825[[#This Row],[Equity Peak]]-Tabla336106734825[[#This Row],[Equity]])/Tabla336106734825[[#This Row],[Equity Peak]],"")</f>
        <v>2.1433555976472934E-2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-0.63</v>
      </c>
      <c r="AC20" s="205">
        <f t="shared" si="14"/>
        <v>0</v>
      </c>
      <c r="AD20" s="210">
        <f t="shared" si="15"/>
        <v>0.90555555556056788</v>
      </c>
      <c r="AE20" s="210">
        <f t="shared" si="16"/>
        <v>0</v>
      </c>
      <c r="AF20" s="210">
        <f t="shared" si="17"/>
        <v>0.90555555556056788</v>
      </c>
      <c r="AG20" s="210">
        <f t="shared" si="18"/>
        <v>0</v>
      </c>
    </row>
    <row r="21" spans="2:33" ht="15" customHeight="1" x14ac:dyDescent="0.3">
      <c r="B21" s="196" t="s">
        <v>84</v>
      </c>
      <c r="C21" s="197" t="s">
        <v>15</v>
      </c>
      <c r="D21" s="198" t="str">
        <f t="shared" si="0"/>
        <v>C</v>
      </c>
      <c r="E21" s="199">
        <v>44109.833333333336</v>
      </c>
      <c r="F21" s="200" t="s">
        <v>80</v>
      </c>
      <c r="G21" s="201">
        <v>10742.54</v>
      </c>
      <c r="H21" s="201">
        <v>10487.34</v>
      </c>
      <c r="I21" s="202">
        <f t="shared" si="1"/>
        <v>255.20000000000073</v>
      </c>
      <c r="J21" s="201">
        <v>14570.5</v>
      </c>
      <c r="K21" s="199">
        <v>44110.756249999999</v>
      </c>
      <c r="L21" s="201">
        <v>10619.5</v>
      </c>
      <c r="M21" s="203">
        <f t="shared" si="2"/>
        <v>-123.04</v>
      </c>
      <c r="N21" s="204">
        <f t="shared" si="3"/>
        <v>-0.48</v>
      </c>
      <c r="O21" s="205">
        <f t="shared" si="4"/>
        <v>0</v>
      </c>
      <c r="P21" s="206">
        <f t="shared" si="5"/>
        <v>0</v>
      </c>
      <c r="Q21" s="206">
        <f t="shared" si="6"/>
        <v>-0.48</v>
      </c>
      <c r="R21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1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98790</v>
      </c>
      <c r="T21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100310</v>
      </c>
      <c r="U21" s="208">
        <f ca="1">IF(Tabla336106734825[[#This Row],[Equity]]&lt;Tabla336106734825[[#This Row],[Equity Peak]],(Tabla336106734825[[#This Row],[Equity Peak]]-Tabla336106734825[[#This Row],[Equity]])/Tabla336106734825[[#This Row],[Equity Peak]],"")</f>
        <v>1.5153025620576214E-2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-0.48</v>
      </c>
      <c r="AC21" s="205">
        <f t="shared" si="14"/>
        <v>0</v>
      </c>
      <c r="AD21" s="210">
        <f t="shared" si="15"/>
        <v>0.92291666666278616</v>
      </c>
      <c r="AE21" s="210">
        <f t="shared" si="16"/>
        <v>0</v>
      </c>
      <c r="AF21" s="210">
        <f t="shared" si="17"/>
        <v>0.92291666666278616</v>
      </c>
      <c r="AG21" s="210">
        <f t="shared" si="18"/>
        <v>0</v>
      </c>
    </row>
    <row r="22" spans="2:33" ht="15" customHeight="1" x14ac:dyDescent="0.3">
      <c r="B22" s="196" t="s">
        <v>84</v>
      </c>
      <c r="C22" s="197" t="s">
        <v>13</v>
      </c>
      <c r="D22" s="198" t="str">
        <f t="shared" si="0"/>
        <v>C</v>
      </c>
      <c r="E22" s="199">
        <v>44106.017361111109</v>
      </c>
      <c r="F22" s="200" t="s">
        <v>80</v>
      </c>
      <c r="G22" s="201">
        <v>10591.15</v>
      </c>
      <c r="H22" s="201">
        <v>10855.16</v>
      </c>
      <c r="I22" s="202">
        <f t="shared" si="1"/>
        <v>264.01000000000022</v>
      </c>
      <c r="J22" s="201">
        <v>6631</v>
      </c>
      <c r="K22" s="199">
        <v>44109</v>
      </c>
      <c r="L22" s="201">
        <v>10631.2</v>
      </c>
      <c r="M22" s="203">
        <f t="shared" si="2"/>
        <v>-40.049999999999997</v>
      </c>
      <c r="N22" s="204">
        <f t="shared" si="3"/>
        <v>-0.15</v>
      </c>
      <c r="O22" s="205">
        <f t="shared" si="4"/>
        <v>0</v>
      </c>
      <c r="P22" s="206">
        <f t="shared" si="5"/>
        <v>0</v>
      </c>
      <c r="Q22" s="206">
        <f t="shared" si="6"/>
        <v>-0.15</v>
      </c>
      <c r="R22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2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99270</v>
      </c>
      <c r="T22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100310</v>
      </c>
      <c r="U22" s="208">
        <f ca="1">IF(Tabla336106734825[[#This Row],[Equity]]&lt;Tabla336106734825[[#This Row],[Equity Peak]],(Tabla336106734825[[#This Row],[Equity Peak]]-Tabla336106734825[[#This Row],[Equity]])/Tabla336106734825[[#This Row],[Equity Peak]],"")</f>
        <v>1.0367859635131094E-2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-0.15</v>
      </c>
      <c r="AC22" s="205">
        <f t="shared" si="14"/>
        <v>0</v>
      </c>
      <c r="AD22" s="210">
        <f t="shared" si="15"/>
        <v>2.9826388888905058</v>
      </c>
      <c r="AE22" s="210">
        <f t="shared" si="16"/>
        <v>0</v>
      </c>
      <c r="AF22" s="210">
        <f t="shared" si="17"/>
        <v>2.9826388888905058</v>
      </c>
      <c r="AG22" s="210">
        <f t="shared" si="18"/>
        <v>0</v>
      </c>
    </row>
    <row r="23" spans="2:33" ht="15" customHeight="1" x14ac:dyDescent="0.3">
      <c r="B23" s="196" t="s">
        <v>84</v>
      </c>
      <c r="C23" s="197" t="s">
        <v>15</v>
      </c>
      <c r="D23" s="198" t="str">
        <f t="shared" si="0"/>
        <v>C</v>
      </c>
      <c r="E23" s="199">
        <v>44099.833333333336</v>
      </c>
      <c r="F23" s="200" t="s">
        <v>80</v>
      </c>
      <c r="G23" s="201">
        <v>10651.03</v>
      </c>
      <c r="H23" s="201">
        <v>10369.4</v>
      </c>
      <c r="I23" s="202">
        <f t="shared" si="1"/>
        <v>281.63000000000102</v>
      </c>
      <c r="J23" s="201">
        <v>14875.46</v>
      </c>
      <c r="K23" s="199">
        <v>44103.119444444441</v>
      </c>
      <c r="L23" s="201">
        <v>10647.88</v>
      </c>
      <c r="M23" s="203">
        <f t="shared" si="2"/>
        <v>-3.15</v>
      </c>
      <c r="N23" s="204">
        <f t="shared" si="3"/>
        <v>-0.01</v>
      </c>
      <c r="O23" s="205">
        <f t="shared" si="4"/>
        <v>0</v>
      </c>
      <c r="P23" s="206">
        <f t="shared" si="5"/>
        <v>0</v>
      </c>
      <c r="Q23" s="206">
        <f t="shared" si="6"/>
        <v>-0.01</v>
      </c>
      <c r="R23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3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99420</v>
      </c>
      <c r="T23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100310</v>
      </c>
      <c r="U23" s="208">
        <f ca="1">IF(Tabla336106734825[[#This Row],[Equity]]&lt;Tabla336106734825[[#This Row],[Equity Peak]],(Tabla336106734825[[#This Row],[Equity Peak]]-Tabla336106734825[[#This Row],[Equity]])/Tabla336106734825[[#This Row],[Equity Peak]],"")</f>
        <v>8.8724952646794929E-3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-0.01</v>
      </c>
      <c r="AC23" s="205">
        <f t="shared" si="14"/>
        <v>0</v>
      </c>
      <c r="AD23" s="210">
        <f t="shared" si="15"/>
        <v>3.2861111111051287</v>
      </c>
      <c r="AE23" s="210">
        <f t="shared" si="16"/>
        <v>0</v>
      </c>
      <c r="AF23" s="210">
        <f t="shared" si="17"/>
        <v>3.2861111111051287</v>
      </c>
      <c r="AG23" s="210">
        <f t="shared" si="18"/>
        <v>0</v>
      </c>
    </row>
    <row r="24" spans="2:33" ht="15" customHeight="1" x14ac:dyDescent="0.3">
      <c r="B24" s="196" t="s">
        <v>84</v>
      </c>
      <c r="C24" s="197" t="s">
        <v>13</v>
      </c>
      <c r="D24" s="198" t="str">
        <f t="shared" si="0"/>
        <v>C</v>
      </c>
      <c r="E24" s="199">
        <v>44095.833333333336</v>
      </c>
      <c r="F24" s="200" t="s">
        <v>80</v>
      </c>
      <c r="G24" s="201">
        <v>10361.959999999999</v>
      </c>
      <c r="H24" s="201">
        <v>10636.59</v>
      </c>
      <c r="I24" s="202">
        <f t="shared" si="1"/>
        <v>274.63000000000102</v>
      </c>
      <c r="J24" s="201">
        <v>6242.53</v>
      </c>
      <c r="K24" s="199">
        <v>44097.027083333334</v>
      </c>
      <c r="L24" s="201">
        <v>10568.14</v>
      </c>
      <c r="M24" s="203">
        <f t="shared" si="2"/>
        <v>-206.18</v>
      </c>
      <c r="N24" s="204">
        <f t="shared" si="3"/>
        <v>-0.75</v>
      </c>
      <c r="O24" s="205">
        <f t="shared" si="4"/>
        <v>0</v>
      </c>
      <c r="P24" s="206">
        <f t="shared" si="5"/>
        <v>0</v>
      </c>
      <c r="Q24" s="206">
        <f t="shared" si="6"/>
        <v>-0.75</v>
      </c>
      <c r="R24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4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99430</v>
      </c>
      <c r="T24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100310</v>
      </c>
      <c r="U24" s="208">
        <f ca="1">IF(Tabla336106734825[[#This Row],[Equity]]&lt;Tabla336106734825[[#This Row],[Equity Peak]],(Tabla336106734825[[#This Row],[Equity Peak]]-Tabla336106734825[[#This Row],[Equity]])/Tabla336106734825[[#This Row],[Equity Peak]],"")</f>
        <v>8.7728043066493868E-3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-0.75</v>
      </c>
      <c r="AC24" s="205">
        <f t="shared" si="14"/>
        <v>0</v>
      </c>
      <c r="AD24" s="210">
        <f t="shared" si="15"/>
        <v>1.1937499999985448</v>
      </c>
      <c r="AE24" s="210">
        <f t="shared" si="16"/>
        <v>0</v>
      </c>
      <c r="AF24" s="210">
        <f t="shared" si="17"/>
        <v>1.1937499999985448</v>
      </c>
      <c r="AG24" s="210">
        <f t="shared" si="18"/>
        <v>0</v>
      </c>
    </row>
    <row r="25" spans="2:33" ht="15" customHeight="1" x14ac:dyDescent="0.3">
      <c r="B25" s="196" t="s">
        <v>84</v>
      </c>
      <c r="C25" s="197" t="s">
        <v>15</v>
      </c>
      <c r="D25" s="198" t="str">
        <f t="shared" si="0"/>
        <v>C</v>
      </c>
      <c r="E25" s="199">
        <v>44089.333333333336</v>
      </c>
      <c r="F25" s="200" t="s">
        <v>80</v>
      </c>
      <c r="G25" s="201">
        <v>10729.36</v>
      </c>
      <c r="H25" s="201">
        <v>10490.07</v>
      </c>
      <c r="I25" s="202">
        <f t="shared" si="1"/>
        <v>239.29000000000087</v>
      </c>
      <c r="J25" s="201">
        <v>14318.77</v>
      </c>
      <c r="K25" s="199">
        <v>44089.818749999999</v>
      </c>
      <c r="L25" s="201">
        <v>10697.51</v>
      </c>
      <c r="M25" s="203">
        <f t="shared" si="2"/>
        <v>-31.85</v>
      </c>
      <c r="N25" s="204">
        <f t="shared" si="3"/>
        <v>-0.13</v>
      </c>
      <c r="O25" s="205">
        <f t="shared" si="4"/>
        <v>0</v>
      </c>
      <c r="P25" s="206">
        <f t="shared" si="5"/>
        <v>0</v>
      </c>
      <c r="Q25" s="206">
        <f t="shared" si="6"/>
        <v>-0.13</v>
      </c>
      <c r="R25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5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100180</v>
      </c>
      <c r="T25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100310</v>
      </c>
      <c r="U25" s="208">
        <f ca="1">IF(Tabla336106734825[[#This Row],[Equity]]&lt;Tabla336106734825[[#This Row],[Equity Peak]],(Tabla336106734825[[#This Row],[Equity Peak]]-Tabla336106734825[[#This Row],[Equity]])/Tabla336106734825[[#This Row],[Equity Peak]],"")</f>
        <v>1.2959824543913867E-3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-0.13</v>
      </c>
      <c r="AC25" s="205">
        <f t="shared" si="14"/>
        <v>0</v>
      </c>
      <c r="AD25" s="210">
        <f t="shared" si="15"/>
        <v>0.48541666666278616</v>
      </c>
      <c r="AE25" s="210">
        <f t="shared" si="16"/>
        <v>0</v>
      </c>
      <c r="AF25" s="210">
        <f t="shared" si="17"/>
        <v>0.48541666666278616</v>
      </c>
      <c r="AG25" s="210">
        <f t="shared" si="18"/>
        <v>0</v>
      </c>
    </row>
    <row r="26" spans="2:33" ht="15" customHeight="1" x14ac:dyDescent="0.3">
      <c r="B26" s="196" t="s">
        <v>84</v>
      </c>
      <c r="C26" s="197" t="s">
        <v>13</v>
      </c>
      <c r="D26" s="198" t="str">
        <f t="shared" si="0"/>
        <v>C</v>
      </c>
      <c r="E26" s="199">
        <v>44076.833333333336</v>
      </c>
      <c r="F26" s="200" t="s">
        <v>80</v>
      </c>
      <c r="G26" s="201">
        <v>11295.16</v>
      </c>
      <c r="H26" s="201">
        <v>11663.16</v>
      </c>
      <c r="I26" s="202">
        <f t="shared" si="1"/>
        <v>368</v>
      </c>
      <c r="J26" s="201">
        <v>5775.12</v>
      </c>
      <c r="K26" s="199">
        <v>44088.686805555553</v>
      </c>
      <c r="L26" s="201">
        <v>10614.74</v>
      </c>
      <c r="M26" s="203">
        <f t="shared" si="2"/>
        <v>680.42</v>
      </c>
      <c r="N26" s="204">
        <f t="shared" si="3"/>
        <v>1.85</v>
      </c>
      <c r="O26" s="205">
        <f t="shared" si="4"/>
        <v>0</v>
      </c>
      <c r="P26" s="206">
        <f t="shared" si="5"/>
        <v>1.85</v>
      </c>
      <c r="Q26" s="206">
        <f t="shared" si="6"/>
        <v>0</v>
      </c>
      <c r="R26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6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100310</v>
      </c>
      <c r="T26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100310</v>
      </c>
      <c r="U26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1.85</v>
      </c>
      <c r="AC26" s="205">
        <f t="shared" si="14"/>
        <v>0</v>
      </c>
      <c r="AD26" s="210">
        <f t="shared" si="15"/>
        <v>11.853472222217533</v>
      </c>
      <c r="AE26" s="210">
        <f t="shared" si="16"/>
        <v>11.853472222217533</v>
      </c>
      <c r="AF26" s="210">
        <f t="shared" si="17"/>
        <v>0</v>
      </c>
      <c r="AG26" s="210">
        <f t="shared" si="18"/>
        <v>0</v>
      </c>
    </row>
    <row r="27" spans="2:33" ht="15" customHeight="1" x14ac:dyDescent="0.3">
      <c r="B27" s="196" t="s">
        <v>84</v>
      </c>
      <c r="C27" s="197" t="s">
        <v>15</v>
      </c>
      <c r="D27" s="198" t="str">
        <f t="shared" si="0"/>
        <v>C</v>
      </c>
      <c r="E27" s="199">
        <v>44074.166666666664</v>
      </c>
      <c r="F27" s="200" t="s">
        <v>80</v>
      </c>
      <c r="G27" s="201">
        <v>11696.67</v>
      </c>
      <c r="H27" s="201">
        <v>11449</v>
      </c>
      <c r="I27" s="202">
        <f t="shared" si="1"/>
        <v>247.67000000000007</v>
      </c>
      <c r="J27" s="201">
        <v>15411.78</v>
      </c>
      <c r="K27" s="199">
        <v>44076.484027777777</v>
      </c>
      <c r="L27" s="201">
        <v>11678.17</v>
      </c>
      <c r="M27" s="203">
        <f t="shared" si="2"/>
        <v>-18.5</v>
      </c>
      <c r="N27" s="204">
        <f t="shared" si="3"/>
        <v>-7.0000000000000007E-2</v>
      </c>
      <c r="O27" s="205">
        <f t="shared" si="4"/>
        <v>0</v>
      </c>
      <c r="P27" s="206">
        <f t="shared" si="5"/>
        <v>0</v>
      </c>
      <c r="Q27" s="206">
        <f t="shared" si="6"/>
        <v>-7.0000000000000007E-2</v>
      </c>
      <c r="R27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7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98460</v>
      </c>
      <c r="T27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100000</v>
      </c>
      <c r="U27" s="208">
        <f ca="1">IF(Tabla336106734825[[#This Row],[Equity]]&lt;Tabla336106734825[[#This Row],[Equity Peak]],(Tabla336106734825[[#This Row],[Equity Peak]]-Tabla336106734825[[#This Row],[Equity]])/Tabla336106734825[[#This Row],[Equity Peak]],"")</f>
        <v>1.54E-2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-7.0000000000000007E-2</v>
      </c>
      <c r="AC27" s="205">
        <f t="shared" si="14"/>
        <v>0</v>
      </c>
      <c r="AD27" s="210">
        <f t="shared" si="15"/>
        <v>2.3173611111124046</v>
      </c>
      <c r="AE27" s="210">
        <f t="shared" si="16"/>
        <v>0</v>
      </c>
      <c r="AF27" s="210">
        <f t="shared" si="17"/>
        <v>2.3173611111124046</v>
      </c>
      <c r="AG27" s="210">
        <f t="shared" si="18"/>
        <v>0</v>
      </c>
    </row>
    <row r="28" spans="2:33" ht="15" customHeight="1" x14ac:dyDescent="0.3">
      <c r="B28" s="196" t="s">
        <v>84</v>
      </c>
      <c r="C28" s="197" t="s">
        <v>13</v>
      </c>
      <c r="D28" s="198" t="str">
        <f t="shared" si="0"/>
        <v>C</v>
      </c>
      <c r="E28" s="199">
        <v>44068.5</v>
      </c>
      <c r="F28" s="200" t="s">
        <v>80</v>
      </c>
      <c r="G28" s="201">
        <v>11563.26</v>
      </c>
      <c r="H28" s="201">
        <v>11773.21</v>
      </c>
      <c r="I28" s="202">
        <f t="shared" si="1"/>
        <v>209.94999999999891</v>
      </c>
      <c r="J28" s="201">
        <v>8413.9699999999993</v>
      </c>
      <c r="K28" s="199">
        <v>44070.693055555559</v>
      </c>
      <c r="L28" s="201">
        <v>11567.62</v>
      </c>
      <c r="M28" s="203">
        <f t="shared" si="2"/>
        <v>-4.3600000000000003</v>
      </c>
      <c r="N28" s="204">
        <f t="shared" si="3"/>
        <v>-0.02</v>
      </c>
      <c r="O28" s="205">
        <f t="shared" si="4"/>
        <v>0</v>
      </c>
      <c r="P28" s="206">
        <f t="shared" si="5"/>
        <v>0</v>
      </c>
      <c r="Q28" s="206">
        <f t="shared" si="6"/>
        <v>-0.02</v>
      </c>
      <c r="R28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8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98530</v>
      </c>
      <c r="T28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100000</v>
      </c>
      <c r="U28" s="208">
        <f ca="1">IF(Tabla336106734825[[#This Row],[Equity]]&lt;Tabla336106734825[[#This Row],[Equity Peak]],(Tabla336106734825[[#This Row],[Equity Peak]]-Tabla336106734825[[#This Row],[Equity]])/Tabla336106734825[[#This Row],[Equity Peak]],"")</f>
        <v>1.47E-2</v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-0.02</v>
      </c>
      <c r="AC28" s="205">
        <f t="shared" si="14"/>
        <v>0</v>
      </c>
      <c r="AD28" s="210">
        <f t="shared" si="15"/>
        <v>2.1930555555591127</v>
      </c>
      <c r="AE28" s="210">
        <f t="shared" si="16"/>
        <v>0</v>
      </c>
      <c r="AF28" s="210">
        <f t="shared" si="17"/>
        <v>2.1930555555591127</v>
      </c>
      <c r="AG28" s="210">
        <f t="shared" si="18"/>
        <v>0</v>
      </c>
    </row>
    <row r="29" spans="2:33" ht="15" customHeight="1" x14ac:dyDescent="0.3">
      <c r="B29" s="196" t="s">
        <v>84</v>
      </c>
      <c r="C29" s="197" t="s">
        <v>15</v>
      </c>
      <c r="D29" s="198" t="str">
        <f t="shared" si="0"/>
        <v>C</v>
      </c>
      <c r="E29" s="199">
        <v>44046.166666666664</v>
      </c>
      <c r="F29" s="200" t="s">
        <v>80</v>
      </c>
      <c r="G29" s="201">
        <v>11122.95</v>
      </c>
      <c r="H29" s="201">
        <v>10690.11</v>
      </c>
      <c r="I29" s="202">
        <f t="shared" si="1"/>
        <v>432.84000000000015</v>
      </c>
      <c r="J29" s="201">
        <v>17615.59</v>
      </c>
      <c r="K29" s="199">
        <v>44050.9</v>
      </c>
      <c r="L29" s="201">
        <v>11385.74</v>
      </c>
      <c r="M29" s="203">
        <f t="shared" si="2"/>
        <v>262.79000000000002</v>
      </c>
      <c r="N29" s="204">
        <f t="shared" si="3"/>
        <v>0.61</v>
      </c>
      <c r="O29" s="205">
        <f t="shared" si="4"/>
        <v>0</v>
      </c>
      <c r="P29" s="206">
        <f t="shared" si="5"/>
        <v>0.61</v>
      </c>
      <c r="Q29" s="206">
        <f t="shared" si="6"/>
        <v>0</v>
      </c>
      <c r="R29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9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98550</v>
      </c>
      <c r="T29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100000</v>
      </c>
      <c r="U29" s="208">
        <f ca="1">IF(Tabla336106734825[[#This Row],[Equity]]&lt;Tabla336106734825[[#This Row],[Equity Peak]],(Tabla336106734825[[#This Row],[Equity Peak]]-Tabla336106734825[[#This Row],[Equity]])/Tabla336106734825[[#This Row],[Equity Peak]],"")</f>
        <v>1.4500000000000001E-2</v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0.61</v>
      </c>
      <c r="AC29" s="205">
        <f t="shared" si="14"/>
        <v>0</v>
      </c>
      <c r="AD29" s="210">
        <f t="shared" si="15"/>
        <v>4.7333333333372138</v>
      </c>
      <c r="AE29" s="210">
        <f t="shared" si="16"/>
        <v>4.7333333333372138</v>
      </c>
      <c r="AF29" s="210">
        <f t="shared" si="17"/>
        <v>0</v>
      </c>
      <c r="AG29" s="210">
        <f t="shared" si="18"/>
        <v>0</v>
      </c>
    </row>
    <row r="30" spans="2:33" ht="15" customHeight="1" x14ac:dyDescent="0.3">
      <c r="B30" s="196" t="s">
        <v>84</v>
      </c>
      <c r="C30" s="197" t="s">
        <v>13</v>
      </c>
      <c r="D30" s="198" t="str">
        <f t="shared" si="0"/>
        <v>C</v>
      </c>
      <c r="E30" s="199">
        <v>44006.833333333336</v>
      </c>
      <c r="F30" s="200" t="s">
        <v>80</v>
      </c>
      <c r="G30" s="201">
        <v>9276.65</v>
      </c>
      <c r="H30" s="201">
        <v>9506.91</v>
      </c>
      <c r="I30" s="202">
        <f t="shared" si="1"/>
        <v>230.26000000000022</v>
      </c>
      <c r="J30" s="201">
        <v>5822.71</v>
      </c>
      <c r="K30" s="199">
        <v>44046</v>
      </c>
      <c r="L30" s="201">
        <v>9282.09</v>
      </c>
      <c r="M30" s="203">
        <f t="shared" si="2"/>
        <v>-5.44</v>
      </c>
      <c r="N30" s="204">
        <f t="shared" si="3"/>
        <v>-0.02</v>
      </c>
      <c r="O30" s="205">
        <f t="shared" si="4"/>
        <v>0</v>
      </c>
      <c r="P30" s="206">
        <f t="shared" si="5"/>
        <v>0</v>
      </c>
      <c r="Q30" s="206">
        <f t="shared" si="6"/>
        <v>-0.02</v>
      </c>
      <c r="R30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0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97940</v>
      </c>
      <c r="T30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100000</v>
      </c>
      <c r="U30" s="208">
        <f ca="1">IF(Tabla336106734825[[#This Row],[Equity]]&lt;Tabla336106734825[[#This Row],[Equity Peak]],(Tabla336106734825[[#This Row],[Equity Peak]]-Tabla336106734825[[#This Row],[Equity]])/Tabla336106734825[[#This Row],[Equity Peak]],"")</f>
        <v>2.06E-2</v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-0.02</v>
      </c>
      <c r="AC30" s="205">
        <f t="shared" si="14"/>
        <v>0</v>
      </c>
      <c r="AD30" s="210">
        <f t="shared" si="15"/>
        <v>39.166666666664241</v>
      </c>
      <c r="AE30" s="210">
        <f t="shared" si="16"/>
        <v>0</v>
      </c>
      <c r="AF30" s="210">
        <f t="shared" si="17"/>
        <v>39.166666666664241</v>
      </c>
      <c r="AG30" s="210">
        <f t="shared" si="18"/>
        <v>0</v>
      </c>
    </row>
    <row r="31" spans="2:33" ht="15" customHeight="1" x14ac:dyDescent="0.3">
      <c r="B31" s="196" t="s">
        <v>84</v>
      </c>
      <c r="C31" s="197" t="s">
        <v>15</v>
      </c>
      <c r="D31" s="198" t="str">
        <f t="shared" si="0"/>
        <v>C</v>
      </c>
      <c r="E31" s="199">
        <v>44004.833333333336</v>
      </c>
      <c r="F31" s="200" t="s">
        <v>80</v>
      </c>
      <c r="G31" s="201">
        <v>9588.17</v>
      </c>
      <c r="H31" s="201">
        <v>9399.76</v>
      </c>
      <c r="I31" s="202">
        <f t="shared" si="1"/>
        <v>188.40999999999985</v>
      </c>
      <c r="J31" s="201">
        <v>12414.38</v>
      </c>
      <c r="K31" s="199">
        <v>44006.443055555559</v>
      </c>
      <c r="L31" s="201">
        <v>9507.82</v>
      </c>
      <c r="M31" s="203">
        <f t="shared" si="2"/>
        <v>-80.349999999999994</v>
      </c>
      <c r="N31" s="204">
        <f t="shared" si="3"/>
        <v>-0.43</v>
      </c>
      <c r="O31" s="205">
        <f t="shared" si="4"/>
        <v>0</v>
      </c>
      <c r="P31" s="206">
        <f t="shared" si="5"/>
        <v>0</v>
      </c>
      <c r="Q31" s="206">
        <f t="shared" si="6"/>
        <v>-0.43</v>
      </c>
      <c r="R31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1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97960</v>
      </c>
      <c r="T31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100000</v>
      </c>
      <c r="U31" s="208">
        <f ca="1">IF(Tabla336106734825[[#This Row],[Equity]]&lt;Tabla336106734825[[#This Row],[Equity Peak]],(Tabla336106734825[[#This Row],[Equity Peak]]-Tabla336106734825[[#This Row],[Equity]])/Tabla336106734825[[#This Row],[Equity Peak]],"")</f>
        <v>2.0400000000000001E-2</v>
      </c>
      <c r="V31" s="209">
        <f t="shared" si="7"/>
        <v>0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-0.43</v>
      </c>
      <c r="AC31" s="205">
        <f t="shared" si="14"/>
        <v>0</v>
      </c>
      <c r="AD31" s="210">
        <f t="shared" si="15"/>
        <v>1.609722222223354</v>
      </c>
      <c r="AE31" s="210">
        <f t="shared" si="16"/>
        <v>0</v>
      </c>
      <c r="AF31" s="210">
        <f t="shared" si="17"/>
        <v>1.609722222223354</v>
      </c>
      <c r="AG31" s="210">
        <f t="shared" si="18"/>
        <v>0</v>
      </c>
    </row>
    <row r="32" spans="2:33" ht="15" customHeight="1" x14ac:dyDescent="0.3">
      <c r="B32" s="196" t="s">
        <v>84</v>
      </c>
      <c r="C32" s="197" t="s">
        <v>13</v>
      </c>
      <c r="D32" s="198" t="str">
        <f t="shared" si="0"/>
        <v>C</v>
      </c>
      <c r="E32" s="199">
        <v>43993.833333333336</v>
      </c>
      <c r="F32" s="200" t="s">
        <v>80</v>
      </c>
      <c r="G32" s="201">
        <v>9093.1</v>
      </c>
      <c r="H32" s="201">
        <v>9368.7800000000007</v>
      </c>
      <c r="I32" s="202">
        <f t="shared" si="1"/>
        <v>275.68000000000029</v>
      </c>
      <c r="J32" s="201">
        <v>4957.88</v>
      </c>
      <c r="K32" s="199">
        <v>43993.85833333333</v>
      </c>
      <c r="L32" s="201">
        <v>9299.7800000000007</v>
      </c>
      <c r="M32" s="203">
        <f t="shared" si="2"/>
        <v>-206.68</v>
      </c>
      <c r="N32" s="204">
        <f t="shared" si="3"/>
        <v>-0.75</v>
      </c>
      <c r="O32" s="205">
        <f t="shared" si="4"/>
        <v>0</v>
      </c>
      <c r="P32" s="206">
        <f t="shared" si="5"/>
        <v>0</v>
      </c>
      <c r="Q32" s="206">
        <f t="shared" si="6"/>
        <v>-0.75</v>
      </c>
      <c r="R32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2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98390</v>
      </c>
      <c r="T32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100000</v>
      </c>
      <c r="U32" s="208">
        <f ca="1">IF(Tabla336106734825[[#This Row],[Equity]]&lt;Tabla336106734825[[#This Row],[Equity Peak]],(Tabla336106734825[[#This Row],[Equity Peak]]-Tabla336106734825[[#This Row],[Equity]])/Tabla336106734825[[#This Row],[Equity Peak]],"")</f>
        <v>1.61E-2</v>
      </c>
      <c r="V32" s="209">
        <f t="shared" si="7"/>
        <v>0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-0.75</v>
      </c>
      <c r="AC32" s="205">
        <f t="shared" si="14"/>
        <v>0</v>
      </c>
      <c r="AD32" s="210">
        <f t="shared" si="15"/>
        <v>2.4999999994179234E-2</v>
      </c>
      <c r="AE32" s="210">
        <f t="shared" si="16"/>
        <v>0</v>
      </c>
      <c r="AF32" s="210">
        <f t="shared" si="17"/>
        <v>2.4999999994179234E-2</v>
      </c>
      <c r="AG32" s="210">
        <f t="shared" si="18"/>
        <v>0</v>
      </c>
    </row>
    <row r="33" spans="2:33" ht="15" customHeight="1" x14ac:dyDescent="0.3">
      <c r="B33" s="196" t="s">
        <v>84</v>
      </c>
      <c r="C33" s="197" t="s">
        <v>15</v>
      </c>
      <c r="D33" s="198" t="str">
        <f t="shared" si="0"/>
        <v>C</v>
      </c>
      <c r="E33" s="199">
        <v>43979.166666666664</v>
      </c>
      <c r="F33" s="200" t="s">
        <v>80</v>
      </c>
      <c r="G33" s="201">
        <v>9268.0300000000007</v>
      </c>
      <c r="H33" s="201">
        <v>8993.5</v>
      </c>
      <c r="I33" s="202">
        <f t="shared" si="1"/>
        <v>274.53000000000065</v>
      </c>
      <c r="J33" s="201">
        <v>13386.04</v>
      </c>
      <c r="K33" s="199">
        <v>43984.728472222225</v>
      </c>
      <c r="L33" s="201">
        <v>9654.2099999999991</v>
      </c>
      <c r="M33" s="203">
        <f t="shared" si="2"/>
        <v>386.18</v>
      </c>
      <c r="N33" s="204">
        <f t="shared" si="3"/>
        <v>1.41</v>
      </c>
      <c r="O33" s="205">
        <f t="shared" si="4"/>
        <v>0</v>
      </c>
      <c r="P33" s="206">
        <f t="shared" si="5"/>
        <v>1.41</v>
      </c>
      <c r="Q33" s="206">
        <f t="shared" si="6"/>
        <v>0</v>
      </c>
      <c r="R33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3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99140</v>
      </c>
      <c r="T33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100000</v>
      </c>
      <c r="U33" s="208">
        <f ca="1">IF(Tabla336106734825[[#This Row],[Equity]]&lt;Tabla336106734825[[#This Row],[Equity Peak]],(Tabla336106734825[[#This Row],[Equity Peak]]-Tabla336106734825[[#This Row],[Equity]])/Tabla336106734825[[#This Row],[Equity Peak]],"")</f>
        <v>8.6E-3</v>
      </c>
      <c r="V33" s="209">
        <f t="shared" si="7"/>
        <v>0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1.41</v>
      </c>
      <c r="AC33" s="205">
        <f t="shared" si="14"/>
        <v>0</v>
      </c>
      <c r="AD33" s="210">
        <f t="shared" si="15"/>
        <v>5.5618055555605679</v>
      </c>
      <c r="AE33" s="210">
        <f t="shared" si="16"/>
        <v>5.5618055555605679</v>
      </c>
      <c r="AF33" s="210">
        <f t="shared" si="17"/>
        <v>0</v>
      </c>
      <c r="AG33" s="210">
        <f t="shared" si="18"/>
        <v>0</v>
      </c>
    </row>
    <row r="34" spans="2:33" ht="15" customHeight="1" x14ac:dyDescent="0.3">
      <c r="B34" s="196" t="s">
        <v>84</v>
      </c>
      <c r="C34" s="197" t="s">
        <v>13</v>
      </c>
      <c r="D34" s="198" t="str">
        <f t="shared" ref="D34:D37" si="19">IF(E34&lt;&gt;"",IF(K34&lt;&gt;"","C","O"),"")</f>
        <v>C</v>
      </c>
      <c r="E34" s="199">
        <v>43972.833333333336</v>
      </c>
      <c r="F34" s="200" t="s">
        <v>80</v>
      </c>
      <c r="G34" s="201">
        <v>9052.3799999999992</v>
      </c>
      <c r="H34" s="201">
        <v>9439.61</v>
      </c>
      <c r="I34" s="202">
        <f t="shared" ref="I34:I37" si="20">ABS(G34-H34)</f>
        <v>387.23000000000138</v>
      </c>
      <c r="J34" s="201">
        <v>3243.97</v>
      </c>
      <c r="K34" s="199">
        <v>43978.560416666667</v>
      </c>
      <c r="L34" s="201">
        <v>9056.7000000000007</v>
      </c>
      <c r="M34" s="203">
        <f t="shared" ref="M34:M37" si="21">ROUND(IF(C34="L",(L34-G34),(G34-L34)),4)</f>
        <v>-4.32</v>
      </c>
      <c r="N34" s="204">
        <f t="shared" ref="N34:N37" si="22">IFERROR(ROUND((M34/I34),2),"")</f>
        <v>-0.01</v>
      </c>
      <c r="O34" s="205">
        <f t="shared" ref="O34:O37" si="23">IF(D34="O",IF(N34&lt;0,N34,0),0)</f>
        <v>0</v>
      </c>
      <c r="P34" s="206">
        <f t="shared" ref="P34:P37" si="24">IF(N34&gt;= 0,N34,0)</f>
        <v>0</v>
      </c>
      <c r="Q34" s="206">
        <f t="shared" ref="Q34:Q37" si="25">IF(N34&lt;0,N34,0)</f>
        <v>-0.01</v>
      </c>
      <c r="R34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4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97730</v>
      </c>
      <c r="T34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100000</v>
      </c>
      <c r="U34" s="208">
        <f ca="1">IF(Tabla336106734825[[#This Row],[Equity]]&lt;Tabla336106734825[[#This Row],[Equity Peak]],(Tabla336106734825[[#This Row],[Equity Peak]]-Tabla336106734825[[#This Row],[Equity]])/Tabla336106734825[[#This Row],[Equity Peak]],"")</f>
        <v>2.2700000000000001E-2</v>
      </c>
      <c r="V34" s="209">
        <f t="shared" ref="V34:V37" si="26">IF(B34="FX",N34,0)</f>
        <v>0</v>
      </c>
      <c r="W34" s="209">
        <f t="shared" ref="W34:W37" si="27">IF(D34="O",IF(V34&lt;0,V34,0),0)</f>
        <v>0</v>
      </c>
      <c r="X34" s="209">
        <f t="shared" ref="X34:X37" si="28">IF(B34="COM",N34,0)</f>
        <v>0</v>
      </c>
      <c r="Y34" s="209">
        <f t="shared" ref="Y34:Y37" si="29">IF(D34="O",IF(X34&lt;0,X34,0),0)</f>
        <v>0</v>
      </c>
      <c r="Z34" s="209">
        <f t="shared" ref="Z34:Z37" si="30">IF(B34="IND",N34,0)</f>
        <v>0</v>
      </c>
      <c r="AA34" s="205">
        <f t="shared" ref="AA34:AA37" si="31">IF(D34="O",IF(Z34&lt;0,Z34,0),0)</f>
        <v>0</v>
      </c>
      <c r="AB34" s="209">
        <f t="shared" ref="AB34:AB37" si="32">IF(B34="CRYPTO",N34,0)</f>
        <v>-0.01</v>
      </c>
      <c r="AC34" s="205">
        <f t="shared" ref="AC34:AC37" si="33">IF(D34="O",IF(AB34&lt;0,AB34,0),0)</f>
        <v>0</v>
      </c>
      <c r="AD34" s="210">
        <f t="shared" ref="AD34:AD37" si="34">IF(K34&lt;&gt;"",K34-E34,0)</f>
        <v>5.7270833333313931</v>
      </c>
      <c r="AE34" s="210">
        <f t="shared" ref="AE34:AE37" si="35">IF(N34&gt;0,AD34,0)</f>
        <v>0</v>
      </c>
      <c r="AF34" s="210">
        <f t="shared" ref="AF34:AF37" si="36">IF(N34&lt;0,AD34,0)</f>
        <v>5.7270833333313931</v>
      </c>
      <c r="AG34" s="210">
        <f t="shared" ref="AG34:AG37" si="37">IF(N34=0,AD34,0)</f>
        <v>0</v>
      </c>
    </row>
    <row r="35" spans="2:33" ht="15" customHeight="1" x14ac:dyDescent="0.3">
      <c r="B35" s="196" t="s">
        <v>84</v>
      </c>
      <c r="C35" s="197" t="s">
        <v>15</v>
      </c>
      <c r="D35" s="198" t="str">
        <f t="shared" si="19"/>
        <v>C</v>
      </c>
      <c r="E35" s="199">
        <v>43964.166666666664</v>
      </c>
      <c r="F35" s="200" t="s">
        <v>80</v>
      </c>
      <c r="G35" s="201">
        <v>8934.5499999999993</v>
      </c>
      <c r="H35" s="201">
        <v>8221.9699999999993</v>
      </c>
      <c r="I35" s="202">
        <f t="shared" si="20"/>
        <v>712.57999999999993</v>
      </c>
      <c r="J35" s="201">
        <v>19623.27</v>
      </c>
      <c r="K35" s="199">
        <v>43972.720833333333</v>
      </c>
      <c r="L35" s="201">
        <v>9204.31</v>
      </c>
      <c r="M35" s="203">
        <f t="shared" si="21"/>
        <v>269.76</v>
      </c>
      <c r="N35" s="204">
        <f t="shared" si="22"/>
        <v>0.38</v>
      </c>
      <c r="O35" s="205">
        <f t="shared" si="23"/>
        <v>0</v>
      </c>
      <c r="P35" s="206">
        <f t="shared" si="24"/>
        <v>0.38</v>
      </c>
      <c r="Q35" s="206">
        <f t="shared" si="25"/>
        <v>0</v>
      </c>
      <c r="R35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5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97740</v>
      </c>
      <c r="T35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100000</v>
      </c>
      <c r="U35" s="208">
        <f ca="1">IF(Tabla336106734825[[#This Row],[Equity]]&lt;Tabla336106734825[[#This Row],[Equity Peak]],(Tabla336106734825[[#This Row],[Equity Peak]]-Tabla336106734825[[#This Row],[Equity]])/Tabla336106734825[[#This Row],[Equity Peak]],"")</f>
        <v>2.2599999999999999E-2</v>
      </c>
      <c r="V35" s="209">
        <f t="shared" si="26"/>
        <v>0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0.38</v>
      </c>
      <c r="AC35" s="205">
        <f t="shared" si="33"/>
        <v>0</v>
      </c>
      <c r="AD35" s="210">
        <f t="shared" si="34"/>
        <v>8.5541666666686069</v>
      </c>
      <c r="AE35" s="210">
        <f t="shared" si="35"/>
        <v>8.5541666666686069</v>
      </c>
      <c r="AF35" s="210">
        <f t="shared" si="36"/>
        <v>0</v>
      </c>
      <c r="AG35" s="210">
        <f t="shared" si="37"/>
        <v>0</v>
      </c>
    </row>
    <row r="36" spans="2:33" ht="15" customHeight="1" x14ac:dyDescent="0.3">
      <c r="B36" s="196" t="s">
        <v>84</v>
      </c>
      <c r="C36" s="197" t="s">
        <v>15</v>
      </c>
      <c r="D36" s="198" t="str">
        <f t="shared" si="19"/>
        <v>C</v>
      </c>
      <c r="E36" s="199">
        <v>43944.833333333336</v>
      </c>
      <c r="F36" s="200" t="s">
        <v>80</v>
      </c>
      <c r="G36" s="201">
        <v>7507.85</v>
      </c>
      <c r="H36" s="201">
        <v>7250.83</v>
      </c>
      <c r="I36" s="202">
        <f t="shared" si="20"/>
        <v>257.02000000000044</v>
      </c>
      <c r="J36" s="201">
        <v>11363.19</v>
      </c>
      <c r="K36" s="199">
        <v>43964.166666666664</v>
      </c>
      <c r="L36" s="201">
        <v>8934.5499999999993</v>
      </c>
      <c r="M36" s="203">
        <f t="shared" si="21"/>
        <v>1426.7</v>
      </c>
      <c r="N36" s="204">
        <f t="shared" si="22"/>
        <v>5.55</v>
      </c>
      <c r="O36" s="205">
        <f t="shared" si="23"/>
        <v>0</v>
      </c>
      <c r="P36" s="206">
        <f t="shared" si="24"/>
        <v>5.55</v>
      </c>
      <c r="Q36" s="206">
        <f t="shared" si="25"/>
        <v>0</v>
      </c>
      <c r="R36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36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97360</v>
      </c>
      <c r="T36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100000</v>
      </c>
      <c r="U36" s="208">
        <f ca="1">IF(Tabla336106734825[[#This Row],[Equity]]&lt;Tabla336106734825[[#This Row],[Equity Peak]],(Tabla336106734825[[#This Row],[Equity Peak]]-Tabla336106734825[[#This Row],[Equity]])/Tabla336106734825[[#This Row],[Equity Peak]],"")</f>
        <v>2.64E-2</v>
      </c>
      <c r="V36" s="209">
        <f t="shared" si="26"/>
        <v>0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5.55</v>
      </c>
      <c r="AC36" s="205">
        <f t="shared" si="33"/>
        <v>0</v>
      </c>
      <c r="AD36" s="210">
        <f t="shared" si="34"/>
        <v>19.333333333328483</v>
      </c>
      <c r="AE36" s="210">
        <f t="shared" si="35"/>
        <v>19.333333333328483</v>
      </c>
      <c r="AF36" s="210">
        <f t="shared" si="36"/>
        <v>0</v>
      </c>
      <c r="AG36" s="210">
        <f t="shared" si="37"/>
        <v>0</v>
      </c>
    </row>
    <row r="37" spans="2:33" ht="15" customHeight="1" x14ac:dyDescent="0.3">
      <c r="B37" s="196" t="s">
        <v>84</v>
      </c>
      <c r="C37" s="197" t="s">
        <v>15</v>
      </c>
      <c r="D37" s="198" t="str">
        <f t="shared" si="19"/>
        <v>C</v>
      </c>
      <c r="E37" s="199">
        <v>43678.666666666664</v>
      </c>
      <c r="F37" s="200" t="s">
        <v>80</v>
      </c>
      <c r="G37" s="201">
        <v>10019.36</v>
      </c>
      <c r="H37" s="201">
        <v>9712.65</v>
      </c>
      <c r="I37" s="202">
        <f t="shared" si="20"/>
        <v>306.71000000000095</v>
      </c>
      <c r="J37" s="201">
        <v>14620.01</v>
      </c>
      <c r="K37" s="199">
        <v>43944.833333333336</v>
      </c>
      <c r="L37" s="201">
        <v>7507.85</v>
      </c>
      <c r="M37" s="203">
        <f t="shared" si="21"/>
        <v>-2511.5100000000002</v>
      </c>
      <c r="N37" s="204">
        <f t="shared" si="22"/>
        <v>-8.19</v>
      </c>
      <c r="O37" s="205">
        <f t="shared" si="23"/>
        <v>0</v>
      </c>
      <c r="P37" s="206">
        <f t="shared" si="24"/>
        <v>0</v>
      </c>
      <c r="Q37" s="206">
        <f t="shared" si="25"/>
        <v>-8.19</v>
      </c>
      <c r="R37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Yes</v>
      </c>
      <c r="S37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91810</v>
      </c>
      <c r="T37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100000</v>
      </c>
      <c r="U37" s="208">
        <f ca="1">IF(Tabla336106734825[[#This Row],[Equity]]&lt;Tabla336106734825[[#This Row],[Equity Peak]],(Tabla336106734825[[#This Row],[Equity Peak]]-Tabla336106734825[[#This Row],[Equity]])/Tabla336106734825[[#This Row],[Equity Peak]],"")</f>
        <v>8.1900000000000001E-2</v>
      </c>
      <c r="V37" s="209">
        <f t="shared" si="26"/>
        <v>0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-8.19</v>
      </c>
      <c r="AC37" s="205">
        <f t="shared" si="33"/>
        <v>0</v>
      </c>
      <c r="AD37" s="210">
        <f t="shared" si="34"/>
        <v>266.16666666667152</v>
      </c>
      <c r="AE37" s="210">
        <f t="shared" si="35"/>
        <v>0</v>
      </c>
      <c r="AF37" s="210">
        <f t="shared" si="36"/>
        <v>266.16666666667152</v>
      </c>
      <c r="AG37" s="210">
        <f t="shared" si="37"/>
        <v>0</v>
      </c>
    </row>
  </sheetData>
  <sheetProtection algorithmName="SHA-512" hashValue="eviB8tWtY/SiUswgsh6G2fpuMKXVjZHHkCE3Eqki2AUHjGhs/eBuDVDpKrvH1ACXKteFbn+RFGDzmC5DlLdcug==" saltValue="9bYk06fR030HEHGxY04JN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83" priority="3" operator="equal">
      <formula>"OK"</formula>
    </cfRule>
    <cfRule type="cellIs" dxfId="82" priority="4" operator="equal">
      <formula>"warning"</formula>
    </cfRule>
  </conditionalFormatting>
  <conditionalFormatting sqref="F13">
    <cfRule type="cellIs" dxfId="81" priority="1" operator="equal">
      <formula>"OK"</formula>
    </cfRule>
    <cfRule type="cellIs" dxfId="80" priority="2" operator="equal">
      <formula>"Error!!"</formula>
    </cfRule>
  </conditionalFormatting>
  <conditionalFormatting sqref="E15:H15 K15:L15">
    <cfRule type="expression" dxfId="79" priority="5">
      <formula>+$D15=#REF!</formula>
    </cfRule>
    <cfRule type="expression" dxfId="78" priority="6">
      <formula>+$D15=#REF!</formula>
    </cfRule>
  </conditionalFormatting>
  <conditionalFormatting sqref="D15 K16:L16 D16:H37 J17:L37">
    <cfRule type="expression" dxfId="77" priority="7">
      <formula>+$D15=$AG$8</formula>
    </cfRule>
    <cfRule type="expression" dxfId="7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3BD341AF-A09B-414D-B59A-6E5100F35ABA}">
      <formula1>$AE$4:$AE$6</formula1>
    </dataValidation>
    <dataValidation type="list" allowBlank="1" showInputMessage="1" showErrorMessage="1" promptTitle="Trade Direction" prompt="Select from List" sqref="C15:C16" xr:uid="{7C783AA4-A884-4682-AC1D-F933BA4AA8DA}">
      <formula1>$AG$4:$AG$5</formula1>
    </dataValidation>
    <dataValidation type="list" allowBlank="1" showInputMessage="1" showErrorMessage="1" promptTitle="Instrument Type" prompt="Select Type from List_x000a_" sqref="B17:B37" xr:uid="{23BF98AE-06CC-4D09-B3B8-7D3519797406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12A2-AD13-4A6D-9034-F8339B2281EB}">
  <sheetPr codeName="Hoja32">
    <pageSetUpPr fitToPage="1"/>
  </sheetPr>
  <dimension ref="A1:AX45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D2" sqref="D2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COUNTA(Tabla336106734826[Inst])</f>
        <v>29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12.630000000000003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12.630000000000003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COUNTIF(Tabla336106734826[No. of Rs],"&gt;0")</f>
        <v>3</v>
      </c>
      <c r="G7" s="24">
        <f>IFERROR((F7/$F$6),"")</f>
        <v>0.10344827586206896</v>
      </c>
      <c r="H7" s="78">
        <f>IFERROR((+P13/F7),"")</f>
        <v>9.3533333333333335</v>
      </c>
      <c r="I7" s="227">
        <f>H7/H9</f>
        <v>15.760639446964786</v>
      </c>
      <c r="J7" s="227">
        <f>AVERAGE(Tabla336106734826[No. of Rs])</f>
        <v>0.43551724137931042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1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COUNTIF(Tabla336106734826[No.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OFFSET(Tabla336106734826[[#Headers],[Equity]],1,0)</f>
        <v>112630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COUNTIF(Tabla336106734826[No. of Rs],"&lt;0")</f>
        <v>26</v>
      </c>
      <c r="G9" s="32">
        <f>IFERROR((F9/$F$6),"")</f>
        <v>0.89655172413793105</v>
      </c>
      <c r="H9" s="79">
        <f>IFERROR((-Q13/F9),"")</f>
        <v>0.59346153846153848</v>
      </c>
      <c r="I9" s="229"/>
      <c r="J9" s="229"/>
      <c r="K9" s="149"/>
      <c r="L9" s="230" t="s">
        <v>106</v>
      </c>
      <c r="M9" s="231"/>
      <c r="N9" s="125">
        <f ca="1">MAX(Tabla336106734826[Drawdown])</f>
        <v>0.13839122486288849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OFFSET(Tabla336106734826[[#Headers],[Drawdown]],1,0)</f>
        <v>2.5681898689337585E-3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COUNTIF(Tabla336106734826[Heat],"&lt;0")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IF(COUNTIFS(Tabla336106734826[O/C],"O")&lt;1,"None",COUNTIFS(Tabla336106734826[O/C],"O"))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SUM(Tabla336106734826[No. of Rs])</f>
        <v>12.630000000000003</v>
      </c>
      <c r="O13" s="42">
        <f>SUM(Tabla336106734826[Heat])</f>
        <v>0</v>
      </c>
      <c r="P13" s="43">
        <f>SUM(Tabla336106734826[[ TR WIN]])</f>
        <v>28.060000000000002</v>
      </c>
      <c r="Q13" s="43">
        <f>SUM(Tabla336106734826[[ TR LOSS]])</f>
        <v>-15.43</v>
      </c>
      <c r="R13" s="114"/>
      <c r="S13" s="115"/>
      <c r="T13" s="115"/>
      <c r="U13" s="121"/>
      <c r="V13" s="44">
        <f>SUM(Tabla336106734826[Currency])</f>
        <v>0</v>
      </c>
      <c r="W13" s="44">
        <f>SUM(Tabla336106734826[Heat3])</f>
        <v>0</v>
      </c>
      <c r="X13" s="44">
        <f>SUM(Tabla336106734826[Commodities])</f>
        <v>0</v>
      </c>
      <c r="Y13" s="44">
        <f>SUM(Tabla336106734826[Heat4])</f>
        <v>0</v>
      </c>
      <c r="Z13" s="44">
        <f>SUM(Tabla336106734826[Index])</f>
        <v>0</v>
      </c>
      <c r="AA13" s="44">
        <f>SUM(Tabla336106734826[Heat5])</f>
        <v>0</v>
      </c>
      <c r="AB13" s="44">
        <f>SUM(Tabla336106734826[Cryptocurrency])</f>
        <v>12.630000000000003</v>
      </c>
      <c r="AC13" s="44">
        <f>SUM(Tabla336106734826[Heat6])</f>
        <v>0</v>
      </c>
      <c r="AD13" s="75">
        <f>AVERAGEIF(Tabla336106734826[Length of 
Trade],"&lt;&gt;0")</f>
        <v>14.97037835249046</v>
      </c>
      <c r="AE13" s="75">
        <f>AVERAGEIF(Tabla336106734826[Win],"&lt;&gt;0")</f>
        <v>115.57175925925792</v>
      </c>
      <c r="AF13" s="75">
        <f>AVERAGEIF(Tabla336106734826[Loss],"&lt;&gt;0")</f>
        <v>3.3625267094019082</v>
      </c>
      <c r="AG13" s="76" t="e">
        <f>AVERAGEIF(Tabla336106734826[Breakeven],"&lt;&gt;0")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84</v>
      </c>
      <c r="C17" s="197" t="s">
        <v>15</v>
      </c>
      <c r="D17" s="198" t="str">
        <f t="shared" ref="D17:D24" si="0">IF(E17&lt;&gt;"",IF(K17&lt;&gt;"","C","O"),"")</f>
        <v>C</v>
      </c>
      <c r="E17" s="199">
        <v>44193.166666666664</v>
      </c>
      <c r="F17" s="200" t="s">
        <v>82</v>
      </c>
      <c r="G17" s="201">
        <v>706.3</v>
      </c>
      <c r="H17" s="201">
        <v>667.19</v>
      </c>
      <c r="I17" s="202">
        <f t="shared" ref="I17:I24" si="1">ABS(G17-H17)</f>
        <v>39.1099999999999</v>
      </c>
      <c r="J17" s="201">
        <v>1436.4</v>
      </c>
      <c r="K17" s="199">
        <v>44194.270138888889</v>
      </c>
      <c r="L17" s="201">
        <v>694.9</v>
      </c>
      <c r="M17" s="203">
        <f t="shared" ref="M17:M24" si="2">ROUND(IF(C17="L",(L17-G17),(G17-L17)),4)</f>
        <v>-11.4</v>
      </c>
      <c r="N17" s="204">
        <f t="shared" ref="N17:N24" si="3">IFERROR(ROUND((M17/I17),2),"")</f>
        <v>-0.28999999999999998</v>
      </c>
      <c r="O17" s="205">
        <f t="shared" ref="O17:O24" si="4">IF(D17="O",IF(N17&lt;0,N17,0),0)</f>
        <v>0</v>
      </c>
      <c r="P17" s="206">
        <f t="shared" ref="P17:P24" si="5">IF(N17&gt;= 0,N17,0)</f>
        <v>0</v>
      </c>
      <c r="Q17" s="206">
        <f t="shared" ref="Q17:Q24" si="6">IF(N17&lt;0,N17,0)</f>
        <v>-0.28999999999999998</v>
      </c>
      <c r="R17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17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112630</v>
      </c>
      <c r="T17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112920</v>
      </c>
      <c r="U17" s="208">
        <f ca="1">IF(Tabla336106734826[[#This Row],[Equity]]&lt;Tabla336106734826[[#This Row],[Equity Peak]],(Tabla336106734826[[#This Row],[Equity Peak]]-Tabla336106734826[[#This Row],[Equity]])/Tabla336106734826[[#This Row],[Equity Peak]],"")</f>
        <v>2.5681898689337585E-3</v>
      </c>
      <c r="V17" s="209">
        <f t="shared" ref="V17:V24" si="7">IF(B17="FX",N17,0)</f>
        <v>0</v>
      </c>
      <c r="W17" s="209">
        <f t="shared" ref="W17:W24" si="8">IF(D17="O",IF(V17&lt;0,V17,0),0)</f>
        <v>0</v>
      </c>
      <c r="X17" s="209">
        <f t="shared" ref="X17:X24" si="9">IF(B17="COM",N17,0)</f>
        <v>0</v>
      </c>
      <c r="Y17" s="209">
        <f t="shared" ref="Y17:Y24" si="10">IF(D17="O",IF(X17&lt;0,X17,0),0)</f>
        <v>0</v>
      </c>
      <c r="Z17" s="209">
        <f t="shared" ref="Z17:Z24" si="11">IF(B17="IND",N17,0)</f>
        <v>0</v>
      </c>
      <c r="AA17" s="205">
        <f t="shared" ref="AA17:AA24" si="12">IF(D17="O",IF(Z17&lt;0,Z17,0),0)</f>
        <v>0</v>
      </c>
      <c r="AB17" s="209">
        <f t="shared" ref="AB17:AB24" si="13">IF(B17="CRYPTO",N17,0)</f>
        <v>-0.28999999999999998</v>
      </c>
      <c r="AC17" s="205">
        <f t="shared" ref="AC17:AC24" si="14">IF(D17="O",IF(AB17&lt;0,AB17,0),0)</f>
        <v>0</v>
      </c>
      <c r="AD17" s="210">
        <f t="shared" ref="AD17:AD24" si="15">IF(K17&lt;&gt;"",K17-E17,0)</f>
        <v>1.1034722222248092</v>
      </c>
      <c r="AE17" s="210">
        <f t="shared" ref="AE17:AE24" si="16">IF(N17&gt;0,AD17,0)</f>
        <v>0</v>
      </c>
      <c r="AF17" s="210">
        <f t="shared" ref="AF17:AF24" si="17">IF(N17&lt;0,AD17,0)</f>
        <v>1.1034722222248092</v>
      </c>
      <c r="AG17" s="210">
        <f t="shared" ref="AG17:AG24" si="18">IF(N17=0,AD17,0)</f>
        <v>0</v>
      </c>
    </row>
    <row r="18" spans="2:33" ht="15" customHeight="1" x14ac:dyDescent="0.3">
      <c r="B18" s="196" t="s">
        <v>84</v>
      </c>
      <c r="C18" s="197" t="s">
        <v>15</v>
      </c>
      <c r="D18" s="198" t="str">
        <f t="shared" si="0"/>
        <v>C</v>
      </c>
      <c r="E18" s="199">
        <v>44139.833333333336</v>
      </c>
      <c r="F18" s="200" t="s">
        <v>82</v>
      </c>
      <c r="G18" s="201">
        <v>401.46</v>
      </c>
      <c r="H18" s="201">
        <v>389.06</v>
      </c>
      <c r="I18" s="202">
        <f t="shared" si="1"/>
        <v>12.399999999999977</v>
      </c>
      <c r="J18" s="201">
        <v>632.86</v>
      </c>
      <c r="K18" s="199">
        <v>44182.048611111109</v>
      </c>
      <c r="L18" s="201">
        <v>632.86</v>
      </c>
      <c r="M18" s="203">
        <f t="shared" si="2"/>
        <v>231.4</v>
      </c>
      <c r="N18" s="204">
        <f t="shared" si="3"/>
        <v>18.66</v>
      </c>
      <c r="O18" s="205">
        <f t="shared" si="4"/>
        <v>0</v>
      </c>
      <c r="P18" s="206">
        <f t="shared" si="5"/>
        <v>18.66</v>
      </c>
      <c r="Q18" s="206">
        <f t="shared" si="6"/>
        <v>0</v>
      </c>
      <c r="R18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18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112920</v>
      </c>
      <c r="T18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112920</v>
      </c>
      <c r="U18" s="208" t="str">
        <f ca="1">IF(Tabla336106734826[[#This Row],[Equity]]&lt;Tabla336106734826[[#This Row],[Equity Peak]],(Tabla336106734826[[#This Row],[Equity Peak]]-Tabla336106734826[[#This Row],[Equity]])/Tabla336106734826[[#This Row],[Equity Peak]],"")</f>
        <v/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18.66</v>
      </c>
      <c r="AC18" s="205">
        <f t="shared" si="14"/>
        <v>0</v>
      </c>
      <c r="AD18" s="210">
        <f t="shared" si="15"/>
        <v>42.215277777773736</v>
      </c>
      <c r="AE18" s="210">
        <f t="shared" si="16"/>
        <v>42.215277777773736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84</v>
      </c>
      <c r="C19" s="197" t="s">
        <v>13</v>
      </c>
      <c r="D19" s="198" t="str">
        <f t="shared" si="0"/>
        <v>C</v>
      </c>
      <c r="E19" s="199">
        <v>44138.333333333336</v>
      </c>
      <c r="F19" s="200" t="s">
        <v>82</v>
      </c>
      <c r="G19" s="201">
        <v>373.42</v>
      </c>
      <c r="H19" s="201">
        <v>387.1</v>
      </c>
      <c r="I19" s="202">
        <f t="shared" si="1"/>
        <v>13.680000000000007</v>
      </c>
      <c r="J19" s="201">
        <v>118.06</v>
      </c>
      <c r="K19" s="199">
        <v>44139.074999999997</v>
      </c>
      <c r="L19" s="201">
        <v>387.08</v>
      </c>
      <c r="M19" s="203">
        <f t="shared" si="2"/>
        <v>-13.66</v>
      </c>
      <c r="N19" s="204">
        <f t="shared" si="3"/>
        <v>-1</v>
      </c>
      <c r="O19" s="205">
        <f t="shared" si="4"/>
        <v>0</v>
      </c>
      <c r="P19" s="206">
        <f t="shared" si="5"/>
        <v>0</v>
      </c>
      <c r="Q19" s="206">
        <f t="shared" si="6"/>
        <v>-1</v>
      </c>
      <c r="R19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19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94260</v>
      </c>
      <c r="T19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19" s="208">
        <f ca="1">IF(Tabla336106734826[[#This Row],[Equity]]&lt;Tabla336106734826[[#This Row],[Equity Peak]],(Tabla336106734826[[#This Row],[Equity Peak]]-Tabla336106734826[[#This Row],[Equity]])/Tabla336106734826[[#This Row],[Equity Peak]],"")</f>
        <v>0.13839122486288849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-1</v>
      </c>
      <c r="AC19" s="205">
        <f t="shared" si="14"/>
        <v>0</v>
      </c>
      <c r="AD19" s="210">
        <f t="shared" si="15"/>
        <v>0.74166666666133096</v>
      </c>
      <c r="AE19" s="210">
        <f t="shared" si="16"/>
        <v>0</v>
      </c>
      <c r="AF19" s="210">
        <f t="shared" si="17"/>
        <v>0.74166666666133096</v>
      </c>
      <c r="AG19" s="210">
        <f t="shared" si="18"/>
        <v>0</v>
      </c>
    </row>
    <row r="20" spans="2:33" ht="15" customHeight="1" x14ac:dyDescent="0.3">
      <c r="B20" s="196" t="s">
        <v>84</v>
      </c>
      <c r="C20" s="197" t="s">
        <v>15</v>
      </c>
      <c r="D20" s="198" t="str">
        <f t="shared" si="0"/>
        <v>C</v>
      </c>
      <c r="E20" s="199">
        <v>44137.166666666664</v>
      </c>
      <c r="F20" s="200" t="s">
        <v>82</v>
      </c>
      <c r="G20" s="201">
        <v>404.03</v>
      </c>
      <c r="H20" s="201">
        <v>391.88</v>
      </c>
      <c r="I20" s="202">
        <f t="shared" si="1"/>
        <v>12.149999999999977</v>
      </c>
      <c r="J20" s="201">
        <v>630.75</v>
      </c>
      <c r="K20" s="199">
        <v>44137.40902777778</v>
      </c>
      <c r="L20" s="201">
        <v>391.88</v>
      </c>
      <c r="M20" s="203">
        <f t="shared" si="2"/>
        <v>-12.15</v>
      </c>
      <c r="N20" s="204">
        <f t="shared" si="3"/>
        <v>-1</v>
      </c>
      <c r="O20" s="205">
        <f t="shared" si="4"/>
        <v>0</v>
      </c>
      <c r="P20" s="206">
        <f t="shared" si="5"/>
        <v>0</v>
      </c>
      <c r="Q20" s="206">
        <f t="shared" si="6"/>
        <v>-1</v>
      </c>
      <c r="R20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0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95260</v>
      </c>
      <c r="T20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20" s="208">
        <f ca="1">IF(Tabla336106734826[[#This Row],[Equity]]&lt;Tabla336106734826[[#This Row],[Equity Peak]],(Tabla336106734826[[#This Row],[Equity Peak]]-Tabla336106734826[[#This Row],[Equity]])/Tabla336106734826[[#This Row],[Equity Peak]],"")</f>
        <v>0.12925045703839122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-1</v>
      </c>
      <c r="AC20" s="205">
        <f t="shared" si="14"/>
        <v>0</v>
      </c>
      <c r="AD20" s="210">
        <f t="shared" si="15"/>
        <v>0.242361111115315</v>
      </c>
      <c r="AE20" s="210">
        <f t="shared" si="16"/>
        <v>0</v>
      </c>
      <c r="AF20" s="210">
        <f t="shared" si="17"/>
        <v>0.242361111115315</v>
      </c>
      <c r="AG20" s="210">
        <f t="shared" si="18"/>
        <v>0</v>
      </c>
    </row>
    <row r="21" spans="2:33" ht="15" customHeight="1" x14ac:dyDescent="0.3">
      <c r="B21" s="196" t="s">
        <v>84</v>
      </c>
      <c r="C21" s="197" t="s">
        <v>13</v>
      </c>
      <c r="D21" s="198" t="str">
        <f t="shared" si="0"/>
        <v>C</v>
      </c>
      <c r="E21" s="199">
        <v>44134.666666666664</v>
      </c>
      <c r="F21" s="200" t="s">
        <v>82</v>
      </c>
      <c r="G21" s="201">
        <v>379.76</v>
      </c>
      <c r="H21" s="201">
        <v>392.85</v>
      </c>
      <c r="I21" s="202">
        <f t="shared" si="1"/>
        <v>13.090000000000032</v>
      </c>
      <c r="J21" s="201">
        <v>135.46</v>
      </c>
      <c r="K21" s="199">
        <v>44137</v>
      </c>
      <c r="L21" s="201">
        <v>391.5</v>
      </c>
      <c r="M21" s="203">
        <f t="shared" si="2"/>
        <v>-11.74</v>
      </c>
      <c r="N21" s="204">
        <f t="shared" si="3"/>
        <v>-0.9</v>
      </c>
      <c r="O21" s="205">
        <f t="shared" si="4"/>
        <v>0</v>
      </c>
      <c r="P21" s="206">
        <f t="shared" si="5"/>
        <v>0</v>
      </c>
      <c r="Q21" s="206">
        <f t="shared" si="6"/>
        <v>-0.9</v>
      </c>
      <c r="R21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1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96260</v>
      </c>
      <c r="T21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21" s="208">
        <f ca="1">IF(Tabla336106734826[[#This Row],[Equity]]&lt;Tabla336106734826[[#This Row],[Equity Peak]],(Tabla336106734826[[#This Row],[Equity Peak]]-Tabla336106734826[[#This Row],[Equity]])/Tabla336106734826[[#This Row],[Equity Peak]],"")</f>
        <v>0.12010968921389396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-0.9</v>
      </c>
      <c r="AC21" s="205">
        <f t="shared" si="14"/>
        <v>0</v>
      </c>
      <c r="AD21" s="210">
        <f t="shared" si="15"/>
        <v>2.3333333333357587</v>
      </c>
      <c r="AE21" s="210">
        <f t="shared" si="16"/>
        <v>0</v>
      </c>
      <c r="AF21" s="210">
        <f t="shared" si="17"/>
        <v>2.3333333333357587</v>
      </c>
      <c r="AG21" s="210">
        <f t="shared" si="18"/>
        <v>0</v>
      </c>
    </row>
    <row r="22" spans="2:33" ht="15" customHeight="1" x14ac:dyDescent="0.3">
      <c r="B22" s="196" t="s">
        <v>84</v>
      </c>
      <c r="C22" s="197" t="s">
        <v>15</v>
      </c>
      <c r="D22" s="198" t="str">
        <f t="shared" si="0"/>
        <v>C</v>
      </c>
      <c r="E22" s="199">
        <v>44125.833333333336</v>
      </c>
      <c r="F22" s="200" t="s">
        <v>82</v>
      </c>
      <c r="G22" s="201">
        <v>397.94</v>
      </c>
      <c r="H22" s="201">
        <v>387.57</v>
      </c>
      <c r="I22" s="202">
        <f t="shared" si="1"/>
        <v>10.370000000000005</v>
      </c>
      <c r="J22" s="201">
        <v>591.52</v>
      </c>
      <c r="K22" s="199">
        <v>44130.740277777775</v>
      </c>
      <c r="L22" s="201">
        <v>397.83</v>
      </c>
      <c r="M22" s="203">
        <f t="shared" si="2"/>
        <v>-0.11</v>
      </c>
      <c r="N22" s="204">
        <f t="shared" si="3"/>
        <v>-0.01</v>
      </c>
      <c r="O22" s="205">
        <f t="shared" si="4"/>
        <v>0</v>
      </c>
      <c r="P22" s="206">
        <f t="shared" si="5"/>
        <v>0</v>
      </c>
      <c r="Q22" s="206">
        <f t="shared" si="6"/>
        <v>-0.01</v>
      </c>
      <c r="R22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2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97160</v>
      </c>
      <c r="T22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22" s="208">
        <f ca="1">IF(Tabla336106734826[[#This Row],[Equity]]&lt;Tabla336106734826[[#This Row],[Equity Peak]],(Tabla336106734826[[#This Row],[Equity Peak]]-Tabla336106734826[[#This Row],[Equity]])/Tabla336106734826[[#This Row],[Equity Peak]],"")</f>
        <v>0.11188299817184644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-0.01</v>
      </c>
      <c r="AC22" s="205">
        <f t="shared" si="14"/>
        <v>0</v>
      </c>
      <c r="AD22" s="210">
        <f t="shared" si="15"/>
        <v>4.9069444444394321</v>
      </c>
      <c r="AE22" s="210">
        <f t="shared" si="16"/>
        <v>0</v>
      </c>
      <c r="AF22" s="210">
        <f t="shared" si="17"/>
        <v>4.9069444444394321</v>
      </c>
      <c r="AG22" s="210">
        <f t="shared" si="18"/>
        <v>0</v>
      </c>
    </row>
    <row r="23" spans="2:33" ht="15" customHeight="1" x14ac:dyDescent="0.3">
      <c r="B23" s="196" t="s">
        <v>84</v>
      </c>
      <c r="C23" s="197" t="s">
        <v>15</v>
      </c>
      <c r="D23" s="198" t="str">
        <f t="shared" si="0"/>
        <v>C</v>
      </c>
      <c r="E23" s="199">
        <v>44113.833333333336</v>
      </c>
      <c r="F23" s="200" t="s">
        <v>82</v>
      </c>
      <c r="G23" s="201">
        <v>365.32</v>
      </c>
      <c r="H23" s="201">
        <v>356.84</v>
      </c>
      <c r="I23" s="202">
        <f t="shared" si="1"/>
        <v>8.4800000000000182</v>
      </c>
      <c r="J23" s="201">
        <v>523.55999999999995</v>
      </c>
      <c r="K23" s="199">
        <v>44120.275694444441</v>
      </c>
      <c r="L23" s="201">
        <v>364.82</v>
      </c>
      <c r="M23" s="203">
        <f t="shared" si="2"/>
        <v>-0.5</v>
      </c>
      <c r="N23" s="204">
        <f t="shared" si="3"/>
        <v>-0.06</v>
      </c>
      <c r="O23" s="205">
        <f t="shared" si="4"/>
        <v>0</v>
      </c>
      <c r="P23" s="206">
        <f t="shared" si="5"/>
        <v>0</v>
      </c>
      <c r="Q23" s="206">
        <f t="shared" si="6"/>
        <v>-0.06</v>
      </c>
      <c r="R23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3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97170</v>
      </c>
      <c r="T23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23" s="208">
        <f ca="1">IF(Tabla336106734826[[#This Row],[Equity]]&lt;Tabla336106734826[[#This Row],[Equity Peak]],(Tabla336106734826[[#This Row],[Equity Peak]]-Tabla336106734826[[#This Row],[Equity]])/Tabla336106734826[[#This Row],[Equity Peak]],"")</f>
        <v>0.11179159049360146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-0.06</v>
      </c>
      <c r="AC23" s="205">
        <f t="shared" si="14"/>
        <v>0</v>
      </c>
      <c r="AD23" s="210">
        <f t="shared" si="15"/>
        <v>6.4423611111051287</v>
      </c>
      <c r="AE23" s="210">
        <f t="shared" si="16"/>
        <v>0</v>
      </c>
      <c r="AF23" s="210">
        <f t="shared" si="17"/>
        <v>6.4423611111051287</v>
      </c>
      <c r="AG23" s="210">
        <f t="shared" si="18"/>
        <v>0</v>
      </c>
    </row>
    <row r="24" spans="2:33" ht="15" customHeight="1" x14ac:dyDescent="0.3">
      <c r="B24" s="196" t="s">
        <v>84</v>
      </c>
      <c r="C24" s="197" t="s">
        <v>15</v>
      </c>
      <c r="D24" s="198" t="str">
        <f t="shared" si="0"/>
        <v>C</v>
      </c>
      <c r="E24" s="199">
        <v>44071.166666666664</v>
      </c>
      <c r="F24" s="200" t="s">
        <v>82</v>
      </c>
      <c r="G24" s="201">
        <v>384.93</v>
      </c>
      <c r="H24" s="201">
        <v>371.9</v>
      </c>
      <c r="I24" s="202">
        <f t="shared" si="1"/>
        <v>13.03000000000003</v>
      </c>
      <c r="J24" s="201">
        <v>628.09</v>
      </c>
      <c r="K24" s="199">
        <v>44113.833333333336</v>
      </c>
      <c r="L24" s="201">
        <v>365.32</v>
      </c>
      <c r="M24" s="203">
        <f t="shared" si="2"/>
        <v>-19.61</v>
      </c>
      <c r="N24" s="204">
        <f t="shared" si="3"/>
        <v>-1.5</v>
      </c>
      <c r="O24" s="205">
        <f t="shared" si="4"/>
        <v>0</v>
      </c>
      <c r="P24" s="206">
        <f t="shared" si="5"/>
        <v>0</v>
      </c>
      <c r="Q24" s="206">
        <f t="shared" si="6"/>
        <v>-1.5</v>
      </c>
      <c r="R24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4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97230</v>
      </c>
      <c r="T24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24" s="208">
        <f ca="1">IF(Tabla336106734826[[#This Row],[Equity]]&lt;Tabla336106734826[[#This Row],[Equity Peak]],(Tabla336106734826[[#This Row],[Equity Peak]]-Tabla336106734826[[#This Row],[Equity]])/Tabla336106734826[[#This Row],[Equity Peak]],"")</f>
        <v>0.11124314442413162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-1.5</v>
      </c>
      <c r="AC24" s="205">
        <f t="shared" si="14"/>
        <v>0</v>
      </c>
      <c r="AD24" s="210">
        <f t="shared" si="15"/>
        <v>42.666666666671517</v>
      </c>
      <c r="AE24" s="210">
        <f t="shared" si="16"/>
        <v>0</v>
      </c>
      <c r="AF24" s="210">
        <f t="shared" si="17"/>
        <v>42.666666666671517</v>
      </c>
      <c r="AG24" s="210">
        <f t="shared" si="18"/>
        <v>0</v>
      </c>
    </row>
    <row r="25" spans="2:33" ht="15" customHeight="1" x14ac:dyDescent="0.3">
      <c r="B25" s="196" t="s">
        <v>84</v>
      </c>
      <c r="C25" s="197" t="s">
        <v>13</v>
      </c>
      <c r="D25" s="198" t="str">
        <f t="shared" ref="D25:D45" si="19">IF(E25&lt;&gt;"",IF(K25&lt;&gt;"","C","O"),"")</f>
        <v>C</v>
      </c>
      <c r="E25" s="199">
        <v>44071.017361111109</v>
      </c>
      <c r="F25" s="200" t="s">
        <v>82</v>
      </c>
      <c r="G25" s="201">
        <v>378.33</v>
      </c>
      <c r="H25" s="201">
        <v>392.97</v>
      </c>
      <c r="I25" s="202">
        <f t="shared" ref="I25:I45" si="20">ABS(G25-H25)</f>
        <v>14.640000000000043</v>
      </c>
      <c r="J25" s="201">
        <v>105.09</v>
      </c>
      <c r="K25" s="199">
        <v>44071.166666666664</v>
      </c>
      <c r="L25" s="201">
        <v>384.93</v>
      </c>
      <c r="M25" s="203">
        <f t="shared" ref="M25:M45" si="21">ROUND(IF(C25="L",(L25-G25),(G25-L25)),4)</f>
        <v>-6.6</v>
      </c>
      <c r="N25" s="204">
        <f t="shared" ref="N25:N45" si="22">IFERROR(ROUND((M25/I25),2),"")</f>
        <v>-0.45</v>
      </c>
      <c r="O25" s="205">
        <f t="shared" ref="O25:O45" si="23">IF(D25="O",IF(N25&lt;0,N25,0),0)</f>
        <v>0</v>
      </c>
      <c r="P25" s="206">
        <f t="shared" ref="P25:P45" si="24">IF(N25&gt;= 0,N25,0)</f>
        <v>0</v>
      </c>
      <c r="Q25" s="206">
        <f t="shared" ref="Q25:Q45" si="25">IF(N25&lt;0,N25,0)</f>
        <v>-0.45</v>
      </c>
      <c r="R25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5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98730</v>
      </c>
      <c r="T25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25" s="208">
        <f ca="1">IF(Tabla336106734826[[#This Row],[Equity]]&lt;Tabla336106734826[[#This Row],[Equity Peak]],(Tabla336106734826[[#This Row],[Equity Peak]]-Tabla336106734826[[#This Row],[Equity]])/Tabla336106734826[[#This Row],[Equity Peak]],"")</f>
        <v>9.7531992687385743E-2</v>
      </c>
      <c r="V25" s="209">
        <f t="shared" ref="V25:V45" si="26">IF(B25="FX",N25,0)</f>
        <v>0</v>
      </c>
      <c r="W25" s="209">
        <f t="shared" ref="W25:W45" si="27">IF(D25="O",IF(V25&lt;0,V25,0),0)</f>
        <v>0</v>
      </c>
      <c r="X25" s="209">
        <f t="shared" ref="X25:X45" si="28">IF(B25="COM",N25,0)</f>
        <v>0</v>
      </c>
      <c r="Y25" s="209">
        <f t="shared" ref="Y25:Y45" si="29">IF(D25="O",IF(X25&lt;0,X25,0),0)</f>
        <v>0</v>
      </c>
      <c r="Z25" s="209">
        <f t="shared" ref="Z25:Z45" si="30">IF(B25="IND",N25,0)</f>
        <v>0</v>
      </c>
      <c r="AA25" s="205">
        <f t="shared" ref="AA25:AA45" si="31">IF(D25="O",IF(Z25&lt;0,Z25,0),0)</f>
        <v>0</v>
      </c>
      <c r="AB25" s="209">
        <f t="shared" ref="AB25:AB45" si="32">IF(B25="CRYPTO",N25,0)</f>
        <v>-0.45</v>
      </c>
      <c r="AC25" s="205">
        <f t="shared" ref="AC25:AC45" si="33">IF(D25="O",IF(AB25&lt;0,AB25,0),0)</f>
        <v>0</v>
      </c>
      <c r="AD25" s="210">
        <f t="shared" ref="AD25:AD45" si="34">IF(K25&lt;&gt;"",K25-E25,0)</f>
        <v>0.14930555555474712</v>
      </c>
      <c r="AE25" s="210">
        <f t="shared" ref="AE25:AE45" si="35">IF(N25&gt;0,AD25,0)</f>
        <v>0</v>
      </c>
      <c r="AF25" s="210">
        <f t="shared" ref="AF25:AF45" si="36">IF(N25&lt;0,AD25,0)</f>
        <v>0.14930555555474712</v>
      </c>
      <c r="AG25" s="210">
        <f t="shared" ref="AG25:AG45" si="37">IF(N25=0,AD25,0)</f>
        <v>0</v>
      </c>
    </row>
    <row r="26" spans="2:33" ht="15" customHeight="1" x14ac:dyDescent="0.3">
      <c r="B26" s="196" t="s">
        <v>84</v>
      </c>
      <c r="C26" s="197" t="s">
        <v>15</v>
      </c>
      <c r="D26" s="198" t="str">
        <f t="shared" si="19"/>
        <v>C</v>
      </c>
      <c r="E26" s="199">
        <v>44057.017361111109</v>
      </c>
      <c r="F26" s="200" t="s">
        <v>82</v>
      </c>
      <c r="G26" s="201">
        <v>416.71</v>
      </c>
      <c r="H26" s="201">
        <v>398.38</v>
      </c>
      <c r="I26" s="202">
        <f t="shared" si="20"/>
        <v>18.329999999999984</v>
      </c>
      <c r="J26" s="201">
        <v>758.93</v>
      </c>
      <c r="K26" s="199">
        <v>44061.775000000001</v>
      </c>
      <c r="L26" s="201">
        <v>414.86</v>
      </c>
      <c r="M26" s="203">
        <f t="shared" si="21"/>
        <v>-1.85</v>
      </c>
      <c r="N26" s="204">
        <f t="shared" si="22"/>
        <v>-0.1</v>
      </c>
      <c r="O26" s="205">
        <f t="shared" si="23"/>
        <v>0</v>
      </c>
      <c r="P26" s="206">
        <f t="shared" si="24"/>
        <v>0</v>
      </c>
      <c r="Q26" s="206">
        <f t="shared" si="25"/>
        <v>-0.1</v>
      </c>
      <c r="R26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6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99180</v>
      </c>
      <c r="T26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26" s="208">
        <f ca="1">IF(Tabla336106734826[[#This Row],[Equity]]&lt;Tabla336106734826[[#This Row],[Equity Peak]],(Tabla336106734826[[#This Row],[Equity Peak]]-Tabla336106734826[[#This Row],[Equity]])/Tabla336106734826[[#This Row],[Equity Peak]],"")</f>
        <v>9.3418647166361973E-2</v>
      </c>
      <c r="V26" s="209">
        <f t="shared" si="26"/>
        <v>0</v>
      </c>
      <c r="W26" s="209">
        <f t="shared" si="27"/>
        <v>0</v>
      </c>
      <c r="X26" s="209">
        <f t="shared" si="28"/>
        <v>0</v>
      </c>
      <c r="Y26" s="209">
        <f t="shared" si="29"/>
        <v>0</v>
      </c>
      <c r="Z26" s="209">
        <f t="shared" si="30"/>
        <v>0</v>
      </c>
      <c r="AA26" s="205">
        <f t="shared" si="31"/>
        <v>0</v>
      </c>
      <c r="AB26" s="209">
        <f t="shared" si="32"/>
        <v>-0.1</v>
      </c>
      <c r="AC26" s="205">
        <f t="shared" si="33"/>
        <v>0</v>
      </c>
      <c r="AD26" s="210">
        <f t="shared" si="34"/>
        <v>4.757638888891961</v>
      </c>
      <c r="AE26" s="210">
        <f t="shared" si="35"/>
        <v>0</v>
      </c>
      <c r="AF26" s="210">
        <f t="shared" si="36"/>
        <v>4.757638888891961</v>
      </c>
      <c r="AG26" s="210">
        <f t="shared" si="37"/>
        <v>0</v>
      </c>
    </row>
    <row r="27" spans="2:33" ht="15" customHeight="1" x14ac:dyDescent="0.3">
      <c r="B27" s="196" t="s">
        <v>84</v>
      </c>
      <c r="C27" s="197" t="s">
        <v>15</v>
      </c>
      <c r="D27" s="198" t="str">
        <f t="shared" si="19"/>
        <v>C</v>
      </c>
      <c r="E27" s="199">
        <v>44046.166666666664</v>
      </c>
      <c r="F27" s="200" t="s">
        <v>82</v>
      </c>
      <c r="G27" s="201">
        <v>378.86</v>
      </c>
      <c r="H27" s="201">
        <v>358.79</v>
      </c>
      <c r="I27" s="202">
        <f t="shared" si="20"/>
        <v>20.069999999999993</v>
      </c>
      <c r="J27" s="201">
        <v>753.42</v>
      </c>
      <c r="K27" s="199">
        <v>44050.777083333334</v>
      </c>
      <c r="L27" s="201">
        <v>378.15</v>
      </c>
      <c r="M27" s="203">
        <f t="shared" si="21"/>
        <v>-0.71</v>
      </c>
      <c r="N27" s="204">
        <f t="shared" si="22"/>
        <v>-0.04</v>
      </c>
      <c r="O27" s="205">
        <f t="shared" si="23"/>
        <v>0</v>
      </c>
      <c r="P27" s="206">
        <f t="shared" si="24"/>
        <v>0</v>
      </c>
      <c r="Q27" s="206">
        <f t="shared" si="25"/>
        <v>-0.04</v>
      </c>
      <c r="R27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7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99280</v>
      </c>
      <c r="T27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27" s="208">
        <f ca="1">IF(Tabla336106734826[[#This Row],[Equity]]&lt;Tabla336106734826[[#This Row],[Equity Peak]],(Tabla336106734826[[#This Row],[Equity Peak]]-Tabla336106734826[[#This Row],[Equity]])/Tabla336106734826[[#This Row],[Equity Peak]],"")</f>
        <v>9.2504570383912244E-2</v>
      </c>
      <c r="V27" s="209">
        <f t="shared" si="26"/>
        <v>0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0</v>
      </c>
      <c r="AA27" s="205">
        <f t="shared" si="31"/>
        <v>0</v>
      </c>
      <c r="AB27" s="209">
        <f t="shared" si="32"/>
        <v>-0.04</v>
      </c>
      <c r="AC27" s="205">
        <f t="shared" si="33"/>
        <v>0</v>
      </c>
      <c r="AD27" s="210">
        <f t="shared" si="34"/>
        <v>4.6104166666700621</v>
      </c>
      <c r="AE27" s="210">
        <f t="shared" si="35"/>
        <v>0</v>
      </c>
      <c r="AF27" s="210">
        <f t="shared" si="36"/>
        <v>4.6104166666700621</v>
      </c>
      <c r="AG27" s="210">
        <f t="shared" si="37"/>
        <v>0</v>
      </c>
    </row>
    <row r="28" spans="2:33" ht="15" customHeight="1" x14ac:dyDescent="0.3">
      <c r="B28" s="196" t="s">
        <v>84</v>
      </c>
      <c r="C28" s="197" t="s">
        <v>13</v>
      </c>
      <c r="D28" s="198" t="str">
        <f t="shared" si="19"/>
        <v>C</v>
      </c>
      <c r="E28" s="199">
        <v>44008.166666666664</v>
      </c>
      <c r="F28" s="200" t="s">
        <v>82</v>
      </c>
      <c r="G28" s="201">
        <v>232.19</v>
      </c>
      <c r="H28" s="201">
        <v>238.93</v>
      </c>
      <c r="I28" s="202">
        <f t="shared" si="20"/>
        <v>6.7400000000000091</v>
      </c>
      <c r="J28" s="201">
        <v>106.29</v>
      </c>
      <c r="K28" s="199">
        <v>44013.747916666667</v>
      </c>
      <c r="L28" s="201">
        <v>232.27</v>
      </c>
      <c r="M28" s="203">
        <f t="shared" si="21"/>
        <v>-0.08</v>
      </c>
      <c r="N28" s="204">
        <f t="shared" si="22"/>
        <v>-0.01</v>
      </c>
      <c r="O28" s="205">
        <f t="shared" si="23"/>
        <v>0</v>
      </c>
      <c r="P28" s="206">
        <f t="shared" si="24"/>
        <v>0</v>
      </c>
      <c r="Q28" s="206">
        <f t="shared" si="25"/>
        <v>-0.01</v>
      </c>
      <c r="R28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8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99320</v>
      </c>
      <c r="T28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28" s="208">
        <f ca="1">IF(Tabla336106734826[[#This Row],[Equity]]&lt;Tabla336106734826[[#This Row],[Equity Peak]],(Tabla336106734826[[#This Row],[Equity Peak]]-Tabla336106734826[[#This Row],[Equity]])/Tabla336106734826[[#This Row],[Equity Peak]],"")</f>
        <v>9.2138939670932354E-2</v>
      </c>
      <c r="V28" s="209">
        <f t="shared" si="26"/>
        <v>0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0</v>
      </c>
      <c r="AA28" s="205">
        <f t="shared" si="31"/>
        <v>0</v>
      </c>
      <c r="AB28" s="209">
        <f t="shared" si="32"/>
        <v>-0.01</v>
      </c>
      <c r="AC28" s="205">
        <f t="shared" si="33"/>
        <v>0</v>
      </c>
      <c r="AD28" s="210">
        <f t="shared" si="34"/>
        <v>5.5812500000029104</v>
      </c>
      <c r="AE28" s="210">
        <f t="shared" si="35"/>
        <v>0</v>
      </c>
      <c r="AF28" s="210">
        <f t="shared" si="36"/>
        <v>5.5812500000029104</v>
      </c>
      <c r="AG28" s="210">
        <f t="shared" si="37"/>
        <v>0</v>
      </c>
    </row>
    <row r="29" spans="2:33" ht="15" customHeight="1" x14ac:dyDescent="0.3">
      <c r="B29" s="196" t="s">
        <v>84</v>
      </c>
      <c r="C29" s="197" t="s">
        <v>15</v>
      </c>
      <c r="D29" s="198" t="str">
        <f t="shared" si="19"/>
        <v>C</v>
      </c>
      <c r="E29" s="199">
        <v>44007.833333333336</v>
      </c>
      <c r="F29" s="200" t="s">
        <v>82</v>
      </c>
      <c r="G29" s="201">
        <v>235.52</v>
      </c>
      <c r="H29" s="201">
        <v>228.79</v>
      </c>
      <c r="I29" s="202">
        <f t="shared" si="20"/>
        <v>6.7300000000000182</v>
      </c>
      <c r="J29" s="201">
        <v>361.18</v>
      </c>
      <c r="K29" s="199">
        <v>44008.166666666664</v>
      </c>
      <c r="L29" s="201">
        <v>232.19</v>
      </c>
      <c r="M29" s="203">
        <f t="shared" si="21"/>
        <v>-3.33</v>
      </c>
      <c r="N29" s="204">
        <f t="shared" si="22"/>
        <v>-0.49</v>
      </c>
      <c r="O29" s="205">
        <f t="shared" si="23"/>
        <v>0</v>
      </c>
      <c r="P29" s="206">
        <f t="shared" si="24"/>
        <v>0</v>
      </c>
      <c r="Q29" s="206">
        <f t="shared" si="25"/>
        <v>-0.49</v>
      </c>
      <c r="R29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9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99330</v>
      </c>
      <c r="T29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29" s="208">
        <f ca="1">IF(Tabla336106734826[[#This Row],[Equity]]&lt;Tabla336106734826[[#This Row],[Equity Peak]],(Tabla336106734826[[#This Row],[Equity Peak]]-Tabla336106734826[[#This Row],[Equity]])/Tabla336106734826[[#This Row],[Equity Peak]],"")</f>
        <v>9.2047531992687392E-2</v>
      </c>
      <c r="V29" s="209">
        <f t="shared" si="26"/>
        <v>0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0</v>
      </c>
      <c r="AA29" s="205">
        <f t="shared" si="31"/>
        <v>0</v>
      </c>
      <c r="AB29" s="209">
        <f t="shared" si="32"/>
        <v>-0.49</v>
      </c>
      <c r="AC29" s="205">
        <f t="shared" si="33"/>
        <v>0</v>
      </c>
      <c r="AD29" s="210">
        <f t="shared" si="34"/>
        <v>0.33333333332848269</v>
      </c>
      <c r="AE29" s="210">
        <f t="shared" si="35"/>
        <v>0</v>
      </c>
      <c r="AF29" s="210">
        <f t="shared" si="36"/>
        <v>0.33333333332848269</v>
      </c>
      <c r="AG29" s="210">
        <f t="shared" si="37"/>
        <v>0</v>
      </c>
    </row>
    <row r="30" spans="2:33" ht="15" customHeight="1" x14ac:dyDescent="0.3">
      <c r="B30" s="196" t="s">
        <v>84</v>
      </c>
      <c r="C30" s="197" t="s">
        <v>13</v>
      </c>
      <c r="D30" s="198" t="str">
        <f t="shared" si="19"/>
        <v>C</v>
      </c>
      <c r="E30" s="199">
        <v>44007.666666666664</v>
      </c>
      <c r="F30" s="200" t="s">
        <v>82</v>
      </c>
      <c r="G30" s="201">
        <v>231.35</v>
      </c>
      <c r="H30" s="201">
        <v>238.1</v>
      </c>
      <c r="I30" s="202">
        <f t="shared" si="20"/>
        <v>6.75</v>
      </c>
      <c r="J30" s="201">
        <v>105.43</v>
      </c>
      <c r="K30" s="199">
        <v>44007.833333333336</v>
      </c>
      <c r="L30" s="201">
        <v>235.52</v>
      </c>
      <c r="M30" s="203">
        <f t="shared" si="21"/>
        <v>-4.17</v>
      </c>
      <c r="N30" s="204">
        <f t="shared" si="22"/>
        <v>-0.62</v>
      </c>
      <c r="O30" s="205">
        <f t="shared" si="23"/>
        <v>0</v>
      </c>
      <c r="P30" s="206">
        <f t="shared" si="24"/>
        <v>0</v>
      </c>
      <c r="Q30" s="206">
        <f t="shared" si="25"/>
        <v>-0.62</v>
      </c>
      <c r="R30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0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99820</v>
      </c>
      <c r="T30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30" s="208">
        <f ca="1">IF(Tabla336106734826[[#This Row],[Equity]]&lt;Tabla336106734826[[#This Row],[Equity Peak]],(Tabla336106734826[[#This Row],[Equity Peak]]-Tabla336106734826[[#This Row],[Equity]])/Tabla336106734826[[#This Row],[Equity Peak]],"")</f>
        <v>8.7568555758683733E-2</v>
      </c>
      <c r="V30" s="209">
        <f t="shared" si="26"/>
        <v>0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0</v>
      </c>
      <c r="AA30" s="205">
        <f t="shared" si="31"/>
        <v>0</v>
      </c>
      <c r="AB30" s="209">
        <f t="shared" si="32"/>
        <v>-0.62</v>
      </c>
      <c r="AC30" s="205">
        <f t="shared" si="33"/>
        <v>0</v>
      </c>
      <c r="AD30" s="210">
        <f t="shared" si="34"/>
        <v>0.16666666667151731</v>
      </c>
      <c r="AE30" s="210">
        <f t="shared" si="35"/>
        <v>0</v>
      </c>
      <c r="AF30" s="210">
        <f t="shared" si="36"/>
        <v>0.16666666667151731</v>
      </c>
      <c r="AG30" s="210">
        <f t="shared" si="37"/>
        <v>0</v>
      </c>
    </row>
    <row r="31" spans="2:33" ht="15" customHeight="1" x14ac:dyDescent="0.3">
      <c r="B31" s="196" t="s">
        <v>84</v>
      </c>
      <c r="C31" s="197" t="s">
        <v>15</v>
      </c>
      <c r="D31" s="198" t="str">
        <f t="shared" si="19"/>
        <v>C</v>
      </c>
      <c r="E31" s="199">
        <v>44004.333333333336</v>
      </c>
      <c r="F31" s="200" t="s">
        <v>82</v>
      </c>
      <c r="G31" s="201">
        <v>236.5</v>
      </c>
      <c r="H31" s="201">
        <v>231.9</v>
      </c>
      <c r="I31" s="202">
        <f t="shared" si="20"/>
        <v>4.5999999999999943</v>
      </c>
      <c r="J31" s="201">
        <v>322.27999999999997</v>
      </c>
      <c r="K31" s="199">
        <v>44006.739583333336</v>
      </c>
      <c r="L31" s="201">
        <v>236.39</v>
      </c>
      <c r="M31" s="203">
        <f t="shared" si="21"/>
        <v>-0.11</v>
      </c>
      <c r="N31" s="204">
        <f t="shared" si="22"/>
        <v>-0.02</v>
      </c>
      <c r="O31" s="205">
        <f t="shared" si="23"/>
        <v>0</v>
      </c>
      <c r="P31" s="206">
        <f t="shared" si="24"/>
        <v>0</v>
      </c>
      <c r="Q31" s="206">
        <f t="shared" si="25"/>
        <v>-0.02</v>
      </c>
      <c r="R31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1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100440</v>
      </c>
      <c r="T31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31" s="208">
        <f ca="1">IF(Tabla336106734826[[#This Row],[Equity]]&lt;Tabla336106734826[[#This Row],[Equity Peak]],(Tabla336106734826[[#This Row],[Equity Peak]]-Tabla336106734826[[#This Row],[Equity]])/Tabla336106734826[[#This Row],[Equity Peak]],"")</f>
        <v>8.1901279707495431E-2</v>
      </c>
      <c r="V31" s="209">
        <f t="shared" si="26"/>
        <v>0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-0.02</v>
      </c>
      <c r="AC31" s="205">
        <f t="shared" si="33"/>
        <v>0</v>
      </c>
      <c r="AD31" s="210">
        <f t="shared" si="34"/>
        <v>2.40625</v>
      </c>
      <c r="AE31" s="210">
        <f t="shared" si="35"/>
        <v>0</v>
      </c>
      <c r="AF31" s="210">
        <f t="shared" si="36"/>
        <v>2.40625</v>
      </c>
      <c r="AG31" s="210">
        <f t="shared" si="37"/>
        <v>0</v>
      </c>
    </row>
    <row r="32" spans="2:33" ht="15" customHeight="1" x14ac:dyDescent="0.3">
      <c r="B32" s="196" t="s">
        <v>84</v>
      </c>
      <c r="C32" s="197" t="s">
        <v>13</v>
      </c>
      <c r="D32" s="198" t="str">
        <f t="shared" si="19"/>
        <v>C</v>
      </c>
      <c r="E32" s="199">
        <v>44001.333333333336</v>
      </c>
      <c r="F32" s="200" t="s">
        <v>82</v>
      </c>
      <c r="G32" s="201">
        <v>227.5</v>
      </c>
      <c r="H32" s="201">
        <v>232.08</v>
      </c>
      <c r="I32" s="202">
        <f t="shared" si="20"/>
        <v>4.5800000000000125</v>
      </c>
      <c r="J32" s="201">
        <v>141.91999999999999</v>
      </c>
      <c r="K32" s="199">
        <v>44001.54791666667</v>
      </c>
      <c r="L32" s="201">
        <v>232.08</v>
      </c>
      <c r="M32" s="203">
        <f t="shared" si="21"/>
        <v>-4.58</v>
      </c>
      <c r="N32" s="204">
        <f t="shared" si="22"/>
        <v>-1</v>
      </c>
      <c r="O32" s="205">
        <f t="shared" si="23"/>
        <v>0</v>
      </c>
      <c r="P32" s="206">
        <f t="shared" si="24"/>
        <v>0</v>
      </c>
      <c r="Q32" s="206">
        <f t="shared" si="25"/>
        <v>-1</v>
      </c>
      <c r="R32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2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100460</v>
      </c>
      <c r="T32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32" s="208">
        <f ca="1">IF(Tabla336106734826[[#This Row],[Equity]]&lt;Tabla336106734826[[#This Row],[Equity Peak]],(Tabla336106734826[[#This Row],[Equity Peak]]-Tabla336106734826[[#This Row],[Equity]])/Tabla336106734826[[#This Row],[Equity Peak]],"")</f>
        <v>8.1718464351005479E-2</v>
      </c>
      <c r="V32" s="209">
        <f t="shared" si="26"/>
        <v>0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-1</v>
      </c>
      <c r="AC32" s="205">
        <f t="shared" si="33"/>
        <v>0</v>
      </c>
      <c r="AD32" s="210">
        <f t="shared" si="34"/>
        <v>0.21458333333430346</v>
      </c>
      <c r="AE32" s="210">
        <f t="shared" si="35"/>
        <v>0</v>
      </c>
      <c r="AF32" s="210">
        <f t="shared" si="36"/>
        <v>0.21458333333430346</v>
      </c>
      <c r="AG32" s="210">
        <f t="shared" si="37"/>
        <v>0</v>
      </c>
    </row>
    <row r="33" spans="2:33" ht="15" customHeight="1" x14ac:dyDescent="0.3">
      <c r="B33" s="196" t="s">
        <v>84</v>
      </c>
      <c r="C33" s="197" t="s">
        <v>15</v>
      </c>
      <c r="D33" s="198" t="str">
        <f t="shared" si="19"/>
        <v>C</v>
      </c>
      <c r="E33" s="199">
        <v>43998.333333333336</v>
      </c>
      <c r="F33" s="200" t="s">
        <v>82</v>
      </c>
      <c r="G33" s="201">
        <v>234.6</v>
      </c>
      <c r="H33" s="201">
        <v>226.72</v>
      </c>
      <c r="I33" s="202">
        <f t="shared" si="20"/>
        <v>7.8799999999999955</v>
      </c>
      <c r="J33" s="201">
        <v>381.6</v>
      </c>
      <c r="K33" s="199">
        <v>43999.845833333333</v>
      </c>
      <c r="L33" s="201">
        <v>227.78</v>
      </c>
      <c r="M33" s="203">
        <f t="shared" si="21"/>
        <v>-6.82</v>
      </c>
      <c r="N33" s="204">
        <f t="shared" si="22"/>
        <v>-0.87</v>
      </c>
      <c r="O33" s="205">
        <f t="shared" si="23"/>
        <v>0</v>
      </c>
      <c r="P33" s="206">
        <f t="shared" si="24"/>
        <v>0</v>
      </c>
      <c r="Q33" s="206">
        <f t="shared" si="25"/>
        <v>-0.87</v>
      </c>
      <c r="R33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3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101460</v>
      </c>
      <c r="T33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33" s="208">
        <f ca="1">IF(Tabla336106734826[[#This Row],[Equity]]&lt;Tabla336106734826[[#This Row],[Equity Peak]],(Tabla336106734826[[#This Row],[Equity Peak]]-Tabla336106734826[[#This Row],[Equity]])/Tabla336106734826[[#This Row],[Equity Peak]],"")</f>
        <v>7.2577696526508223E-2</v>
      </c>
      <c r="V33" s="209">
        <f t="shared" si="26"/>
        <v>0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-0.87</v>
      </c>
      <c r="AC33" s="205">
        <f t="shared" si="33"/>
        <v>0</v>
      </c>
      <c r="AD33" s="210">
        <f t="shared" si="34"/>
        <v>1.5124999999970896</v>
      </c>
      <c r="AE33" s="210">
        <f t="shared" si="35"/>
        <v>0</v>
      </c>
      <c r="AF33" s="210">
        <f t="shared" si="36"/>
        <v>1.5124999999970896</v>
      </c>
      <c r="AG33" s="210">
        <f t="shared" si="37"/>
        <v>0</v>
      </c>
    </row>
    <row r="34" spans="2:33" ht="15" customHeight="1" x14ac:dyDescent="0.3">
      <c r="B34" s="196" t="s">
        <v>84</v>
      </c>
      <c r="C34" s="197" t="s">
        <v>13</v>
      </c>
      <c r="D34" s="198" t="str">
        <f t="shared" si="19"/>
        <v>C</v>
      </c>
      <c r="E34" s="199">
        <v>43997.5</v>
      </c>
      <c r="F34" s="200" t="s">
        <v>82</v>
      </c>
      <c r="G34" s="201">
        <v>223.52</v>
      </c>
      <c r="H34" s="201">
        <v>232.42</v>
      </c>
      <c r="I34" s="202">
        <f t="shared" si="20"/>
        <v>8.8999999999999773</v>
      </c>
      <c r="J34" s="201">
        <v>57.4</v>
      </c>
      <c r="K34" s="199">
        <v>43997.777777777781</v>
      </c>
      <c r="L34" s="201">
        <v>230.68</v>
      </c>
      <c r="M34" s="203">
        <f t="shared" si="21"/>
        <v>-7.16</v>
      </c>
      <c r="N34" s="204">
        <f t="shared" si="22"/>
        <v>-0.8</v>
      </c>
      <c r="O34" s="205">
        <f t="shared" si="23"/>
        <v>0</v>
      </c>
      <c r="P34" s="206">
        <f t="shared" si="24"/>
        <v>0</v>
      </c>
      <c r="Q34" s="206">
        <f t="shared" si="25"/>
        <v>-0.8</v>
      </c>
      <c r="R34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4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102330</v>
      </c>
      <c r="T34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34" s="208">
        <f ca="1">IF(Tabla336106734826[[#This Row],[Equity]]&lt;Tabla336106734826[[#This Row],[Equity Peak]],(Tabla336106734826[[#This Row],[Equity Peak]]-Tabla336106734826[[#This Row],[Equity]])/Tabla336106734826[[#This Row],[Equity Peak]],"")</f>
        <v>6.462522851919561E-2</v>
      </c>
      <c r="V34" s="209">
        <f t="shared" si="26"/>
        <v>0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-0.8</v>
      </c>
      <c r="AC34" s="205">
        <f t="shared" si="33"/>
        <v>0</v>
      </c>
      <c r="AD34" s="210">
        <f t="shared" si="34"/>
        <v>0.27777777778101154</v>
      </c>
      <c r="AE34" s="210">
        <f t="shared" si="35"/>
        <v>0</v>
      </c>
      <c r="AF34" s="210">
        <f t="shared" si="36"/>
        <v>0.27777777778101154</v>
      </c>
      <c r="AG34" s="210">
        <f t="shared" si="37"/>
        <v>0</v>
      </c>
    </row>
    <row r="35" spans="2:33" ht="15" customHeight="1" x14ac:dyDescent="0.3">
      <c r="B35" s="196" t="s">
        <v>84</v>
      </c>
      <c r="C35" s="197" t="s">
        <v>15</v>
      </c>
      <c r="D35" s="198" t="str">
        <f t="shared" si="19"/>
        <v>C</v>
      </c>
      <c r="E35" s="199">
        <v>43983.166666666664</v>
      </c>
      <c r="F35" s="200" t="s">
        <v>82</v>
      </c>
      <c r="G35" s="201">
        <v>234.67</v>
      </c>
      <c r="H35" s="201">
        <v>227.52</v>
      </c>
      <c r="I35" s="202">
        <f t="shared" si="20"/>
        <v>7.1499999999999773</v>
      </c>
      <c r="J35" s="201">
        <v>368.07</v>
      </c>
      <c r="K35" s="199">
        <v>43984.768055555556</v>
      </c>
      <c r="L35" s="201">
        <v>233.03</v>
      </c>
      <c r="M35" s="203">
        <f t="shared" si="21"/>
        <v>-1.64</v>
      </c>
      <c r="N35" s="204">
        <f t="shared" si="22"/>
        <v>-0.23</v>
      </c>
      <c r="O35" s="205">
        <f t="shared" si="23"/>
        <v>0</v>
      </c>
      <c r="P35" s="206">
        <f t="shared" si="24"/>
        <v>0</v>
      </c>
      <c r="Q35" s="206">
        <f t="shared" si="25"/>
        <v>-0.23</v>
      </c>
      <c r="R35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5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103130</v>
      </c>
      <c r="T35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35" s="208">
        <f ca="1">IF(Tabla336106734826[[#This Row],[Equity]]&lt;Tabla336106734826[[#This Row],[Equity Peak]],(Tabla336106734826[[#This Row],[Equity Peak]]-Tabla336106734826[[#This Row],[Equity]])/Tabla336106734826[[#This Row],[Equity Peak]],"")</f>
        <v>5.7312614259597806E-2</v>
      </c>
      <c r="V35" s="209">
        <f t="shared" si="26"/>
        <v>0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-0.23</v>
      </c>
      <c r="AC35" s="205">
        <f t="shared" si="33"/>
        <v>0</v>
      </c>
      <c r="AD35" s="210">
        <f t="shared" si="34"/>
        <v>1.601388888891961</v>
      </c>
      <c r="AE35" s="210">
        <f t="shared" si="35"/>
        <v>0</v>
      </c>
      <c r="AF35" s="210">
        <f t="shared" si="36"/>
        <v>1.601388888891961</v>
      </c>
      <c r="AG35" s="210">
        <f t="shared" si="37"/>
        <v>0</v>
      </c>
    </row>
    <row r="36" spans="2:33" ht="15" customHeight="1" x14ac:dyDescent="0.3">
      <c r="B36" s="196" t="s">
        <v>84</v>
      </c>
      <c r="C36" s="197" t="s">
        <v>15</v>
      </c>
      <c r="D36" s="198" t="str">
        <f t="shared" si="19"/>
        <v>C</v>
      </c>
      <c r="E36" s="199">
        <v>43980.166666666664</v>
      </c>
      <c r="F36" s="200" t="s">
        <v>82</v>
      </c>
      <c r="G36" s="201">
        <v>223.6</v>
      </c>
      <c r="H36" s="201">
        <v>218.2</v>
      </c>
      <c r="I36" s="202">
        <f t="shared" si="20"/>
        <v>5.4000000000000057</v>
      </c>
      <c r="J36" s="201">
        <v>324.44</v>
      </c>
      <c r="K36" s="199">
        <v>43980.580555555556</v>
      </c>
      <c r="L36" s="201">
        <v>218.2</v>
      </c>
      <c r="M36" s="203">
        <f t="shared" si="21"/>
        <v>-5.4</v>
      </c>
      <c r="N36" s="204">
        <f t="shared" si="22"/>
        <v>-1</v>
      </c>
      <c r="O36" s="205">
        <f t="shared" si="23"/>
        <v>0</v>
      </c>
      <c r="P36" s="206">
        <f t="shared" si="24"/>
        <v>0</v>
      </c>
      <c r="Q36" s="206">
        <f t="shared" si="25"/>
        <v>-1</v>
      </c>
      <c r="R36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6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103360</v>
      </c>
      <c r="T36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36" s="208">
        <f ca="1">IF(Tabla336106734826[[#This Row],[Equity]]&lt;Tabla336106734826[[#This Row],[Equity Peak]],(Tabla336106734826[[#This Row],[Equity Peak]]-Tabla336106734826[[#This Row],[Equity]])/Tabla336106734826[[#This Row],[Equity Peak]],"")</f>
        <v>5.521023765996344E-2</v>
      </c>
      <c r="V36" s="209">
        <f t="shared" si="26"/>
        <v>0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-1</v>
      </c>
      <c r="AC36" s="205">
        <f t="shared" si="33"/>
        <v>0</v>
      </c>
      <c r="AD36" s="210">
        <f t="shared" si="34"/>
        <v>0.41388888889196096</v>
      </c>
      <c r="AE36" s="210">
        <f t="shared" si="35"/>
        <v>0</v>
      </c>
      <c r="AF36" s="210">
        <f t="shared" si="36"/>
        <v>0.41388888889196096</v>
      </c>
      <c r="AG36" s="210">
        <f t="shared" si="37"/>
        <v>0</v>
      </c>
    </row>
    <row r="37" spans="2:33" ht="15" customHeight="1" x14ac:dyDescent="0.3">
      <c r="B37" s="196" t="s">
        <v>84</v>
      </c>
      <c r="C37" s="197" t="s">
        <v>15</v>
      </c>
      <c r="D37" s="198" t="str">
        <f t="shared" si="19"/>
        <v>C</v>
      </c>
      <c r="E37" s="199">
        <v>43978.5</v>
      </c>
      <c r="F37" s="200" t="s">
        <v>82</v>
      </c>
      <c r="G37" s="201">
        <v>205.44</v>
      </c>
      <c r="H37" s="201">
        <v>201.02</v>
      </c>
      <c r="I37" s="202">
        <f t="shared" si="20"/>
        <v>4.4199999999999875</v>
      </c>
      <c r="J37" s="201">
        <v>280.89999999999998</v>
      </c>
      <c r="K37" s="199">
        <v>43979.37222222222</v>
      </c>
      <c r="L37" s="201">
        <v>204.07</v>
      </c>
      <c r="M37" s="203">
        <f t="shared" si="21"/>
        <v>-1.37</v>
      </c>
      <c r="N37" s="204">
        <f t="shared" si="22"/>
        <v>-0.31</v>
      </c>
      <c r="O37" s="205">
        <f t="shared" si="23"/>
        <v>0</v>
      </c>
      <c r="P37" s="206">
        <f t="shared" si="24"/>
        <v>0</v>
      </c>
      <c r="Q37" s="206">
        <f t="shared" si="25"/>
        <v>-0.31</v>
      </c>
      <c r="R37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7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104360</v>
      </c>
      <c r="T37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37" s="208">
        <f ca="1">IF(Tabla336106734826[[#This Row],[Equity]]&lt;Tabla336106734826[[#This Row],[Equity Peak]],(Tabla336106734826[[#This Row],[Equity Peak]]-Tabla336106734826[[#This Row],[Equity]])/Tabla336106734826[[#This Row],[Equity Peak]],"")</f>
        <v>4.6069469835466177E-2</v>
      </c>
      <c r="V37" s="209">
        <f t="shared" si="26"/>
        <v>0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-0.31</v>
      </c>
      <c r="AC37" s="205">
        <f t="shared" si="33"/>
        <v>0</v>
      </c>
      <c r="AD37" s="210">
        <f t="shared" si="34"/>
        <v>0.87222222222044365</v>
      </c>
      <c r="AE37" s="210">
        <f t="shared" si="35"/>
        <v>0</v>
      </c>
      <c r="AF37" s="210">
        <f t="shared" si="36"/>
        <v>0.87222222222044365</v>
      </c>
      <c r="AG37" s="210">
        <f t="shared" si="37"/>
        <v>0</v>
      </c>
    </row>
    <row r="38" spans="2:33" ht="15" customHeight="1" x14ac:dyDescent="0.3">
      <c r="B38" s="196" t="s">
        <v>84</v>
      </c>
      <c r="C38" s="197" t="s">
        <v>13</v>
      </c>
      <c r="D38" s="198" t="str">
        <f t="shared" si="19"/>
        <v>C</v>
      </c>
      <c r="E38" s="199">
        <v>43977.833333333336</v>
      </c>
      <c r="F38" s="200" t="s">
        <v>82</v>
      </c>
      <c r="G38" s="201">
        <v>198.75</v>
      </c>
      <c r="H38" s="201">
        <v>204.28</v>
      </c>
      <c r="I38" s="202">
        <f t="shared" si="20"/>
        <v>5.5300000000000011</v>
      </c>
      <c r="J38" s="201">
        <v>95.57</v>
      </c>
      <c r="K38" s="199">
        <v>43978.386805555558</v>
      </c>
      <c r="L38" s="201">
        <v>204.27</v>
      </c>
      <c r="M38" s="203">
        <f t="shared" si="21"/>
        <v>-5.52</v>
      </c>
      <c r="N38" s="204">
        <f t="shared" si="22"/>
        <v>-1</v>
      </c>
      <c r="O38" s="205">
        <f t="shared" si="23"/>
        <v>0</v>
      </c>
      <c r="P38" s="206">
        <f t="shared" si="24"/>
        <v>0</v>
      </c>
      <c r="Q38" s="206">
        <f t="shared" si="25"/>
        <v>-1</v>
      </c>
      <c r="R38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8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104670</v>
      </c>
      <c r="T38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38" s="208">
        <f ca="1">IF(Tabla336106734826[[#This Row],[Equity]]&lt;Tabla336106734826[[#This Row],[Equity Peak]],(Tabla336106734826[[#This Row],[Equity Peak]]-Tabla336106734826[[#This Row],[Equity]])/Tabla336106734826[[#This Row],[Equity Peak]],"")</f>
        <v>4.3235831809872026E-2</v>
      </c>
      <c r="V38" s="209">
        <f t="shared" si="26"/>
        <v>0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0</v>
      </c>
      <c r="AA38" s="205">
        <f t="shared" si="31"/>
        <v>0</v>
      </c>
      <c r="AB38" s="209">
        <f t="shared" si="32"/>
        <v>-1</v>
      </c>
      <c r="AC38" s="205">
        <f t="shared" si="33"/>
        <v>0</v>
      </c>
      <c r="AD38" s="210">
        <f t="shared" si="34"/>
        <v>0.55347222222189885</v>
      </c>
      <c r="AE38" s="210">
        <f t="shared" si="35"/>
        <v>0</v>
      </c>
      <c r="AF38" s="210">
        <f t="shared" si="36"/>
        <v>0.55347222222189885</v>
      </c>
      <c r="AG38" s="210">
        <f t="shared" si="37"/>
        <v>0</v>
      </c>
    </row>
    <row r="39" spans="2:33" ht="15" customHeight="1" x14ac:dyDescent="0.3">
      <c r="B39" s="196" t="s">
        <v>84</v>
      </c>
      <c r="C39" s="197" t="s">
        <v>15</v>
      </c>
      <c r="D39" s="198" t="str">
        <f t="shared" si="19"/>
        <v>C</v>
      </c>
      <c r="E39" s="199">
        <v>43973.833333333336</v>
      </c>
      <c r="F39" s="200" t="s">
        <v>82</v>
      </c>
      <c r="G39" s="201">
        <v>209.69</v>
      </c>
      <c r="H39" s="201">
        <v>202.54</v>
      </c>
      <c r="I39" s="202">
        <f t="shared" si="20"/>
        <v>7.1500000000000057</v>
      </c>
      <c r="J39" s="201">
        <v>343.19</v>
      </c>
      <c r="K39" s="199">
        <v>43976.07708333333</v>
      </c>
      <c r="L39" s="201">
        <v>202.54</v>
      </c>
      <c r="M39" s="203">
        <f t="shared" si="21"/>
        <v>-7.15</v>
      </c>
      <c r="N39" s="204">
        <f t="shared" si="22"/>
        <v>-1</v>
      </c>
      <c r="O39" s="205">
        <f t="shared" si="23"/>
        <v>0</v>
      </c>
      <c r="P39" s="206">
        <f t="shared" si="24"/>
        <v>0</v>
      </c>
      <c r="Q39" s="206">
        <f t="shared" si="25"/>
        <v>-1</v>
      </c>
      <c r="R39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39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105670</v>
      </c>
      <c r="T39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39" s="208">
        <f ca="1">IF(Tabla336106734826[[#This Row],[Equity]]&lt;Tabla336106734826[[#This Row],[Equity Peak]],(Tabla336106734826[[#This Row],[Equity Peak]]-Tabla336106734826[[#This Row],[Equity]])/Tabla336106734826[[#This Row],[Equity Peak]],"")</f>
        <v>3.409506398537477E-2</v>
      </c>
      <c r="V39" s="209">
        <f t="shared" si="26"/>
        <v>0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0</v>
      </c>
      <c r="AA39" s="205">
        <f t="shared" si="31"/>
        <v>0</v>
      </c>
      <c r="AB39" s="209">
        <f t="shared" si="32"/>
        <v>-1</v>
      </c>
      <c r="AC39" s="205">
        <f t="shared" si="33"/>
        <v>0</v>
      </c>
      <c r="AD39" s="210">
        <f t="shared" si="34"/>
        <v>2.2437499999941792</v>
      </c>
      <c r="AE39" s="210">
        <f t="shared" si="35"/>
        <v>0</v>
      </c>
      <c r="AF39" s="210">
        <f t="shared" si="36"/>
        <v>2.2437499999941792</v>
      </c>
      <c r="AG39" s="210">
        <f t="shared" si="37"/>
        <v>0</v>
      </c>
    </row>
    <row r="40" spans="2:33" ht="15" customHeight="1" x14ac:dyDescent="0.3">
      <c r="B40" s="196" t="s">
        <v>84</v>
      </c>
      <c r="C40" s="197" t="s">
        <v>13</v>
      </c>
      <c r="D40" s="198" t="str">
        <f t="shared" si="19"/>
        <v>C</v>
      </c>
      <c r="E40" s="199">
        <v>43973.166666666664</v>
      </c>
      <c r="F40" s="200" t="s">
        <v>82</v>
      </c>
      <c r="G40" s="201">
        <v>197.56</v>
      </c>
      <c r="H40" s="201">
        <v>204.01</v>
      </c>
      <c r="I40" s="202">
        <f t="shared" si="20"/>
        <v>6.4499999999999886</v>
      </c>
      <c r="J40" s="201">
        <v>77.2</v>
      </c>
      <c r="K40" s="199">
        <v>43973.4375</v>
      </c>
      <c r="L40" s="201">
        <v>203.09</v>
      </c>
      <c r="M40" s="203">
        <f t="shared" si="21"/>
        <v>-5.53</v>
      </c>
      <c r="N40" s="204">
        <f t="shared" si="22"/>
        <v>-0.86</v>
      </c>
      <c r="O40" s="205">
        <f t="shared" si="23"/>
        <v>0</v>
      </c>
      <c r="P40" s="206">
        <f t="shared" si="24"/>
        <v>0</v>
      </c>
      <c r="Q40" s="206">
        <f t="shared" si="25"/>
        <v>-0.86</v>
      </c>
      <c r="R40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40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106670</v>
      </c>
      <c r="T40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40" s="208">
        <f ca="1">IF(Tabla336106734826[[#This Row],[Equity]]&lt;Tabla336106734826[[#This Row],[Equity Peak]],(Tabla336106734826[[#This Row],[Equity Peak]]-Tabla336106734826[[#This Row],[Equity]])/Tabla336106734826[[#This Row],[Equity Peak]],"")</f>
        <v>2.4954296160877514E-2</v>
      </c>
      <c r="V40" s="209">
        <f t="shared" si="26"/>
        <v>0</v>
      </c>
      <c r="W40" s="209">
        <f t="shared" si="27"/>
        <v>0</v>
      </c>
      <c r="X40" s="209">
        <f t="shared" si="28"/>
        <v>0</v>
      </c>
      <c r="Y40" s="209">
        <f t="shared" si="29"/>
        <v>0</v>
      </c>
      <c r="Z40" s="209">
        <f t="shared" si="30"/>
        <v>0</v>
      </c>
      <c r="AA40" s="205">
        <f t="shared" si="31"/>
        <v>0</v>
      </c>
      <c r="AB40" s="209">
        <f t="shared" si="32"/>
        <v>-0.86</v>
      </c>
      <c r="AC40" s="205">
        <f t="shared" si="33"/>
        <v>0</v>
      </c>
      <c r="AD40" s="210">
        <f t="shared" si="34"/>
        <v>0.27083333333575865</v>
      </c>
      <c r="AE40" s="210">
        <f t="shared" si="35"/>
        <v>0</v>
      </c>
      <c r="AF40" s="210">
        <f t="shared" si="36"/>
        <v>0.27083333333575865</v>
      </c>
      <c r="AG40" s="210">
        <f t="shared" si="37"/>
        <v>0</v>
      </c>
    </row>
    <row r="41" spans="2:33" ht="15" customHeight="1" x14ac:dyDescent="0.3">
      <c r="B41" s="196" t="s">
        <v>84</v>
      </c>
      <c r="C41" s="197" t="s">
        <v>15</v>
      </c>
      <c r="D41" s="198" t="str">
        <f t="shared" si="19"/>
        <v>C</v>
      </c>
      <c r="E41" s="199">
        <v>43969.166666666664</v>
      </c>
      <c r="F41" s="200" t="s">
        <v>82</v>
      </c>
      <c r="G41" s="201">
        <v>210.11</v>
      </c>
      <c r="H41" s="201">
        <v>201.81</v>
      </c>
      <c r="I41" s="202">
        <f t="shared" si="20"/>
        <v>8.3000000000000114</v>
      </c>
      <c r="J41" s="201">
        <v>365.01</v>
      </c>
      <c r="K41" s="199">
        <v>43971.769444444442</v>
      </c>
      <c r="L41" s="201">
        <v>207.77</v>
      </c>
      <c r="M41" s="203">
        <f t="shared" si="21"/>
        <v>-2.34</v>
      </c>
      <c r="N41" s="204">
        <f t="shared" si="22"/>
        <v>-0.28000000000000003</v>
      </c>
      <c r="O41" s="205">
        <f t="shared" si="23"/>
        <v>0</v>
      </c>
      <c r="P41" s="206">
        <f t="shared" si="24"/>
        <v>0</v>
      </c>
      <c r="Q41" s="206">
        <f t="shared" si="25"/>
        <v>-0.28000000000000003</v>
      </c>
      <c r="R41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41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107530</v>
      </c>
      <c r="T41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41" s="208">
        <f ca="1">IF(Tabla336106734826[[#This Row],[Equity]]&lt;Tabla336106734826[[#This Row],[Equity Peak]],(Tabla336106734826[[#This Row],[Equity Peak]]-Tabla336106734826[[#This Row],[Equity]])/Tabla336106734826[[#This Row],[Equity Peak]],"")</f>
        <v>1.7093235831809873E-2</v>
      </c>
      <c r="V41" s="209">
        <f t="shared" si="26"/>
        <v>0</v>
      </c>
      <c r="W41" s="209">
        <f t="shared" si="27"/>
        <v>0</v>
      </c>
      <c r="X41" s="209">
        <f t="shared" si="28"/>
        <v>0</v>
      </c>
      <c r="Y41" s="209">
        <f t="shared" si="29"/>
        <v>0</v>
      </c>
      <c r="Z41" s="209">
        <f t="shared" si="30"/>
        <v>0</v>
      </c>
      <c r="AA41" s="205">
        <f t="shared" si="31"/>
        <v>0</v>
      </c>
      <c r="AB41" s="209">
        <f t="shared" si="32"/>
        <v>-0.28000000000000003</v>
      </c>
      <c r="AC41" s="205">
        <f t="shared" si="33"/>
        <v>0</v>
      </c>
      <c r="AD41" s="210">
        <f t="shared" si="34"/>
        <v>2.6027777777781012</v>
      </c>
      <c r="AE41" s="210">
        <f t="shared" si="35"/>
        <v>0</v>
      </c>
      <c r="AF41" s="210">
        <f t="shared" si="36"/>
        <v>2.6027777777781012</v>
      </c>
      <c r="AG41" s="210">
        <f t="shared" si="37"/>
        <v>0</v>
      </c>
    </row>
    <row r="42" spans="2:33" ht="15" customHeight="1" x14ac:dyDescent="0.3">
      <c r="B42" s="196" t="s">
        <v>84</v>
      </c>
      <c r="C42" s="197" t="s">
        <v>13</v>
      </c>
      <c r="D42" s="198" t="str">
        <f t="shared" si="19"/>
        <v>C</v>
      </c>
      <c r="E42" s="199">
        <v>43969.017361111109</v>
      </c>
      <c r="F42" s="200" t="s">
        <v>82</v>
      </c>
      <c r="G42" s="201">
        <v>205.9</v>
      </c>
      <c r="H42" s="201">
        <v>213.07</v>
      </c>
      <c r="I42" s="202">
        <f t="shared" si="20"/>
        <v>7.1699999999999875</v>
      </c>
      <c r="J42" s="201">
        <v>72.14</v>
      </c>
      <c r="K42" s="199">
        <v>43969.166666666664</v>
      </c>
      <c r="L42" s="201">
        <v>210.11</v>
      </c>
      <c r="M42" s="203">
        <f t="shared" si="21"/>
        <v>-4.21</v>
      </c>
      <c r="N42" s="204">
        <f t="shared" si="22"/>
        <v>-0.59</v>
      </c>
      <c r="O42" s="205">
        <f t="shared" si="23"/>
        <v>0</v>
      </c>
      <c r="P42" s="206">
        <f t="shared" si="24"/>
        <v>0</v>
      </c>
      <c r="Q42" s="206">
        <f t="shared" si="25"/>
        <v>-0.59</v>
      </c>
      <c r="R42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42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107810</v>
      </c>
      <c r="T42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42" s="208">
        <f ca="1">IF(Tabla336106734826[[#This Row],[Equity]]&lt;Tabla336106734826[[#This Row],[Equity Peak]],(Tabla336106734826[[#This Row],[Equity Peak]]-Tabla336106734826[[#This Row],[Equity]])/Tabla336106734826[[#This Row],[Equity Peak]],"")</f>
        <v>1.453382084095064E-2</v>
      </c>
      <c r="V42" s="209">
        <f t="shared" si="26"/>
        <v>0</v>
      </c>
      <c r="W42" s="209">
        <f t="shared" si="27"/>
        <v>0</v>
      </c>
      <c r="X42" s="209">
        <f t="shared" si="28"/>
        <v>0</v>
      </c>
      <c r="Y42" s="209">
        <f t="shared" si="29"/>
        <v>0</v>
      </c>
      <c r="Z42" s="209">
        <f t="shared" si="30"/>
        <v>0</v>
      </c>
      <c r="AA42" s="205">
        <f t="shared" si="31"/>
        <v>0</v>
      </c>
      <c r="AB42" s="209">
        <f t="shared" si="32"/>
        <v>-0.59</v>
      </c>
      <c r="AC42" s="205">
        <f t="shared" si="33"/>
        <v>0</v>
      </c>
      <c r="AD42" s="210">
        <f t="shared" si="34"/>
        <v>0.14930555555474712</v>
      </c>
      <c r="AE42" s="210">
        <f t="shared" si="35"/>
        <v>0</v>
      </c>
      <c r="AF42" s="210">
        <f t="shared" si="36"/>
        <v>0.14930555555474712</v>
      </c>
      <c r="AG42" s="210">
        <f t="shared" si="37"/>
        <v>0</v>
      </c>
    </row>
    <row r="43" spans="2:33" ht="15" customHeight="1" x14ac:dyDescent="0.3">
      <c r="B43" s="196" t="s">
        <v>84</v>
      </c>
      <c r="C43" s="197" t="s">
        <v>15</v>
      </c>
      <c r="D43" s="198" t="str">
        <f t="shared" si="19"/>
        <v>C</v>
      </c>
      <c r="E43" s="199">
        <v>43965.5</v>
      </c>
      <c r="F43" s="200" t="s">
        <v>82</v>
      </c>
      <c r="G43" s="201">
        <v>203.58</v>
      </c>
      <c r="H43" s="201">
        <v>198.09</v>
      </c>
      <c r="I43" s="202">
        <f t="shared" si="20"/>
        <v>5.4900000000000091</v>
      </c>
      <c r="J43" s="201">
        <v>306.14</v>
      </c>
      <c r="K43" s="199">
        <v>43965.771527777775</v>
      </c>
      <c r="L43" s="201">
        <v>198.09</v>
      </c>
      <c r="M43" s="203">
        <f t="shared" si="21"/>
        <v>-5.49</v>
      </c>
      <c r="N43" s="204">
        <f t="shared" si="22"/>
        <v>-1</v>
      </c>
      <c r="O43" s="205">
        <f t="shared" si="23"/>
        <v>0</v>
      </c>
      <c r="P43" s="206">
        <f t="shared" si="24"/>
        <v>0</v>
      </c>
      <c r="Q43" s="206">
        <f t="shared" si="25"/>
        <v>-1</v>
      </c>
      <c r="R43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43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108400</v>
      </c>
      <c r="T43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43" s="208">
        <f ca="1">IF(Tabla336106734826[[#This Row],[Equity]]&lt;Tabla336106734826[[#This Row],[Equity Peak]],(Tabla336106734826[[#This Row],[Equity Peak]]-Tabla336106734826[[#This Row],[Equity]])/Tabla336106734826[[#This Row],[Equity Peak]],"")</f>
        <v>9.140767824497258E-3</v>
      </c>
      <c r="V43" s="209">
        <f t="shared" si="26"/>
        <v>0</v>
      </c>
      <c r="W43" s="209">
        <f t="shared" si="27"/>
        <v>0</v>
      </c>
      <c r="X43" s="209">
        <f t="shared" si="28"/>
        <v>0</v>
      </c>
      <c r="Y43" s="209">
        <f t="shared" si="29"/>
        <v>0</v>
      </c>
      <c r="Z43" s="209">
        <f t="shared" si="30"/>
        <v>0</v>
      </c>
      <c r="AA43" s="205">
        <f t="shared" si="31"/>
        <v>0</v>
      </c>
      <c r="AB43" s="209">
        <f t="shared" si="32"/>
        <v>-1</v>
      </c>
      <c r="AC43" s="205">
        <f t="shared" si="33"/>
        <v>0</v>
      </c>
      <c r="AD43" s="210">
        <f t="shared" si="34"/>
        <v>0.27152777777519077</v>
      </c>
      <c r="AE43" s="210">
        <f t="shared" si="35"/>
        <v>0</v>
      </c>
      <c r="AF43" s="210">
        <f t="shared" si="36"/>
        <v>0.27152777777519077</v>
      </c>
      <c r="AG43" s="210">
        <f t="shared" si="37"/>
        <v>0</v>
      </c>
    </row>
    <row r="44" spans="2:33" ht="15" customHeight="1" x14ac:dyDescent="0.3">
      <c r="B44" s="196" t="s">
        <v>84</v>
      </c>
      <c r="C44" s="197" t="s">
        <v>15</v>
      </c>
      <c r="D44" s="198" t="str">
        <f t="shared" si="19"/>
        <v>C</v>
      </c>
      <c r="E44" s="199">
        <v>43944.666666666664</v>
      </c>
      <c r="F44" s="200" t="s">
        <v>82</v>
      </c>
      <c r="G44" s="201">
        <v>186.27</v>
      </c>
      <c r="H44" s="201">
        <v>180.27</v>
      </c>
      <c r="I44" s="202">
        <f t="shared" si="20"/>
        <v>6</v>
      </c>
      <c r="J44" s="201">
        <v>298.20999999999998</v>
      </c>
      <c r="K44" s="199">
        <v>43965.5</v>
      </c>
      <c r="L44" s="201">
        <v>203.58</v>
      </c>
      <c r="M44" s="203">
        <f t="shared" si="21"/>
        <v>17.309999999999999</v>
      </c>
      <c r="N44" s="204">
        <f t="shared" si="22"/>
        <v>2.89</v>
      </c>
      <c r="O44" s="205">
        <f t="shared" si="23"/>
        <v>0</v>
      </c>
      <c r="P44" s="206">
        <f t="shared" si="24"/>
        <v>2.89</v>
      </c>
      <c r="Q44" s="206">
        <f t="shared" si="25"/>
        <v>0</v>
      </c>
      <c r="R44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44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109400</v>
      </c>
      <c r="T44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109400</v>
      </c>
      <c r="U44" s="208" t="str">
        <f ca="1">IF(Tabla336106734826[[#This Row],[Equity]]&lt;Tabla336106734826[[#This Row],[Equity Peak]],(Tabla336106734826[[#This Row],[Equity Peak]]-Tabla336106734826[[#This Row],[Equity]])/Tabla336106734826[[#This Row],[Equity Peak]],"")</f>
        <v/>
      </c>
      <c r="V44" s="209">
        <f t="shared" si="26"/>
        <v>0</v>
      </c>
      <c r="W44" s="209">
        <f t="shared" si="27"/>
        <v>0</v>
      </c>
      <c r="X44" s="209">
        <f t="shared" si="28"/>
        <v>0</v>
      </c>
      <c r="Y44" s="209">
        <f t="shared" si="29"/>
        <v>0</v>
      </c>
      <c r="Z44" s="209">
        <f t="shared" si="30"/>
        <v>0</v>
      </c>
      <c r="AA44" s="205">
        <f t="shared" si="31"/>
        <v>0</v>
      </c>
      <c r="AB44" s="209">
        <f t="shared" si="32"/>
        <v>2.89</v>
      </c>
      <c r="AC44" s="205">
        <f t="shared" si="33"/>
        <v>0</v>
      </c>
      <c r="AD44" s="210">
        <f t="shared" si="34"/>
        <v>20.833333333335759</v>
      </c>
      <c r="AE44" s="210">
        <f t="shared" si="35"/>
        <v>20.833333333335759</v>
      </c>
      <c r="AF44" s="210">
        <f t="shared" si="36"/>
        <v>0</v>
      </c>
      <c r="AG44" s="210">
        <f t="shared" si="37"/>
        <v>0</v>
      </c>
    </row>
    <row r="45" spans="2:33" ht="15" customHeight="1" x14ac:dyDescent="0.3">
      <c r="B45" s="196" t="s">
        <v>84</v>
      </c>
      <c r="C45" s="197" t="s">
        <v>13</v>
      </c>
      <c r="D45" s="198" t="str">
        <f t="shared" si="19"/>
        <v>C</v>
      </c>
      <c r="E45" s="199">
        <v>43657.333333333336</v>
      </c>
      <c r="F45" s="200" t="s">
        <v>82</v>
      </c>
      <c r="G45" s="201">
        <v>268.94</v>
      </c>
      <c r="H45" s="201">
        <v>282.99</v>
      </c>
      <c r="I45" s="202">
        <f t="shared" si="20"/>
        <v>14.050000000000011</v>
      </c>
      <c r="J45" s="201">
        <v>6.7</v>
      </c>
      <c r="K45" s="199">
        <v>43941</v>
      </c>
      <c r="L45" s="201">
        <v>177.42</v>
      </c>
      <c r="M45" s="203">
        <f t="shared" si="21"/>
        <v>91.52</v>
      </c>
      <c r="N45" s="204">
        <f t="shared" si="22"/>
        <v>6.51</v>
      </c>
      <c r="O45" s="205">
        <f t="shared" si="23"/>
        <v>0</v>
      </c>
      <c r="P45" s="206">
        <f t="shared" si="24"/>
        <v>6.51</v>
      </c>
      <c r="Q45" s="206">
        <f t="shared" si="25"/>
        <v>0</v>
      </c>
      <c r="R45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45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106510</v>
      </c>
      <c r="T45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106510</v>
      </c>
      <c r="U45" s="208" t="str">
        <f ca="1">IF(Tabla336106734826[[#This Row],[Equity]]&lt;Tabla336106734826[[#This Row],[Equity Peak]],(Tabla336106734826[[#This Row],[Equity Peak]]-Tabla336106734826[[#This Row],[Equity]])/Tabla336106734826[[#This Row],[Equity Peak]],"")</f>
        <v/>
      </c>
      <c r="V45" s="209">
        <f t="shared" si="26"/>
        <v>0</v>
      </c>
      <c r="W45" s="209">
        <f t="shared" si="27"/>
        <v>0</v>
      </c>
      <c r="X45" s="209">
        <f t="shared" si="28"/>
        <v>0</v>
      </c>
      <c r="Y45" s="209">
        <f t="shared" si="29"/>
        <v>0</v>
      </c>
      <c r="Z45" s="209">
        <f t="shared" si="30"/>
        <v>0</v>
      </c>
      <c r="AA45" s="205">
        <f t="shared" si="31"/>
        <v>0</v>
      </c>
      <c r="AB45" s="209">
        <f t="shared" si="32"/>
        <v>6.51</v>
      </c>
      <c r="AC45" s="205">
        <f t="shared" si="33"/>
        <v>0</v>
      </c>
      <c r="AD45" s="210">
        <f t="shared" si="34"/>
        <v>283.66666666666424</v>
      </c>
      <c r="AE45" s="210">
        <f t="shared" si="35"/>
        <v>283.66666666666424</v>
      </c>
      <c r="AF45" s="210">
        <f t="shared" si="36"/>
        <v>0</v>
      </c>
      <c r="AG45" s="210">
        <f t="shared" si="37"/>
        <v>0</v>
      </c>
    </row>
  </sheetData>
  <sheetProtection algorithmName="SHA-512" hashValue="PMefnj2f1MRZZ6XzbuQXG5Na5jCTo/7gQs/tCnDZZ0/U1Tfiv3uC8ngJygt16ndLxESM6h6b7NXxcSGZaJNNiA==" saltValue="bNJD5Xz+T1NlfKakO9ewP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41" priority="3" operator="equal">
      <formula>"OK"</formula>
    </cfRule>
    <cfRule type="cellIs" dxfId="40" priority="4" operator="equal">
      <formula>"warning"</formula>
    </cfRule>
  </conditionalFormatting>
  <conditionalFormatting sqref="F13">
    <cfRule type="cellIs" dxfId="39" priority="1" operator="equal">
      <formula>"OK"</formula>
    </cfRule>
    <cfRule type="cellIs" dxfId="38" priority="2" operator="equal">
      <formula>"Error!!"</formula>
    </cfRule>
  </conditionalFormatting>
  <conditionalFormatting sqref="E15:H15 K15:L15">
    <cfRule type="expression" dxfId="37" priority="5">
      <formula>+$D15=#REF!</formula>
    </cfRule>
    <cfRule type="expression" dxfId="36" priority="6">
      <formula>+$D15=#REF!</formula>
    </cfRule>
  </conditionalFormatting>
  <conditionalFormatting sqref="D15 K16:L16 D16:H45 J17:L45">
    <cfRule type="expression" dxfId="35" priority="7">
      <formula>+$D15=$AG$8</formula>
    </cfRule>
    <cfRule type="expression" dxfId="3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11E20261-54D5-4EED-BDB6-A49E430DE1C2}">
      <formula1>$AE$4:$AE$6</formula1>
    </dataValidation>
    <dataValidation type="list" allowBlank="1" showInputMessage="1" showErrorMessage="1" promptTitle="Trade Direction" prompt="Select from List" sqref="C15:C16" xr:uid="{A51DAB31-91BC-4792-A2C4-CDDA17DD271D}">
      <formula1>$AG$4:$AG$5</formula1>
    </dataValidation>
    <dataValidation type="list" allowBlank="1" showInputMessage="1" showErrorMessage="1" promptTitle="Instrument Type" prompt="Select Type from List_x000a_" sqref="B17:B45" xr:uid="{7244C740-4685-4967-8695-AD2F400F192B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23</vt:i4>
      </vt:variant>
    </vt:vector>
  </HeadingPairs>
  <TitlesOfParts>
    <vt:vector size="48" baseType="lpstr">
      <vt:lpstr>Master</vt:lpstr>
      <vt:lpstr>Profit Summary</vt:lpstr>
      <vt:lpstr>Reference Table</vt:lpstr>
      <vt:lpstr>Template</vt:lpstr>
      <vt:lpstr>AUDJPY</vt:lpstr>
      <vt:lpstr>AUDUSD</vt:lpstr>
      <vt:lpstr>EURAUD</vt:lpstr>
      <vt:lpstr>EURGBP</vt:lpstr>
      <vt:lpstr>EURJPY</vt:lpstr>
      <vt:lpstr>EURUSD</vt:lpstr>
      <vt:lpstr>GBPAUD</vt:lpstr>
      <vt:lpstr>GBPJPY</vt:lpstr>
      <vt:lpstr>GBPUSD</vt:lpstr>
      <vt:lpstr>USDJPY</vt:lpstr>
      <vt:lpstr>XAGUSD</vt:lpstr>
      <vt:lpstr>XAUUSD</vt:lpstr>
      <vt:lpstr>USOUSD</vt:lpstr>
      <vt:lpstr>ASX200</vt:lpstr>
      <vt:lpstr>GER30</vt:lpstr>
      <vt:lpstr>NDX100</vt:lpstr>
      <vt:lpstr>SPX500</vt:lpstr>
      <vt:lpstr>UK100</vt:lpstr>
      <vt:lpstr>US30</vt:lpstr>
      <vt:lpstr>BTCUSD</vt:lpstr>
      <vt:lpstr>ETHUSD</vt:lpstr>
      <vt:lpstr>'ASX200'!Print_Area</vt:lpstr>
      <vt:lpstr>AUDJPY!Print_Area</vt:lpstr>
      <vt:lpstr>AUDUSD!Print_Area</vt:lpstr>
      <vt:lpstr>BTCUSD!Print_Area</vt:lpstr>
      <vt:lpstr>ETHUSD!Print_Area</vt:lpstr>
      <vt:lpstr>EURAUD!Print_Area</vt:lpstr>
      <vt:lpstr>EURGBP!Print_Area</vt:lpstr>
      <vt:lpstr>EURJPY!Print_Area</vt:lpstr>
      <vt:lpstr>EURUSD!Print_Area</vt:lpstr>
      <vt:lpstr>GBPAUD!Print_Area</vt:lpstr>
      <vt:lpstr>GBPJPY!Print_Area</vt:lpstr>
      <vt:lpstr>GBPUSD!Print_Area</vt:lpstr>
      <vt:lpstr>'GER30'!Print_Area</vt:lpstr>
      <vt:lpstr>Master!Print_Area</vt:lpstr>
      <vt:lpstr>'NDX100'!Print_Area</vt:lpstr>
      <vt:lpstr>'SPX500'!Print_Area</vt:lpstr>
      <vt:lpstr>Template!Print_Area</vt:lpstr>
      <vt:lpstr>'UK100'!Print_Area</vt:lpstr>
      <vt:lpstr>'US30'!Print_Area</vt:lpstr>
      <vt:lpstr>USDJPY!Print_Area</vt:lpstr>
      <vt:lpstr>USOUSD!Print_Area</vt:lpstr>
      <vt:lpstr>XAGUSD!Print_Area</vt:lpstr>
      <vt:lpstr>XAUUSD!Print_Area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Simpson;Peter Hunt;Stacey Eaton</dc:creator>
  <cp:lastModifiedBy>Colin Simpson</cp:lastModifiedBy>
  <cp:lastPrinted>2022-10-04T13:08:24Z</cp:lastPrinted>
  <dcterms:created xsi:type="dcterms:W3CDTF">2011-04-10T08:00:21Z</dcterms:created>
  <dcterms:modified xsi:type="dcterms:W3CDTF">2022-11-18T03:46:44Z</dcterms:modified>
</cp:coreProperties>
</file>