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drawings/drawing7.xml" ContentType="application/vnd.openxmlformats-officedocument.drawing+xml"/>
  <Override PartName="/xl/tables/table8.xml" ContentType="application/vnd.openxmlformats-officedocument.spreadsheetml.table+xml"/>
  <Override PartName="/xl/drawings/drawing8.xml" ContentType="application/vnd.openxmlformats-officedocument.drawing+xml"/>
  <Override PartName="/xl/tables/table9.xml" ContentType="application/vnd.openxmlformats-officedocument.spreadsheetml.table+xml"/>
  <Override PartName="/xl/drawings/drawing9.xml" ContentType="application/vnd.openxmlformats-officedocument.drawing+xml"/>
  <Override PartName="/xl/tables/table10.xml" ContentType="application/vnd.openxmlformats-officedocument.spreadsheetml.table+xml"/>
  <Override PartName="/xl/drawings/drawing10.xml" ContentType="application/vnd.openxmlformats-officedocument.drawing+xml"/>
  <Override PartName="/xl/tables/table11.xml" ContentType="application/vnd.openxmlformats-officedocument.spreadsheetml.table+xml"/>
  <Override PartName="/xl/drawings/drawing11.xml" ContentType="application/vnd.openxmlformats-officedocument.drawing+xml"/>
  <Override PartName="/xl/tables/table12.xml" ContentType="application/vnd.openxmlformats-officedocument.spreadsheetml.table+xml"/>
  <Override PartName="/xl/drawings/drawing12.xml" ContentType="application/vnd.openxmlformats-officedocument.drawing+xml"/>
  <Override PartName="/xl/tables/table13.xml" ContentType="application/vnd.openxmlformats-officedocument.spreadsheetml.table+xml"/>
  <Override PartName="/xl/drawings/drawing13.xml" ContentType="application/vnd.openxmlformats-officedocument.drawing+xml"/>
  <Override PartName="/xl/tables/table14.xml" ContentType="application/vnd.openxmlformats-officedocument.spreadsheetml.table+xml"/>
  <Override PartName="/xl/drawings/drawing14.xml" ContentType="application/vnd.openxmlformats-officedocument.drawing+xml"/>
  <Override PartName="/xl/tables/table15.xml" ContentType="application/vnd.openxmlformats-officedocument.spreadsheetml.table+xml"/>
  <Override PartName="/xl/drawings/drawing15.xml" ContentType="application/vnd.openxmlformats-officedocument.drawing+xml"/>
  <Override PartName="/xl/tables/table16.xml" ContentType="application/vnd.openxmlformats-officedocument.spreadsheetml.table+xml"/>
  <Override PartName="/xl/drawings/drawing16.xml" ContentType="application/vnd.openxmlformats-officedocument.drawing+xml"/>
  <Override PartName="/xl/tables/table17.xml" ContentType="application/vnd.openxmlformats-officedocument.spreadsheetml.table+xml"/>
  <Override PartName="/xl/drawings/drawing17.xml" ContentType="application/vnd.openxmlformats-officedocument.drawing+xml"/>
  <Override PartName="/xl/tables/table18.xml" ContentType="application/vnd.openxmlformats-officedocument.spreadsheetml.table+xml"/>
  <Override PartName="/xl/drawings/drawing18.xml" ContentType="application/vnd.openxmlformats-officedocument.drawing+xml"/>
  <Override PartName="/xl/tables/table19.xml" ContentType="application/vnd.openxmlformats-officedocument.spreadsheetml.table+xml"/>
  <Override PartName="/xl/drawings/drawing19.xml" ContentType="application/vnd.openxmlformats-officedocument.drawing+xml"/>
  <Override PartName="/xl/tables/table20.xml" ContentType="application/vnd.openxmlformats-officedocument.spreadsheetml.table+xml"/>
  <Override PartName="/xl/drawings/drawing20.xml" ContentType="application/vnd.openxmlformats-officedocument.drawing+xml"/>
  <Override PartName="/xl/tables/table21.xml" ContentType="application/vnd.openxmlformats-officedocument.spreadsheetml.table+xml"/>
  <Override PartName="/xl/drawings/drawing21.xml" ContentType="application/vnd.openxmlformats-officedocument.drawing+xml"/>
  <Override PartName="/xl/tables/table22.xml" ContentType="application/vnd.openxmlformats-officedocument.spreadsheetml.table+xml"/>
  <Override PartName="/xl/drawings/drawing22.xml" ContentType="application/vnd.openxmlformats-officedocument.drawing+xml"/>
  <Override PartName="/xl/tables/table23.xml" ContentType="application/vnd.openxmlformats-officedocument.spreadsheetml.table+xml"/>
  <Override PartName="/xl/drawings/drawing23.xml" ContentType="application/vnd.openxmlformats-officedocument.drawing+xml"/>
  <Override PartName="/xl/tables/table24.xml" ContentType="application/vnd.openxmlformats-officedocument.spreadsheetml.table+xml"/>
  <Override PartName="/xl/drawings/drawing24.xml" ContentType="application/vnd.openxmlformats-officedocument.drawing+xml"/>
  <Override PartName="/xl/tables/table2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ADLLINS-NAS02\Data\Clients\Trading Mentor\Campaigns\2022\AATS - Website Design - 190922\Four Hourly Growth Results\"/>
    </mc:Choice>
  </mc:AlternateContent>
  <xr:revisionPtr revIDLastSave="0" documentId="13_ncr:1_{69E581C1-E398-42DA-886B-CDC76B5FF7F7}" xr6:coauthVersionLast="47" xr6:coauthVersionMax="47" xr10:uidLastSave="{00000000-0000-0000-0000-000000000000}"/>
  <bookViews>
    <workbookView xWindow="34290" yWindow="-3770" windowWidth="38620" windowHeight="21820" tabRatio="862" firstSheet="5" activeTab="20" xr2:uid="{00000000-000D-0000-FFFF-FFFF00000000}"/>
  </bookViews>
  <sheets>
    <sheet name="Master" sheetId="34" r:id="rId1"/>
    <sheet name="Profit Summary" sheetId="6" r:id="rId2"/>
    <sheet name="Reference Table" sheetId="11" r:id="rId3"/>
    <sheet name="Template" sheetId="41" state="hidden" r:id="rId4"/>
    <sheet name="AUDJPY" sheetId="49" r:id="rId5"/>
    <sheet name="AUDUSD" sheetId="50" r:id="rId6"/>
    <sheet name="EURAUD" sheetId="55" r:id="rId7"/>
    <sheet name="EURGBP" sheetId="51" r:id="rId8"/>
    <sheet name="EURJPY" sheetId="52" r:id="rId9"/>
    <sheet name="EURUSD" sheetId="42" r:id="rId10"/>
    <sheet name="GBPAUD" sheetId="53" r:id="rId11"/>
    <sheet name="GBPJPY" sheetId="43" r:id="rId12"/>
    <sheet name="GBPUSD" sheetId="54" r:id="rId13"/>
    <sheet name="USDJPY" sheetId="44" r:id="rId14"/>
    <sheet name="XAGUSD" sheetId="56" r:id="rId15"/>
    <sheet name="XAUUSD" sheetId="45" r:id="rId16"/>
    <sheet name="USOUSD" sheetId="57" r:id="rId17"/>
    <sheet name="ASX200" sheetId="58" r:id="rId18"/>
    <sheet name="GER30" sheetId="46" r:id="rId19"/>
    <sheet name="NDX100" sheetId="47" r:id="rId20"/>
    <sheet name="SPX500" sheetId="48" r:id="rId21"/>
    <sheet name="UK100" sheetId="59" r:id="rId22"/>
    <sheet name="US30" sheetId="60" r:id="rId23"/>
    <sheet name="BTCUSD" sheetId="61" r:id="rId24"/>
    <sheet name="ETHUSD" sheetId="62" r:id="rId25"/>
  </sheets>
  <definedNames>
    <definedName name="_xlnm.Print_Area" localSheetId="17">'ASX200'!$A$1:$AH$16</definedName>
    <definedName name="_xlnm.Print_Area" localSheetId="4">AUDJPY!$A$1:$AH$16</definedName>
    <definedName name="_xlnm.Print_Area" localSheetId="5">AUDUSD!$A$1:$AH$16</definedName>
    <definedName name="_xlnm.Print_Area" localSheetId="23">BTCUSD!$A$1:$AH$16</definedName>
    <definedName name="_xlnm.Print_Area" localSheetId="24">ETHUSD!$A$1:$AH$16</definedName>
    <definedName name="_xlnm.Print_Area" localSheetId="6">EURAUD!$A$1:$AH$16</definedName>
    <definedName name="_xlnm.Print_Area" localSheetId="7">EURGBP!$A$1:$AH$16</definedName>
    <definedName name="_xlnm.Print_Area" localSheetId="8">EURJPY!$A$1:$AH$16</definedName>
    <definedName name="_xlnm.Print_Area" localSheetId="9">EURUSD!$A$1:$AH$16</definedName>
    <definedName name="_xlnm.Print_Area" localSheetId="10">GBPAUD!$A$1:$AH$16</definedName>
    <definedName name="_xlnm.Print_Area" localSheetId="11">GBPJPY!$A$1:$AH$16</definedName>
    <definedName name="_xlnm.Print_Area" localSheetId="12">GBPUSD!$A$1:$AH$16</definedName>
    <definedName name="_xlnm.Print_Area" localSheetId="18">'GER30'!$A$1:$AH$16</definedName>
    <definedName name="_xlnm.Print_Area" localSheetId="0">Master!$A$1:$AH$16</definedName>
    <definedName name="_xlnm.Print_Area" localSheetId="19">'NDX100'!$A$1:$AH$16</definedName>
    <definedName name="_xlnm.Print_Area" localSheetId="20">'SPX500'!$A$1:$AH$16</definedName>
    <definedName name="_xlnm.Print_Area" localSheetId="3">Template!$A$1:$AH$17</definedName>
    <definedName name="_xlnm.Print_Area" localSheetId="21">'UK100'!$A$1:$AH$16</definedName>
    <definedName name="_xlnm.Print_Area" localSheetId="22">'US30'!$A$1:$AH$16</definedName>
    <definedName name="_xlnm.Print_Area" localSheetId="13">USDJPY!$A$1:$AH$16</definedName>
    <definedName name="_xlnm.Print_Area" localSheetId="16">USOUSD!$A$1:$AH$16</definedName>
    <definedName name="_xlnm.Print_Area" localSheetId="14">XAGUSD!$A$1:$AH$16</definedName>
    <definedName name="_xlnm.Print_Area" localSheetId="15">XAUUSD!$A$1:$AH$16</definedName>
  </definedNames>
  <calcPr calcId="191029"/>
  <pivotCaches>
    <pivotCache cacheId="2" r:id="rId2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4" i="34" l="1"/>
  <c r="D237" i="34"/>
  <c r="D254" i="34"/>
  <c r="D255" i="34"/>
  <c r="D257" i="34"/>
  <c r="D260" i="34"/>
  <c r="D262" i="34"/>
  <c r="D263" i="34"/>
  <c r="D265" i="34"/>
  <c r="D272" i="34"/>
  <c r="D288" i="34"/>
  <c r="I234" i="34"/>
  <c r="I237" i="34"/>
  <c r="I254" i="34"/>
  <c r="I255" i="34"/>
  <c r="I257" i="34"/>
  <c r="I260" i="34"/>
  <c r="I262" i="34"/>
  <c r="I263" i="34"/>
  <c r="I265" i="34"/>
  <c r="I272" i="34"/>
  <c r="I288" i="34"/>
  <c r="M234" i="34"/>
  <c r="M237" i="34"/>
  <c r="M254" i="34"/>
  <c r="M255" i="34"/>
  <c r="M257" i="34"/>
  <c r="M260" i="34"/>
  <c r="M262" i="34"/>
  <c r="M263" i="34"/>
  <c r="M265" i="34"/>
  <c r="M272" i="34"/>
  <c r="M288" i="34"/>
  <c r="N234" i="34"/>
  <c r="N237" i="34"/>
  <c r="N254" i="34"/>
  <c r="N255" i="34"/>
  <c r="N257" i="34"/>
  <c r="N260" i="34"/>
  <c r="N262" i="34"/>
  <c r="N263" i="34"/>
  <c r="N265" i="34"/>
  <c r="N272" i="34"/>
  <c r="N288" i="34"/>
  <c r="O234" i="34"/>
  <c r="O237" i="34"/>
  <c r="O254" i="34"/>
  <c r="O255" i="34"/>
  <c r="O257" i="34"/>
  <c r="O260" i="34"/>
  <c r="O262" i="34"/>
  <c r="O263" i="34"/>
  <c r="O265" i="34"/>
  <c r="O272" i="34"/>
  <c r="O288" i="34"/>
  <c r="P234" i="34"/>
  <c r="P237" i="34"/>
  <c r="P254" i="34"/>
  <c r="P255" i="34"/>
  <c r="P257" i="34"/>
  <c r="P260" i="34"/>
  <c r="P262" i="34"/>
  <c r="P263" i="34"/>
  <c r="P265" i="34"/>
  <c r="P272" i="34"/>
  <c r="P288" i="34"/>
  <c r="Q234" i="34"/>
  <c r="Q237" i="34"/>
  <c r="Q254" i="34"/>
  <c r="Q255" i="34"/>
  <c r="Q257" i="34"/>
  <c r="Q260" i="34"/>
  <c r="Q262" i="34"/>
  <c r="Q263" i="34"/>
  <c r="Q265" i="34"/>
  <c r="Q272" i="34"/>
  <c r="Q288" i="34"/>
  <c r="M444" i="34"/>
  <c r="I444" i="34"/>
  <c r="N444" i="34"/>
  <c r="S444" i="34"/>
  <c r="S443" i="34" s="1"/>
  <c r="M443" i="34"/>
  <c r="I443" i="34"/>
  <c r="N443" i="34"/>
  <c r="M442" i="34"/>
  <c r="I442" i="34"/>
  <c r="N442" i="34"/>
  <c r="M441" i="34"/>
  <c r="I441" i="34"/>
  <c r="N441" i="34"/>
  <c r="M440" i="34"/>
  <c r="I440" i="34"/>
  <c r="N440" i="34"/>
  <c r="M439" i="34"/>
  <c r="I439" i="34"/>
  <c r="N439" i="34"/>
  <c r="M438" i="34"/>
  <c r="I438" i="34"/>
  <c r="N438" i="34"/>
  <c r="M437" i="34"/>
  <c r="I437" i="34"/>
  <c r="N437" i="34"/>
  <c r="M436" i="34"/>
  <c r="I436" i="34"/>
  <c r="N436" i="34"/>
  <c r="M435" i="34"/>
  <c r="I435" i="34"/>
  <c r="N435" i="34"/>
  <c r="M434" i="34"/>
  <c r="I434" i="34"/>
  <c r="N434" i="34"/>
  <c r="M433" i="34"/>
  <c r="I433" i="34"/>
  <c r="N433" i="34"/>
  <c r="M432" i="34"/>
  <c r="I432" i="34"/>
  <c r="N432" i="34"/>
  <c r="M431" i="34"/>
  <c r="I431" i="34"/>
  <c r="N431" i="34"/>
  <c r="M430" i="34"/>
  <c r="I430" i="34"/>
  <c r="N430" i="34"/>
  <c r="M429" i="34"/>
  <c r="I429" i="34"/>
  <c r="N429" i="34"/>
  <c r="M428" i="34"/>
  <c r="I428" i="34"/>
  <c r="N428" i="34"/>
  <c r="M427" i="34"/>
  <c r="I427" i="34"/>
  <c r="N427" i="34"/>
  <c r="M426" i="34"/>
  <c r="I426" i="34"/>
  <c r="N426" i="34"/>
  <c r="M425" i="34"/>
  <c r="I425" i="34"/>
  <c r="N425" i="34"/>
  <c r="M424" i="34"/>
  <c r="I424" i="34"/>
  <c r="N424" i="34"/>
  <c r="M423" i="34"/>
  <c r="I423" i="34"/>
  <c r="N423" i="34"/>
  <c r="M422" i="34"/>
  <c r="I422" i="34"/>
  <c r="N422" i="34"/>
  <c r="M421" i="34"/>
  <c r="I421" i="34"/>
  <c r="N421" i="34"/>
  <c r="M420" i="34"/>
  <c r="I420" i="34"/>
  <c r="N420" i="34"/>
  <c r="M419" i="34"/>
  <c r="I419" i="34"/>
  <c r="N419" i="34"/>
  <c r="M418" i="34"/>
  <c r="I418" i="34"/>
  <c r="N418" i="34"/>
  <c r="M417" i="34"/>
  <c r="I417" i="34"/>
  <c r="N417" i="34"/>
  <c r="M416" i="34"/>
  <c r="I416" i="34"/>
  <c r="N416" i="34"/>
  <c r="M415" i="34"/>
  <c r="I415" i="34"/>
  <c r="N415" i="34"/>
  <c r="M414" i="34"/>
  <c r="I414" i="34"/>
  <c r="N414" i="34"/>
  <c r="M413" i="34"/>
  <c r="I413" i="34"/>
  <c r="N413" i="34"/>
  <c r="M412" i="34"/>
  <c r="I412" i="34"/>
  <c r="N412" i="34"/>
  <c r="M411" i="34"/>
  <c r="I411" i="34"/>
  <c r="N411" i="34"/>
  <c r="M410" i="34"/>
  <c r="I410" i="34"/>
  <c r="N410" i="34"/>
  <c r="M409" i="34"/>
  <c r="I409" i="34"/>
  <c r="N409" i="34"/>
  <c r="M408" i="34"/>
  <c r="I408" i="34"/>
  <c r="N408" i="34"/>
  <c r="M407" i="34"/>
  <c r="I407" i="34"/>
  <c r="N407" i="34"/>
  <c r="M406" i="34"/>
  <c r="I406" i="34"/>
  <c r="N406" i="34"/>
  <c r="M405" i="34"/>
  <c r="I405" i="34"/>
  <c r="N405" i="34"/>
  <c r="M404" i="34"/>
  <c r="I404" i="34"/>
  <c r="N404" i="34"/>
  <c r="M403" i="34"/>
  <c r="I403" i="34"/>
  <c r="N403" i="34"/>
  <c r="M402" i="34"/>
  <c r="I402" i="34"/>
  <c r="N402" i="34"/>
  <c r="M401" i="34"/>
  <c r="I401" i="34"/>
  <c r="N401" i="34"/>
  <c r="M400" i="34"/>
  <c r="I400" i="34"/>
  <c r="N400" i="34"/>
  <c r="M399" i="34"/>
  <c r="I399" i="34"/>
  <c r="N399" i="34"/>
  <c r="M398" i="34"/>
  <c r="I398" i="34"/>
  <c r="N398" i="34"/>
  <c r="M397" i="34"/>
  <c r="I397" i="34"/>
  <c r="N397" i="34"/>
  <c r="M396" i="34"/>
  <c r="I396" i="34"/>
  <c r="N396" i="34"/>
  <c r="M395" i="34"/>
  <c r="I395" i="34"/>
  <c r="N395" i="34"/>
  <c r="M394" i="34"/>
  <c r="I394" i="34"/>
  <c r="N394" i="34"/>
  <c r="M393" i="34"/>
  <c r="I393" i="34"/>
  <c r="N393" i="34"/>
  <c r="M392" i="34"/>
  <c r="I392" i="34"/>
  <c r="N392" i="34"/>
  <c r="M391" i="34"/>
  <c r="I391" i="34"/>
  <c r="N391" i="34"/>
  <c r="M390" i="34"/>
  <c r="I390" i="34"/>
  <c r="N390" i="34"/>
  <c r="M389" i="34"/>
  <c r="I389" i="34"/>
  <c r="N389" i="34"/>
  <c r="M388" i="34"/>
  <c r="I388" i="34"/>
  <c r="N388" i="34"/>
  <c r="M387" i="34"/>
  <c r="I387" i="34"/>
  <c r="N387" i="34"/>
  <c r="M386" i="34"/>
  <c r="I386" i="34"/>
  <c r="N386" i="34"/>
  <c r="M385" i="34"/>
  <c r="I385" i="34"/>
  <c r="N385" i="34"/>
  <c r="M384" i="34"/>
  <c r="I384" i="34"/>
  <c r="N384" i="34"/>
  <c r="M383" i="34"/>
  <c r="I383" i="34"/>
  <c r="N383" i="34"/>
  <c r="M382" i="34"/>
  <c r="I382" i="34"/>
  <c r="N382" i="34"/>
  <c r="M381" i="34"/>
  <c r="I381" i="34"/>
  <c r="N381" i="34"/>
  <c r="M380" i="34"/>
  <c r="I380" i="34"/>
  <c r="N380" i="34"/>
  <c r="M379" i="34"/>
  <c r="I379" i="34"/>
  <c r="N379" i="34"/>
  <c r="M378" i="34"/>
  <c r="I378" i="34"/>
  <c r="N378" i="34"/>
  <c r="M377" i="34"/>
  <c r="I377" i="34"/>
  <c r="N377" i="34"/>
  <c r="M376" i="34"/>
  <c r="I376" i="34"/>
  <c r="N376" i="34"/>
  <c r="M375" i="34"/>
  <c r="I375" i="34"/>
  <c r="N375" i="34"/>
  <c r="M374" i="34"/>
  <c r="I374" i="34"/>
  <c r="N374" i="34"/>
  <c r="M373" i="34"/>
  <c r="I373" i="34"/>
  <c r="N373" i="34"/>
  <c r="M372" i="34"/>
  <c r="I372" i="34"/>
  <c r="N372" i="34"/>
  <c r="M371" i="34"/>
  <c r="I371" i="34"/>
  <c r="N371" i="34"/>
  <c r="M370" i="34"/>
  <c r="I370" i="34"/>
  <c r="N370" i="34"/>
  <c r="M369" i="34"/>
  <c r="I369" i="34"/>
  <c r="N369" i="34"/>
  <c r="M368" i="34"/>
  <c r="I368" i="34"/>
  <c r="N368" i="34"/>
  <c r="M367" i="34"/>
  <c r="I367" i="34"/>
  <c r="N367" i="34"/>
  <c r="M366" i="34"/>
  <c r="I366" i="34"/>
  <c r="N366" i="34"/>
  <c r="M365" i="34"/>
  <c r="I365" i="34"/>
  <c r="N365" i="34"/>
  <c r="M364" i="34"/>
  <c r="I364" i="34"/>
  <c r="N364" i="34"/>
  <c r="M363" i="34"/>
  <c r="I363" i="34"/>
  <c r="N363" i="34"/>
  <c r="M362" i="34"/>
  <c r="I362" i="34"/>
  <c r="N362" i="34"/>
  <c r="M361" i="34"/>
  <c r="I361" i="34"/>
  <c r="N361" i="34"/>
  <c r="M360" i="34"/>
  <c r="I360" i="34"/>
  <c r="N360" i="34"/>
  <c r="M359" i="34"/>
  <c r="I359" i="34"/>
  <c r="N359" i="34"/>
  <c r="M358" i="34"/>
  <c r="I358" i="34"/>
  <c r="N358" i="34"/>
  <c r="M357" i="34"/>
  <c r="I357" i="34"/>
  <c r="N357" i="34"/>
  <c r="M356" i="34"/>
  <c r="I356" i="34"/>
  <c r="N356" i="34"/>
  <c r="M355" i="34"/>
  <c r="I355" i="34"/>
  <c r="N355" i="34"/>
  <c r="M354" i="34"/>
  <c r="I354" i="34"/>
  <c r="N354" i="34"/>
  <c r="M353" i="34"/>
  <c r="I353" i="34"/>
  <c r="N353" i="34"/>
  <c r="M352" i="34"/>
  <c r="I352" i="34"/>
  <c r="N352" i="34"/>
  <c r="M351" i="34"/>
  <c r="I351" i="34"/>
  <c r="N351" i="34"/>
  <c r="M350" i="34"/>
  <c r="I350" i="34"/>
  <c r="N350" i="34"/>
  <c r="M349" i="34"/>
  <c r="I349" i="34"/>
  <c r="N349" i="34"/>
  <c r="M348" i="34"/>
  <c r="I348" i="34"/>
  <c r="N348" i="34"/>
  <c r="M347" i="34"/>
  <c r="I347" i="34"/>
  <c r="N347" i="34"/>
  <c r="M346" i="34"/>
  <c r="I346" i="34"/>
  <c r="N346" i="34"/>
  <c r="M345" i="34"/>
  <c r="I345" i="34"/>
  <c r="N345" i="34"/>
  <c r="M344" i="34"/>
  <c r="I344" i="34"/>
  <c r="N344" i="34"/>
  <c r="M343" i="34"/>
  <c r="I343" i="34"/>
  <c r="N343" i="34"/>
  <c r="M342" i="34"/>
  <c r="I342" i="34"/>
  <c r="N342" i="34"/>
  <c r="M341" i="34"/>
  <c r="I341" i="34"/>
  <c r="N341" i="34"/>
  <c r="M340" i="34"/>
  <c r="I340" i="34"/>
  <c r="N340" i="34"/>
  <c r="M339" i="34"/>
  <c r="I339" i="34"/>
  <c r="N339" i="34"/>
  <c r="M338" i="34"/>
  <c r="I338" i="34"/>
  <c r="N338" i="34"/>
  <c r="M337" i="34"/>
  <c r="I337" i="34"/>
  <c r="N337" i="34"/>
  <c r="M336" i="34"/>
  <c r="I336" i="34"/>
  <c r="N336" i="34"/>
  <c r="M335" i="34"/>
  <c r="I335" i="34"/>
  <c r="N335" i="34"/>
  <c r="M334" i="34"/>
  <c r="I334" i="34"/>
  <c r="N334" i="34"/>
  <c r="M333" i="34"/>
  <c r="I333" i="34"/>
  <c r="N333" i="34"/>
  <c r="M332" i="34"/>
  <c r="I332" i="34"/>
  <c r="N332" i="34"/>
  <c r="M331" i="34"/>
  <c r="I331" i="34"/>
  <c r="N331" i="34"/>
  <c r="M330" i="34"/>
  <c r="I330" i="34"/>
  <c r="N330" i="34"/>
  <c r="M329" i="34"/>
  <c r="I329" i="34"/>
  <c r="N329" i="34"/>
  <c r="M328" i="34"/>
  <c r="I328" i="34"/>
  <c r="N328" i="34"/>
  <c r="M327" i="34"/>
  <c r="I327" i="34"/>
  <c r="N327" i="34"/>
  <c r="M326" i="34"/>
  <c r="I326" i="34"/>
  <c r="N326" i="34"/>
  <c r="M325" i="34"/>
  <c r="I325" i="34"/>
  <c r="N325" i="34"/>
  <c r="M324" i="34"/>
  <c r="I324" i="34"/>
  <c r="N324" i="34"/>
  <c r="M323" i="34"/>
  <c r="I323" i="34"/>
  <c r="N323" i="34"/>
  <c r="M322" i="34"/>
  <c r="I322" i="34"/>
  <c r="N322" i="34"/>
  <c r="M321" i="34"/>
  <c r="I321" i="34"/>
  <c r="N321" i="34"/>
  <c r="M320" i="34"/>
  <c r="I320" i="34"/>
  <c r="N320" i="34"/>
  <c r="M319" i="34"/>
  <c r="I319" i="34"/>
  <c r="N319" i="34"/>
  <c r="M318" i="34"/>
  <c r="I318" i="34"/>
  <c r="N318" i="34"/>
  <c r="M317" i="34"/>
  <c r="I317" i="34"/>
  <c r="N317" i="34"/>
  <c r="M316" i="34"/>
  <c r="I316" i="34"/>
  <c r="N316" i="34"/>
  <c r="M315" i="34"/>
  <c r="I315" i="34"/>
  <c r="N315" i="34"/>
  <c r="M314" i="34"/>
  <c r="I314" i="34"/>
  <c r="N314" i="34"/>
  <c r="M313" i="34"/>
  <c r="I313" i="34"/>
  <c r="N313" i="34"/>
  <c r="M312" i="34"/>
  <c r="I312" i="34"/>
  <c r="N312" i="34"/>
  <c r="M311" i="34"/>
  <c r="I311" i="34"/>
  <c r="N311" i="34"/>
  <c r="M310" i="34"/>
  <c r="I310" i="34"/>
  <c r="N310" i="34"/>
  <c r="M309" i="34"/>
  <c r="I309" i="34"/>
  <c r="N309" i="34"/>
  <c r="M308" i="34"/>
  <c r="I308" i="34"/>
  <c r="N308" i="34"/>
  <c r="M307" i="34"/>
  <c r="I307" i="34"/>
  <c r="N307" i="34"/>
  <c r="M306" i="34"/>
  <c r="I306" i="34"/>
  <c r="N306" i="34"/>
  <c r="M305" i="34"/>
  <c r="I305" i="34"/>
  <c r="N305" i="34"/>
  <c r="M304" i="34"/>
  <c r="I304" i="34"/>
  <c r="N304" i="34"/>
  <c r="M303" i="34"/>
  <c r="I303" i="34"/>
  <c r="N303" i="34"/>
  <c r="M302" i="34"/>
  <c r="I302" i="34"/>
  <c r="N302" i="34"/>
  <c r="M301" i="34"/>
  <c r="I301" i="34"/>
  <c r="N301" i="34"/>
  <c r="M300" i="34"/>
  <c r="I300" i="34"/>
  <c r="N300" i="34"/>
  <c r="M299" i="34"/>
  <c r="I299" i="34"/>
  <c r="N299" i="34"/>
  <c r="M298" i="34"/>
  <c r="I298" i="34"/>
  <c r="N298" i="34"/>
  <c r="M297" i="34"/>
  <c r="I297" i="34"/>
  <c r="N297" i="34"/>
  <c r="M296" i="34"/>
  <c r="I296" i="34"/>
  <c r="N296" i="34"/>
  <c r="M295" i="34"/>
  <c r="I295" i="34"/>
  <c r="N295" i="34"/>
  <c r="M294" i="34"/>
  <c r="I294" i="34"/>
  <c r="N294" i="34"/>
  <c r="M293" i="34"/>
  <c r="I293" i="34"/>
  <c r="N293" i="34"/>
  <c r="M292" i="34"/>
  <c r="I292" i="34"/>
  <c r="N292" i="34"/>
  <c r="M291" i="34"/>
  <c r="I291" i="34"/>
  <c r="N291" i="34"/>
  <c r="M290" i="34"/>
  <c r="I290" i="34"/>
  <c r="N290" i="34"/>
  <c r="M289" i="34"/>
  <c r="I289" i="34"/>
  <c r="N289" i="34"/>
  <c r="M287" i="34"/>
  <c r="I287" i="34"/>
  <c r="N287" i="34"/>
  <c r="M286" i="34"/>
  <c r="I286" i="34"/>
  <c r="N286" i="34"/>
  <c r="M285" i="34"/>
  <c r="I285" i="34"/>
  <c r="N285" i="34"/>
  <c r="M284" i="34"/>
  <c r="I284" i="34"/>
  <c r="N284" i="34"/>
  <c r="M283" i="34"/>
  <c r="I283" i="34"/>
  <c r="N283" i="34"/>
  <c r="M282" i="34"/>
  <c r="I282" i="34"/>
  <c r="N282" i="34"/>
  <c r="M281" i="34"/>
  <c r="I281" i="34"/>
  <c r="N281" i="34"/>
  <c r="M280" i="34"/>
  <c r="I280" i="34"/>
  <c r="N280" i="34"/>
  <c r="M279" i="34"/>
  <c r="I279" i="34"/>
  <c r="N279" i="34"/>
  <c r="M278" i="34"/>
  <c r="I278" i="34"/>
  <c r="N278" i="34"/>
  <c r="M277" i="34"/>
  <c r="I277" i="34"/>
  <c r="N277" i="34"/>
  <c r="M276" i="34"/>
  <c r="I276" i="34"/>
  <c r="N276" i="34"/>
  <c r="M275" i="34"/>
  <c r="I275" i="34"/>
  <c r="N275" i="34"/>
  <c r="M274" i="34"/>
  <c r="I274" i="34"/>
  <c r="N274" i="34"/>
  <c r="M273" i="34"/>
  <c r="I273" i="34"/>
  <c r="N273" i="34"/>
  <c r="M271" i="34"/>
  <c r="I271" i="34"/>
  <c r="N271" i="34"/>
  <c r="M270" i="34"/>
  <c r="I270" i="34"/>
  <c r="N270" i="34"/>
  <c r="M269" i="34"/>
  <c r="I269" i="34"/>
  <c r="N269" i="34"/>
  <c r="M268" i="34"/>
  <c r="I268" i="34"/>
  <c r="N268" i="34"/>
  <c r="M267" i="34"/>
  <c r="I267" i="34"/>
  <c r="N267" i="34"/>
  <c r="M266" i="34"/>
  <c r="I266" i="34"/>
  <c r="N266" i="34"/>
  <c r="M264" i="34"/>
  <c r="I264" i="34"/>
  <c r="N264" i="34"/>
  <c r="M261" i="34"/>
  <c r="I261" i="34"/>
  <c r="N261" i="34"/>
  <c r="M259" i="34"/>
  <c r="I259" i="34"/>
  <c r="N259" i="34"/>
  <c r="M258" i="34"/>
  <c r="I258" i="34"/>
  <c r="N258" i="34"/>
  <c r="M256" i="34"/>
  <c r="I256" i="34"/>
  <c r="N256" i="34"/>
  <c r="M253" i="34"/>
  <c r="I253" i="34"/>
  <c r="N253" i="34"/>
  <c r="M252" i="34"/>
  <c r="I252" i="34"/>
  <c r="N252" i="34"/>
  <c r="M251" i="34"/>
  <c r="I251" i="34"/>
  <c r="N251" i="34"/>
  <c r="M250" i="34"/>
  <c r="I250" i="34"/>
  <c r="N250" i="34"/>
  <c r="M249" i="34"/>
  <c r="I249" i="34"/>
  <c r="N249" i="34"/>
  <c r="M248" i="34"/>
  <c r="I248" i="34"/>
  <c r="N248" i="34"/>
  <c r="M247" i="34"/>
  <c r="I247" i="34"/>
  <c r="N247" i="34"/>
  <c r="M246" i="34"/>
  <c r="I246" i="34"/>
  <c r="N246" i="34"/>
  <c r="M245" i="34"/>
  <c r="I245" i="34"/>
  <c r="N245" i="34"/>
  <c r="M244" i="34"/>
  <c r="I244" i="34"/>
  <c r="N244" i="34"/>
  <c r="M243" i="34"/>
  <c r="I243" i="34"/>
  <c r="N243" i="34"/>
  <c r="M242" i="34"/>
  <c r="I242" i="34"/>
  <c r="N242" i="34"/>
  <c r="M241" i="34"/>
  <c r="I241" i="34"/>
  <c r="N241" i="34"/>
  <c r="M240" i="34"/>
  <c r="I240" i="34"/>
  <c r="N240" i="34"/>
  <c r="M239" i="34"/>
  <c r="I239" i="34"/>
  <c r="N239" i="34"/>
  <c r="M238" i="34"/>
  <c r="I238" i="34"/>
  <c r="N238" i="34"/>
  <c r="R444" i="34"/>
  <c r="M236" i="34"/>
  <c r="I236" i="34"/>
  <c r="N236" i="34"/>
  <c r="M235" i="34"/>
  <c r="I235" i="34"/>
  <c r="N235" i="34"/>
  <c r="V234" i="34"/>
  <c r="V237" i="34"/>
  <c r="V254" i="34"/>
  <c r="V255" i="34"/>
  <c r="V257" i="34"/>
  <c r="V260" i="34"/>
  <c r="V262" i="34"/>
  <c r="V263" i="34"/>
  <c r="V265" i="34"/>
  <c r="V272" i="34"/>
  <c r="V288" i="34"/>
  <c r="W234" i="34"/>
  <c r="W237" i="34"/>
  <c r="W254" i="34"/>
  <c r="W255" i="34"/>
  <c r="W257" i="34"/>
  <c r="W260" i="34"/>
  <c r="W262" i="34"/>
  <c r="W263" i="34"/>
  <c r="W265" i="34"/>
  <c r="W272" i="34"/>
  <c r="W288" i="34"/>
  <c r="X234" i="34"/>
  <c r="X237" i="34"/>
  <c r="X254" i="34"/>
  <c r="X255" i="34"/>
  <c r="X257" i="34"/>
  <c r="X260" i="34"/>
  <c r="X262" i="34"/>
  <c r="X263" i="34"/>
  <c r="X265" i="34"/>
  <c r="X272" i="34"/>
  <c r="X288" i="34"/>
  <c r="Y234" i="34"/>
  <c r="Y237" i="34"/>
  <c r="Y254" i="34"/>
  <c r="Y255" i="34"/>
  <c r="Y257" i="34"/>
  <c r="Y260" i="34"/>
  <c r="Y262" i="34"/>
  <c r="Y263" i="34"/>
  <c r="Y265" i="34"/>
  <c r="Y272" i="34"/>
  <c r="Y288" i="34"/>
  <c r="Z234" i="34"/>
  <c r="Z237" i="34"/>
  <c r="Z254" i="34"/>
  <c r="Z255" i="34"/>
  <c r="Z257" i="34"/>
  <c r="Z260" i="34"/>
  <c r="Z262" i="34"/>
  <c r="Z263" i="34"/>
  <c r="Z265" i="34"/>
  <c r="Z272" i="34"/>
  <c r="Z288" i="34"/>
  <c r="AA234" i="34"/>
  <c r="AA237" i="34"/>
  <c r="AA254" i="34"/>
  <c r="AA255" i="34"/>
  <c r="AA257" i="34"/>
  <c r="AA260" i="34"/>
  <c r="AA262" i="34"/>
  <c r="AA263" i="34"/>
  <c r="AA265" i="34"/>
  <c r="AA272" i="34"/>
  <c r="AA288" i="34"/>
  <c r="AB234" i="34"/>
  <c r="AB237" i="34"/>
  <c r="AB254" i="34"/>
  <c r="AB255" i="34"/>
  <c r="AB257" i="34"/>
  <c r="AB260" i="34"/>
  <c r="AB262" i="34"/>
  <c r="AB263" i="34"/>
  <c r="AB265" i="34"/>
  <c r="AB272" i="34"/>
  <c r="AB288" i="34"/>
  <c r="AC234" i="34"/>
  <c r="AC237" i="34"/>
  <c r="AC254" i="34"/>
  <c r="AC255" i="34"/>
  <c r="AC257" i="34"/>
  <c r="AC260" i="34"/>
  <c r="AC262" i="34"/>
  <c r="AC263" i="34"/>
  <c r="AC265" i="34"/>
  <c r="AC272" i="34"/>
  <c r="AC288" i="34"/>
  <c r="AD234" i="34"/>
  <c r="AD237" i="34"/>
  <c r="AD254" i="34"/>
  <c r="AD255" i="34"/>
  <c r="AD257" i="34"/>
  <c r="AD260" i="34"/>
  <c r="AD262" i="34"/>
  <c r="AD263" i="34"/>
  <c r="AD265" i="34"/>
  <c r="AD272" i="34"/>
  <c r="AD288" i="34"/>
  <c r="AE234" i="34"/>
  <c r="AE237" i="34"/>
  <c r="AE254" i="34"/>
  <c r="AE255" i="34"/>
  <c r="AE257" i="34"/>
  <c r="AE260" i="34"/>
  <c r="AE262" i="34"/>
  <c r="AE263" i="34"/>
  <c r="AE265" i="34"/>
  <c r="AE272" i="34"/>
  <c r="AE288" i="34"/>
  <c r="AF234" i="34"/>
  <c r="AF237" i="34"/>
  <c r="AF254" i="34"/>
  <c r="AF255" i="34"/>
  <c r="AF257" i="34"/>
  <c r="AF260" i="34"/>
  <c r="AF262" i="34"/>
  <c r="AF263" i="34"/>
  <c r="AF265" i="34"/>
  <c r="AF272" i="34"/>
  <c r="AF288" i="34"/>
  <c r="AG234" i="34"/>
  <c r="AG237" i="34"/>
  <c r="AG254" i="34"/>
  <c r="AG255" i="34"/>
  <c r="AG257" i="34"/>
  <c r="AG260" i="34"/>
  <c r="AG262" i="34"/>
  <c r="AG263" i="34"/>
  <c r="AG265" i="34"/>
  <c r="AG272" i="34"/>
  <c r="AG288" i="34"/>
  <c r="D219" i="34"/>
  <c r="D220" i="34"/>
  <c r="D235" i="34"/>
  <c r="D261" i="34"/>
  <c r="D290" i="34"/>
  <c r="D299" i="34"/>
  <c r="D335" i="34"/>
  <c r="D344" i="34"/>
  <c r="D351" i="34"/>
  <c r="I219" i="34"/>
  <c r="I220" i="34"/>
  <c r="M219" i="34"/>
  <c r="M220" i="34"/>
  <c r="N219" i="34"/>
  <c r="N220" i="34"/>
  <c r="O219" i="34"/>
  <c r="O220" i="34"/>
  <c r="O235" i="34"/>
  <c r="O261" i="34"/>
  <c r="O290" i="34"/>
  <c r="O299" i="34"/>
  <c r="O335" i="34"/>
  <c r="O344" i="34"/>
  <c r="O351" i="34"/>
  <c r="P219" i="34"/>
  <c r="P220" i="34"/>
  <c r="P235" i="34"/>
  <c r="P261" i="34"/>
  <c r="P290" i="34"/>
  <c r="P299" i="34"/>
  <c r="P335" i="34"/>
  <c r="P344" i="34"/>
  <c r="P351" i="34"/>
  <c r="Q219" i="34"/>
  <c r="Q220" i="34"/>
  <c r="Q235" i="34"/>
  <c r="Q261" i="34"/>
  <c r="Q290" i="34"/>
  <c r="Q299" i="34"/>
  <c r="Q335" i="34"/>
  <c r="Q344" i="34"/>
  <c r="Q351" i="34"/>
  <c r="M233" i="34"/>
  <c r="I233" i="34"/>
  <c r="N233" i="34"/>
  <c r="M232" i="34"/>
  <c r="I232" i="34"/>
  <c r="N232" i="34"/>
  <c r="M231" i="34"/>
  <c r="I231" i="34"/>
  <c r="N231" i="34"/>
  <c r="M230" i="34"/>
  <c r="I230" i="34"/>
  <c r="N230" i="34"/>
  <c r="M229" i="34"/>
  <c r="I229" i="34"/>
  <c r="N229" i="34"/>
  <c r="M228" i="34"/>
  <c r="I228" i="34"/>
  <c r="N228" i="34"/>
  <c r="M227" i="34"/>
  <c r="I227" i="34"/>
  <c r="N227" i="34"/>
  <c r="M226" i="34"/>
  <c r="I226" i="34"/>
  <c r="N226" i="34"/>
  <c r="M225" i="34"/>
  <c r="I225" i="34"/>
  <c r="N225" i="34"/>
  <c r="M224" i="34"/>
  <c r="I224" i="34"/>
  <c r="N224" i="34"/>
  <c r="M223" i="34"/>
  <c r="I223" i="34"/>
  <c r="N223" i="34"/>
  <c r="M222" i="34"/>
  <c r="I222" i="34"/>
  <c r="N222" i="34"/>
  <c r="M221" i="34"/>
  <c r="I221" i="34"/>
  <c r="N221" i="34"/>
  <c r="V219" i="34"/>
  <c r="V220" i="34"/>
  <c r="V235" i="34"/>
  <c r="V261" i="34"/>
  <c r="V290" i="34"/>
  <c r="V299" i="34"/>
  <c r="V335" i="34"/>
  <c r="V344" i="34"/>
  <c r="V351" i="34"/>
  <c r="W219" i="34"/>
  <c r="W220" i="34"/>
  <c r="W235" i="34"/>
  <c r="W261" i="34"/>
  <c r="W290" i="34"/>
  <c r="W299" i="34"/>
  <c r="W335" i="34"/>
  <c r="W344" i="34"/>
  <c r="W351" i="34"/>
  <c r="X219" i="34"/>
  <c r="X220" i="34"/>
  <c r="X235" i="34"/>
  <c r="X261" i="34"/>
  <c r="X290" i="34"/>
  <c r="X299" i="34"/>
  <c r="X335" i="34"/>
  <c r="X344" i="34"/>
  <c r="X351" i="34"/>
  <c r="Y219" i="34"/>
  <c r="Y220" i="34"/>
  <c r="Y235" i="34"/>
  <c r="Y261" i="34"/>
  <c r="Y290" i="34"/>
  <c r="Y299" i="34"/>
  <c r="Y335" i="34"/>
  <c r="Y344" i="34"/>
  <c r="Y351" i="34"/>
  <c r="Z219" i="34"/>
  <c r="Z220" i="34"/>
  <c r="Z235" i="34"/>
  <c r="Z261" i="34"/>
  <c r="Z290" i="34"/>
  <c r="Z299" i="34"/>
  <c r="Z335" i="34"/>
  <c r="Z344" i="34"/>
  <c r="Z351" i="34"/>
  <c r="AA219" i="34"/>
  <c r="AA220" i="34"/>
  <c r="AA235" i="34"/>
  <c r="AA261" i="34"/>
  <c r="AA290" i="34"/>
  <c r="AA299" i="34"/>
  <c r="AA335" i="34"/>
  <c r="AA344" i="34"/>
  <c r="AA351" i="34"/>
  <c r="AB219" i="34"/>
  <c r="AB220" i="34"/>
  <c r="AB235" i="34"/>
  <c r="AB261" i="34"/>
  <c r="AB290" i="34"/>
  <c r="AB299" i="34"/>
  <c r="AB335" i="34"/>
  <c r="AB344" i="34"/>
  <c r="AB351" i="34"/>
  <c r="AC219" i="34"/>
  <c r="AC220" i="34"/>
  <c r="AC235" i="34"/>
  <c r="AC261" i="34"/>
  <c r="AC290" i="34"/>
  <c r="AC299" i="34"/>
  <c r="AC335" i="34"/>
  <c r="AC344" i="34"/>
  <c r="AC351" i="34"/>
  <c r="AD219" i="34"/>
  <c r="AD220" i="34"/>
  <c r="AD235" i="34"/>
  <c r="AD261" i="34"/>
  <c r="AD290" i="34"/>
  <c r="AD299" i="34"/>
  <c r="AD335" i="34"/>
  <c r="AD344" i="34"/>
  <c r="AD351" i="34"/>
  <c r="AE219" i="34"/>
  <c r="AE220" i="34"/>
  <c r="AE235" i="34"/>
  <c r="AE261" i="34"/>
  <c r="AE290" i="34"/>
  <c r="AE299" i="34"/>
  <c r="AE335" i="34"/>
  <c r="AE344" i="34"/>
  <c r="AE351" i="34"/>
  <c r="AF219" i="34"/>
  <c r="AF220" i="34"/>
  <c r="AF235" i="34"/>
  <c r="AF261" i="34"/>
  <c r="AF290" i="34"/>
  <c r="AF299" i="34"/>
  <c r="AF335" i="34"/>
  <c r="AF344" i="34"/>
  <c r="AF351" i="34"/>
  <c r="AG219" i="34"/>
  <c r="AG220" i="34"/>
  <c r="AG235" i="34"/>
  <c r="AG261" i="34"/>
  <c r="AG290" i="34"/>
  <c r="AG299" i="34"/>
  <c r="AG335" i="34"/>
  <c r="AG344" i="34"/>
  <c r="AG351" i="34"/>
  <c r="D30" i="34"/>
  <c r="D44" i="34"/>
  <c r="D88" i="34"/>
  <c r="D119" i="34"/>
  <c r="D147" i="34"/>
  <c r="D158" i="34"/>
  <c r="D160" i="34"/>
  <c r="D169" i="34"/>
  <c r="D170" i="34"/>
  <c r="D190" i="34"/>
  <c r="D249" i="34"/>
  <c r="D269" i="34"/>
  <c r="D289" i="34"/>
  <c r="D294" i="34"/>
  <c r="D319" i="34"/>
  <c r="D347" i="34"/>
  <c r="D367" i="34"/>
  <c r="D391" i="34"/>
  <c r="D430" i="34"/>
  <c r="I30" i="34"/>
  <c r="I44" i="34"/>
  <c r="I88" i="34"/>
  <c r="I119" i="34"/>
  <c r="I147" i="34"/>
  <c r="I158" i="34"/>
  <c r="I160" i="34"/>
  <c r="I169" i="34"/>
  <c r="I170" i="34"/>
  <c r="I190" i="34"/>
  <c r="M30" i="34"/>
  <c r="M44" i="34"/>
  <c r="M88" i="34"/>
  <c r="M119" i="34"/>
  <c r="M147" i="34"/>
  <c r="M158" i="34"/>
  <c r="M160" i="34"/>
  <c r="M169" i="34"/>
  <c r="M170" i="34"/>
  <c r="M190" i="34"/>
  <c r="N30" i="34"/>
  <c r="N44" i="34"/>
  <c r="N88" i="34"/>
  <c r="N119" i="34"/>
  <c r="N147" i="34"/>
  <c r="N158" i="34"/>
  <c r="N160" i="34"/>
  <c r="N169" i="34"/>
  <c r="N170" i="34"/>
  <c r="N190" i="34"/>
  <c r="O30" i="34"/>
  <c r="O44" i="34"/>
  <c r="O88" i="34"/>
  <c r="O119" i="34"/>
  <c r="O147" i="34"/>
  <c r="O158" i="34"/>
  <c r="O160" i="34"/>
  <c r="O169" i="34"/>
  <c r="O170" i="34"/>
  <c r="O190" i="34"/>
  <c r="O249" i="34"/>
  <c r="O269" i="34"/>
  <c r="O289" i="34"/>
  <c r="O294" i="34"/>
  <c r="O319" i="34"/>
  <c r="O347" i="34"/>
  <c r="O367" i="34"/>
  <c r="O391" i="34"/>
  <c r="O430" i="34"/>
  <c r="P30" i="34"/>
  <c r="P44" i="34"/>
  <c r="P88" i="34"/>
  <c r="P119" i="34"/>
  <c r="P147" i="34"/>
  <c r="P158" i="34"/>
  <c r="P160" i="34"/>
  <c r="P169" i="34"/>
  <c r="P170" i="34"/>
  <c r="P190" i="34"/>
  <c r="P249" i="34"/>
  <c r="P269" i="34"/>
  <c r="P289" i="34"/>
  <c r="P294" i="34"/>
  <c r="P319" i="34"/>
  <c r="P347" i="34"/>
  <c r="P367" i="34"/>
  <c r="P391" i="34"/>
  <c r="P430" i="34"/>
  <c r="Q30" i="34"/>
  <c r="Q44" i="34"/>
  <c r="Q88" i="34"/>
  <c r="Q119" i="34"/>
  <c r="Q147" i="34"/>
  <c r="Q158" i="34"/>
  <c r="Q160" i="34"/>
  <c r="Q169" i="34"/>
  <c r="Q170" i="34"/>
  <c r="Q190" i="34"/>
  <c r="Q249" i="34"/>
  <c r="Q269" i="34"/>
  <c r="Q289" i="34"/>
  <c r="Q294" i="34"/>
  <c r="Q319" i="34"/>
  <c r="Q347" i="34"/>
  <c r="Q367" i="34"/>
  <c r="Q391" i="34"/>
  <c r="Q430" i="34"/>
  <c r="M218" i="34"/>
  <c r="I218" i="34"/>
  <c r="N218" i="34"/>
  <c r="M217" i="34"/>
  <c r="I217" i="34"/>
  <c r="N217" i="34"/>
  <c r="M216" i="34"/>
  <c r="I216" i="34"/>
  <c r="N216" i="34"/>
  <c r="M215" i="34"/>
  <c r="I215" i="34"/>
  <c r="N215" i="34"/>
  <c r="M214" i="34"/>
  <c r="I214" i="34"/>
  <c r="N214" i="34"/>
  <c r="M213" i="34"/>
  <c r="I213" i="34"/>
  <c r="N213" i="34"/>
  <c r="M212" i="34"/>
  <c r="I212" i="34"/>
  <c r="N212" i="34"/>
  <c r="M211" i="34"/>
  <c r="I211" i="34"/>
  <c r="N211" i="34"/>
  <c r="M210" i="34"/>
  <c r="I210" i="34"/>
  <c r="N210" i="34"/>
  <c r="M209" i="34"/>
  <c r="I209" i="34"/>
  <c r="N209" i="34"/>
  <c r="M208" i="34"/>
  <c r="I208" i="34"/>
  <c r="N208" i="34"/>
  <c r="M207" i="34"/>
  <c r="I207" i="34"/>
  <c r="N207" i="34"/>
  <c r="M206" i="34"/>
  <c r="I206" i="34"/>
  <c r="N206" i="34"/>
  <c r="M205" i="34"/>
  <c r="I205" i="34"/>
  <c r="N205" i="34"/>
  <c r="M204" i="34"/>
  <c r="I204" i="34"/>
  <c r="N204" i="34"/>
  <c r="M203" i="34"/>
  <c r="I203" i="34"/>
  <c r="N203" i="34"/>
  <c r="M202" i="34"/>
  <c r="I202" i="34"/>
  <c r="N202" i="34"/>
  <c r="M201" i="34"/>
  <c r="I201" i="34"/>
  <c r="N201" i="34"/>
  <c r="M200" i="34"/>
  <c r="I200" i="34"/>
  <c r="N200" i="34"/>
  <c r="M199" i="34"/>
  <c r="I199" i="34"/>
  <c r="N199" i="34"/>
  <c r="M198" i="34"/>
  <c r="I198" i="34"/>
  <c r="N198" i="34"/>
  <c r="M197" i="34"/>
  <c r="I197" i="34"/>
  <c r="N197" i="34"/>
  <c r="M196" i="34"/>
  <c r="I196" i="34"/>
  <c r="N196" i="34"/>
  <c r="M195" i="34"/>
  <c r="I195" i="34"/>
  <c r="N195" i="34"/>
  <c r="M194" i="34"/>
  <c r="I194" i="34"/>
  <c r="N194" i="34"/>
  <c r="M193" i="34"/>
  <c r="I193" i="34"/>
  <c r="N193" i="34"/>
  <c r="M192" i="34"/>
  <c r="I192" i="34"/>
  <c r="N192" i="34"/>
  <c r="M191" i="34"/>
  <c r="I191" i="34"/>
  <c r="N191" i="34"/>
  <c r="M189" i="34"/>
  <c r="I189" i="34"/>
  <c r="N189" i="34"/>
  <c r="M188" i="34"/>
  <c r="I188" i="34"/>
  <c r="N188" i="34"/>
  <c r="M187" i="34"/>
  <c r="I187" i="34"/>
  <c r="N187" i="34"/>
  <c r="M186" i="34"/>
  <c r="I186" i="34"/>
  <c r="N186" i="34"/>
  <c r="M185" i="34"/>
  <c r="I185" i="34"/>
  <c r="N185" i="34"/>
  <c r="M184" i="34"/>
  <c r="I184" i="34"/>
  <c r="N184" i="34"/>
  <c r="M183" i="34"/>
  <c r="I183" i="34"/>
  <c r="N183" i="34"/>
  <c r="M182" i="34"/>
  <c r="I182" i="34"/>
  <c r="N182" i="34"/>
  <c r="M181" i="34"/>
  <c r="I181" i="34"/>
  <c r="N181" i="34"/>
  <c r="M180" i="34"/>
  <c r="I180" i="34"/>
  <c r="N180" i="34"/>
  <c r="M179" i="34"/>
  <c r="I179" i="34"/>
  <c r="N179" i="34"/>
  <c r="M178" i="34"/>
  <c r="I178" i="34"/>
  <c r="N178" i="34"/>
  <c r="M177" i="34"/>
  <c r="I177" i="34"/>
  <c r="N177" i="34"/>
  <c r="M176" i="34"/>
  <c r="I176" i="34"/>
  <c r="N176" i="34"/>
  <c r="M175" i="34"/>
  <c r="I175" i="34"/>
  <c r="N175" i="34"/>
  <c r="M174" i="34"/>
  <c r="I174" i="34"/>
  <c r="N174" i="34"/>
  <c r="M173" i="34"/>
  <c r="I173" i="34"/>
  <c r="N173" i="34"/>
  <c r="M172" i="34"/>
  <c r="I172" i="34"/>
  <c r="N172" i="34"/>
  <c r="M171" i="34"/>
  <c r="I171" i="34"/>
  <c r="N171" i="34"/>
  <c r="M168" i="34"/>
  <c r="I168" i="34"/>
  <c r="N168" i="34"/>
  <c r="M167" i="34"/>
  <c r="I167" i="34"/>
  <c r="N167" i="34"/>
  <c r="M166" i="34"/>
  <c r="I166" i="34"/>
  <c r="N166" i="34"/>
  <c r="M165" i="34"/>
  <c r="I165" i="34"/>
  <c r="N165" i="34"/>
  <c r="M164" i="34"/>
  <c r="I164" i="34"/>
  <c r="N164" i="34"/>
  <c r="M163" i="34"/>
  <c r="I163" i="34"/>
  <c r="N163" i="34"/>
  <c r="M162" i="34"/>
  <c r="I162" i="34"/>
  <c r="N162" i="34"/>
  <c r="M161" i="34"/>
  <c r="I161" i="34"/>
  <c r="N161" i="34"/>
  <c r="M159" i="34"/>
  <c r="I159" i="34"/>
  <c r="N159" i="34"/>
  <c r="M157" i="34"/>
  <c r="I157" i="34"/>
  <c r="N157" i="34"/>
  <c r="M156" i="34"/>
  <c r="I156" i="34"/>
  <c r="N156" i="34"/>
  <c r="M155" i="34"/>
  <c r="I155" i="34"/>
  <c r="N155" i="34"/>
  <c r="M154" i="34"/>
  <c r="I154" i="34"/>
  <c r="N154" i="34"/>
  <c r="M153" i="34"/>
  <c r="I153" i="34"/>
  <c r="N153" i="34"/>
  <c r="M152" i="34"/>
  <c r="I152" i="34"/>
  <c r="N152" i="34"/>
  <c r="M151" i="34"/>
  <c r="I151" i="34"/>
  <c r="N151" i="34"/>
  <c r="M150" i="34"/>
  <c r="I150" i="34"/>
  <c r="N150" i="34"/>
  <c r="M149" i="34"/>
  <c r="I149" i="34"/>
  <c r="N149" i="34"/>
  <c r="M148" i="34"/>
  <c r="I148" i="34"/>
  <c r="N148" i="34"/>
  <c r="M146" i="34"/>
  <c r="I146" i="34"/>
  <c r="N146" i="34"/>
  <c r="M145" i="34"/>
  <c r="I145" i="34"/>
  <c r="N145" i="34"/>
  <c r="M144" i="34"/>
  <c r="I144" i="34"/>
  <c r="N144" i="34"/>
  <c r="M143" i="34"/>
  <c r="I143" i="34"/>
  <c r="N143" i="34"/>
  <c r="M142" i="34"/>
  <c r="I142" i="34"/>
  <c r="N142" i="34"/>
  <c r="M141" i="34"/>
  <c r="I141" i="34"/>
  <c r="N141" i="34"/>
  <c r="M140" i="34"/>
  <c r="I140" i="34"/>
  <c r="N140" i="34"/>
  <c r="M139" i="34"/>
  <c r="I139" i="34"/>
  <c r="N139" i="34"/>
  <c r="M138" i="34"/>
  <c r="I138" i="34"/>
  <c r="N138" i="34"/>
  <c r="M137" i="34"/>
  <c r="I137" i="34"/>
  <c r="N137" i="34"/>
  <c r="M136" i="34"/>
  <c r="I136" i="34"/>
  <c r="N136" i="34"/>
  <c r="M135" i="34"/>
  <c r="I135" i="34"/>
  <c r="N135" i="34"/>
  <c r="M134" i="34"/>
  <c r="I134" i="34"/>
  <c r="N134" i="34"/>
  <c r="M133" i="34"/>
  <c r="I133" i="34"/>
  <c r="N133" i="34"/>
  <c r="M132" i="34"/>
  <c r="I132" i="34"/>
  <c r="N132" i="34"/>
  <c r="M131" i="34"/>
  <c r="I131" i="34"/>
  <c r="N131" i="34"/>
  <c r="M130" i="34"/>
  <c r="I130" i="34"/>
  <c r="N130" i="34"/>
  <c r="M129" i="34"/>
  <c r="I129" i="34"/>
  <c r="N129" i="34"/>
  <c r="M128" i="34"/>
  <c r="I128" i="34"/>
  <c r="N128" i="34"/>
  <c r="M127" i="34"/>
  <c r="I127" i="34"/>
  <c r="N127" i="34"/>
  <c r="M126" i="34"/>
  <c r="I126" i="34"/>
  <c r="N126" i="34"/>
  <c r="M125" i="34"/>
  <c r="I125" i="34"/>
  <c r="N125" i="34"/>
  <c r="M124" i="34"/>
  <c r="I124" i="34"/>
  <c r="N124" i="34"/>
  <c r="M123" i="34"/>
  <c r="I123" i="34"/>
  <c r="N123" i="34"/>
  <c r="M122" i="34"/>
  <c r="I122" i="34"/>
  <c r="N122" i="34"/>
  <c r="M121" i="34"/>
  <c r="I121" i="34"/>
  <c r="N121" i="34"/>
  <c r="M120" i="34"/>
  <c r="I120" i="34"/>
  <c r="N120" i="34"/>
  <c r="M118" i="34"/>
  <c r="I118" i="34"/>
  <c r="N118" i="34"/>
  <c r="M117" i="34"/>
  <c r="I117" i="34"/>
  <c r="N117" i="34"/>
  <c r="M116" i="34"/>
  <c r="I116" i="34"/>
  <c r="N116" i="34"/>
  <c r="M115" i="34"/>
  <c r="I115" i="34"/>
  <c r="N115" i="34"/>
  <c r="M114" i="34"/>
  <c r="I114" i="34"/>
  <c r="N114" i="34"/>
  <c r="M113" i="34"/>
  <c r="I113" i="34"/>
  <c r="N113" i="34"/>
  <c r="M112" i="34"/>
  <c r="I112" i="34"/>
  <c r="N112" i="34"/>
  <c r="M111" i="34"/>
  <c r="I111" i="34"/>
  <c r="N111" i="34"/>
  <c r="M110" i="34"/>
  <c r="I110" i="34"/>
  <c r="N110" i="34"/>
  <c r="M109" i="34"/>
  <c r="I109" i="34"/>
  <c r="N109" i="34"/>
  <c r="M108" i="34"/>
  <c r="I108" i="34"/>
  <c r="N108" i="34"/>
  <c r="M107" i="34"/>
  <c r="I107" i="34"/>
  <c r="N107" i="34"/>
  <c r="M106" i="34"/>
  <c r="I106" i="34"/>
  <c r="N106" i="34"/>
  <c r="M105" i="34"/>
  <c r="I105" i="34"/>
  <c r="N105" i="34"/>
  <c r="M104" i="34"/>
  <c r="I104" i="34"/>
  <c r="N104" i="34"/>
  <c r="M103" i="34"/>
  <c r="I103" i="34"/>
  <c r="N103" i="34"/>
  <c r="M102" i="34"/>
  <c r="I102" i="34"/>
  <c r="N102" i="34"/>
  <c r="M101" i="34"/>
  <c r="I101" i="34"/>
  <c r="N101" i="34"/>
  <c r="M100" i="34"/>
  <c r="I100" i="34"/>
  <c r="N100" i="34"/>
  <c r="M99" i="34"/>
  <c r="I99" i="34"/>
  <c r="N99" i="34"/>
  <c r="M98" i="34"/>
  <c r="I98" i="34"/>
  <c r="N98" i="34"/>
  <c r="M97" i="34"/>
  <c r="I97" i="34"/>
  <c r="N97" i="34"/>
  <c r="M96" i="34"/>
  <c r="I96" i="34"/>
  <c r="N96" i="34"/>
  <c r="M95" i="34"/>
  <c r="I95" i="34"/>
  <c r="N95" i="34"/>
  <c r="M94" i="34"/>
  <c r="I94" i="34"/>
  <c r="N94" i="34"/>
  <c r="M93" i="34"/>
  <c r="I93" i="34"/>
  <c r="N93" i="34"/>
  <c r="M92" i="34"/>
  <c r="I92" i="34"/>
  <c r="N92" i="34"/>
  <c r="M91" i="34"/>
  <c r="I91" i="34"/>
  <c r="N91" i="34"/>
  <c r="M90" i="34"/>
  <c r="I90" i="34"/>
  <c r="N90" i="34"/>
  <c r="M89" i="34"/>
  <c r="I89" i="34"/>
  <c r="N89" i="34"/>
  <c r="M87" i="34"/>
  <c r="I87" i="34"/>
  <c r="N87" i="34"/>
  <c r="M86" i="34"/>
  <c r="I86" i="34"/>
  <c r="N86" i="34"/>
  <c r="M85" i="34"/>
  <c r="I85" i="34"/>
  <c r="N85" i="34"/>
  <c r="M84" i="34"/>
  <c r="I84" i="34"/>
  <c r="N84" i="34"/>
  <c r="M83" i="34"/>
  <c r="I83" i="34"/>
  <c r="N83" i="34"/>
  <c r="M82" i="34"/>
  <c r="I82" i="34"/>
  <c r="N82" i="34"/>
  <c r="M81" i="34"/>
  <c r="I81" i="34"/>
  <c r="N81" i="34"/>
  <c r="M80" i="34"/>
  <c r="I80" i="34"/>
  <c r="N80" i="34"/>
  <c r="M79" i="34"/>
  <c r="I79" i="34"/>
  <c r="N79" i="34"/>
  <c r="M78" i="34"/>
  <c r="I78" i="34"/>
  <c r="N78" i="34"/>
  <c r="M77" i="34"/>
  <c r="I77" i="34"/>
  <c r="N77" i="34"/>
  <c r="M76" i="34"/>
  <c r="I76" i="34"/>
  <c r="N76" i="34"/>
  <c r="M75" i="34"/>
  <c r="I75" i="34"/>
  <c r="N75" i="34"/>
  <c r="M74" i="34"/>
  <c r="I74" i="34"/>
  <c r="N74" i="34"/>
  <c r="M73" i="34"/>
  <c r="I73" i="34"/>
  <c r="N73" i="34"/>
  <c r="M72" i="34"/>
  <c r="I72" i="34"/>
  <c r="N72" i="34"/>
  <c r="M71" i="34"/>
  <c r="I71" i="34"/>
  <c r="N71" i="34"/>
  <c r="M70" i="34"/>
  <c r="I70" i="34"/>
  <c r="N70" i="34"/>
  <c r="M69" i="34"/>
  <c r="I69" i="34"/>
  <c r="N69" i="34"/>
  <c r="M68" i="34"/>
  <c r="I68" i="34"/>
  <c r="N68" i="34"/>
  <c r="M67" i="34"/>
  <c r="I67" i="34"/>
  <c r="N67" i="34"/>
  <c r="M66" i="34"/>
  <c r="I66" i="34"/>
  <c r="N66" i="34"/>
  <c r="M65" i="34"/>
  <c r="I65" i="34"/>
  <c r="N65" i="34"/>
  <c r="M64" i="34"/>
  <c r="I64" i="34"/>
  <c r="N64" i="34"/>
  <c r="M63" i="34"/>
  <c r="I63" i="34"/>
  <c r="N63" i="34"/>
  <c r="M62" i="34"/>
  <c r="I62" i="34"/>
  <c r="N62" i="34"/>
  <c r="M61" i="34"/>
  <c r="I61" i="34"/>
  <c r="N61" i="34"/>
  <c r="M60" i="34"/>
  <c r="I60" i="34"/>
  <c r="N60" i="34"/>
  <c r="M59" i="34"/>
  <c r="I59" i="34"/>
  <c r="N59" i="34"/>
  <c r="M58" i="34"/>
  <c r="I58" i="34"/>
  <c r="N58" i="34"/>
  <c r="M57" i="34"/>
  <c r="I57" i="34"/>
  <c r="N57" i="34"/>
  <c r="M56" i="34"/>
  <c r="I56" i="34"/>
  <c r="N56" i="34"/>
  <c r="M55" i="34"/>
  <c r="I55" i="34"/>
  <c r="N55" i="34"/>
  <c r="M54" i="34"/>
  <c r="I54" i="34"/>
  <c r="N54" i="34"/>
  <c r="M53" i="34"/>
  <c r="I53" i="34"/>
  <c r="N53" i="34"/>
  <c r="M52" i="34"/>
  <c r="I52" i="34"/>
  <c r="N52" i="34"/>
  <c r="M51" i="34"/>
  <c r="I51" i="34"/>
  <c r="N51" i="34"/>
  <c r="M50" i="34"/>
  <c r="I50" i="34"/>
  <c r="N50" i="34"/>
  <c r="M49" i="34"/>
  <c r="I49" i="34"/>
  <c r="N49" i="34"/>
  <c r="M48" i="34"/>
  <c r="I48" i="34"/>
  <c r="N48" i="34"/>
  <c r="M47" i="34"/>
  <c r="I47" i="34"/>
  <c r="N47" i="34"/>
  <c r="M46" i="34"/>
  <c r="I46" i="34"/>
  <c r="N46" i="34"/>
  <c r="M45" i="34"/>
  <c r="I45" i="34"/>
  <c r="N45" i="34"/>
  <c r="M43" i="34"/>
  <c r="I43" i="34"/>
  <c r="N43" i="34"/>
  <c r="M42" i="34"/>
  <c r="I42" i="34"/>
  <c r="N42" i="34"/>
  <c r="M41" i="34"/>
  <c r="I41" i="34"/>
  <c r="N41" i="34"/>
  <c r="M40" i="34"/>
  <c r="I40" i="34"/>
  <c r="N40" i="34"/>
  <c r="M39" i="34"/>
  <c r="I39" i="34"/>
  <c r="N39" i="34"/>
  <c r="M38" i="34"/>
  <c r="I38" i="34"/>
  <c r="N38" i="34"/>
  <c r="M37" i="34"/>
  <c r="I37" i="34"/>
  <c r="N37" i="34"/>
  <c r="M36" i="34"/>
  <c r="I36" i="34"/>
  <c r="N36" i="34"/>
  <c r="M35" i="34"/>
  <c r="I35" i="34"/>
  <c r="N35" i="34"/>
  <c r="M34" i="34"/>
  <c r="I34" i="34"/>
  <c r="N34" i="34"/>
  <c r="M33" i="34"/>
  <c r="I33" i="34"/>
  <c r="N33" i="34"/>
  <c r="M32" i="34"/>
  <c r="I32" i="34"/>
  <c r="N32" i="34"/>
  <c r="M31" i="34"/>
  <c r="I31" i="34"/>
  <c r="N31" i="34"/>
  <c r="V30" i="34"/>
  <c r="V44" i="34"/>
  <c r="V88" i="34"/>
  <c r="V119" i="34"/>
  <c r="V147" i="34"/>
  <c r="V158" i="34"/>
  <c r="V160" i="34"/>
  <c r="V169" i="34"/>
  <c r="V170" i="34"/>
  <c r="V190" i="34"/>
  <c r="V249" i="34"/>
  <c r="V269" i="34"/>
  <c r="V289" i="34"/>
  <c r="V294" i="34"/>
  <c r="V319" i="34"/>
  <c r="V347" i="34"/>
  <c r="V367" i="34"/>
  <c r="V391" i="34"/>
  <c r="V430" i="34"/>
  <c r="W30" i="34"/>
  <c r="W44" i="34"/>
  <c r="W88" i="34"/>
  <c r="W119" i="34"/>
  <c r="W147" i="34"/>
  <c r="W158" i="34"/>
  <c r="W160" i="34"/>
  <c r="W169" i="34"/>
  <c r="W170" i="34"/>
  <c r="W190" i="34"/>
  <c r="W249" i="34"/>
  <c r="W269" i="34"/>
  <c r="W289" i="34"/>
  <c r="W294" i="34"/>
  <c r="W319" i="34"/>
  <c r="W347" i="34"/>
  <c r="W367" i="34"/>
  <c r="W391" i="34"/>
  <c r="W430" i="34"/>
  <c r="X30" i="34"/>
  <c r="X44" i="34"/>
  <c r="X88" i="34"/>
  <c r="X119" i="34"/>
  <c r="X147" i="34"/>
  <c r="X158" i="34"/>
  <c r="X160" i="34"/>
  <c r="X169" i="34"/>
  <c r="X170" i="34"/>
  <c r="X190" i="34"/>
  <c r="X249" i="34"/>
  <c r="X269" i="34"/>
  <c r="X289" i="34"/>
  <c r="X294" i="34"/>
  <c r="X319" i="34"/>
  <c r="X347" i="34"/>
  <c r="X367" i="34"/>
  <c r="X391" i="34"/>
  <c r="X430" i="34"/>
  <c r="Y30" i="34"/>
  <c r="Y44" i="34"/>
  <c r="Y88" i="34"/>
  <c r="Y119" i="34"/>
  <c r="Y147" i="34"/>
  <c r="Y158" i="34"/>
  <c r="Y160" i="34"/>
  <c r="Y169" i="34"/>
  <c r="Y170" i="34"/>
  <c r="Y190" i="34"/>
  <c r="Y249" i="34"/>
  <c r="Y269" i="34"/>
  <c r="Y289" i="34"/>
  <c r="Y294" i="34"/>
  <c r="Y319" i="34"/>
  <c r="Y347" i="34"/>
  <c r="Y367" i="34"/>
  <c r="Y391" i="34"/>
  <c r="Y430" i="34"/>
  <c r="Z30" i="34"/>
  <c r="Z44" i="34"/>
  <c r="Z88" i="34"/>
  <c r="Z119" i="34"/>
  <c r="Z147" i="34"/>
  <c r="Z158" i="34"/>
  <c r="Z160" i="34"/>
  <c r="Z169" i="34"/>
  <c r="Z170" i="34"/>
  <c r="Z190" i="34"/>
  <c r="Z249" i="34"/>
  <c r="Z269" i="34"/>
  <c r="Z289" i="34"/>
  <c r="Z294" i="34"/>
  <c r="Z319" i="34"/>
  <c r="Z347" i="34"/>
  <c r="Z367" i="34"/>
  <c r="Z391" i="34"/>
  <c r="Z430" i="34"/>
  <c r="AA30" i="34"/>
  <c r="AA44" i="34"/>
  <c r="AA88" i="34"/>
  <c r="AA119" i="34"/>
  <c r="AA147" i="34"/>
  <c r="AA158" i="34"/>
  <c r="AA160" i="34"/>
  <c r="AA169" i="34"/>
  <c r="AA170" i="34"/>
  <c r="AA190" i="34"/>
  <c r="AA249" i="34"/>
  <c r="AA269" i="34"/>
  <c r="AA289" i="34"/>
  <c r="AA294" i="34"/>
  <c r="AA319" i="34"/>
  <c r="AA347" i="34"/>
  <c r="AA367" i="34"/>
  <c r="AA391" i="34"/>
  <c r="AA430" i="34"/>
  <c r="AB30" i="34"/>
  <c r="AB44" i="34"/>
  <c r="AB88" i="34"/>
  <c r="AB119" i="34"/>
  <c r="AB147" i="34"/>
  <c r="AB158" i="34"/>
  <c r="AB160" i="34"/>
  <c r="AB169" i="34"/>
  <c r="AB170" i="34"/>
  <c r="AB190" i="34"/>
  <c r="AB249" i="34"/>
  <c r="AB269" i="34"/>
  <c r="AB289" i="34"/>
  <c r="AB294" i="34"/>
  <c r="AB319" i="34"/>
  <c r="AB347" i="34"/>
  <c r="AB367" i="34"/>
  <c r="AB391" i="34"/>
  <c r="AB430" i="34"/>
  <c r="AC30" i="34"/>
  <c r="AC44" i="34"/>
  <c r="AC88" i="34"/>
  <c r="AC119" i="34"/>
  <c r="AC147" i="34"/>
  <c r="AC158" i="34"/>
  <c r="AC160" i="34"/>
  <c r="AC169" i="34"/>
  <c r="AC170" i="34"/>
  <c r="AC190" i="34"/>
  <c r="AC249" i="34"/>
  <c r="AC269" i="34"/>
  <c r="AC289" i="34"/>
  <c r="AC294" i="34"/>
  <c r="AC319" i="34"/>
  <c r="AC347" i="34"/>
  <c r="AC367" i="34"/>
  <c r="AC391" i="34"/>
  <c r="AC430" i="34"/>
  <c r="AD30" i="34"/>
  <c r="AD44" i="34"/>
  <c r="AD88" i="34"/>
  <c r="AD119" i="34"/>
  <c r="AD147" i="34"/>
  <c r="AD158" i="34"/>
  <c r="AD160" i="34"/>
  <c r="AD169" i="34"/>
  <c r="AD170" i="34"/>
  <c r="AD190" i="34"/>
  <c r="AD249" i="34"/>
  <c r="AD269" i="34"/>
  <c r="AD289" i="34"/>
  <c r="AD294" i="34"/>
  <c r="AD319" i="34"/>
  <c r="AD347" i="34"/>
  <c r="AD367" i="34"/>
  <c r="AD391" i="34"/>
  <c r="AD430" i="34"/>
  <c r="AE30" i="34"/>
  <c r="AE44" i="34"/>
  <c r="AE88" i="34"/>
  <c r="AE119" i="34"/>
  <c r="AE147" i="34"/>
  <c r="AE158" i="34"/>
  <c r="AE160" i="34"/>
  <c r="AE169" i="34"/>
  <c r="AE170" i="34"/>
  <c r="AE190" i="34"/>
  <c r="AE249" i="34"/>
  <c r="AE269" i="34"/>
  <c r="AE289" i="34"/>
  <c r="AE294" i="34"/>
  <c r="AE319" i="34"/>
  <c r="AE347" i="34"/>
  <c r="AE367" i="34"/>
  <c r="AE391" i="34"/>
  <c r="AE430" i="34"/>
  <c r="AF30" i="34"/>
  <c r="AF44" i="34"/>
  <c r="AF88" i="34"/>
  <c r="AF119" i="34"/>
  <c r="AF147" i="34"/>
  <c r="AF158" i="34"/>
  <c r="AF160" i="34"/>
  <c r="AF169" i="34"/>
  <c r="AF170" i="34"/>
  <c r="AF190" i="34"/>
  <c r="AF249" i="34"/>
  <c r="AF269" i="34"/>
  <c r="AF289" i="34"/>
  <c r="AF294" i="34"/>
  <c r="AF319" i="34"/>
  <c r="AF347" i="34"/>
  <c r="AF367" i="34"/>
  <c r="AF391" i="34"/>
  <c r="AF430" i="34"/>
  <c r="AG30" i="34"/>
  <c r="AG44" i="34"/>
  <c r="AG88" i="34"/>
  <c r="AG119" i="34"/>
  <c r="AG147" i="34"/>
  <c r="AG158" i="34"/>
  <c r="AG160" i="34"/>
  <c r="AG169" i="34"/>
  <c r="AG170" i="34"/>
  <c r="AG190" i="34"/>
  <c r="AG249" i="34"/>
  <c r="AG269" i="34"/>
  <c r="AG289" i="34"/>
  <c r="AG294" i="34"/>
  <c r="AG319" i="34"/>
  <c r="AG347" i="34"/>
  <c r="AG367" i="34"/>
  <c r="AG391" i="34"/>
  <c r="AG430" i="34"/>
  <c r="D25" i="34"/>
  <c r="D50" i="34"/>
  <c r="D64" i="34"/>
  <c r="D68" i="34"/>
  <c r="D74" i="34"/>
  <c r="D79" i="34"/>
  <c r="D80" i="34"/>
  <c r="D84" i="34"/>
  <c r="D96" i="34"/>
  <c r="D105" i="34"/>
  <c r="D109" i="34"/>
  <c r="D123" i="34"/>
  <c r="D127" i="34"/>
  <c r="D133" i="34"/>
  <c r="D146" i="34"/>
  <c r="D149" i="34"/>
  <c r="D151" i="34"/>
  <c r="D188" i="34"/>
  <c r="D201" i="34"/>
  <c r="D205" i="34"/>
  <c r="D208" i="34"/>
  <c r="D210" i="34"/>
  <c r="D212" i="34"/>
  <c r="D218" i="34"/>
  <c r="D253" i="34"/>
  <c r="D279" i="34"/>
  <c r="D283" i="34"/>
  <c r="D306" i="34"/>
  <c r="D326" i="34"/>
  <c r="D345" i="34"/>
  <c r="D358" i="34"/>
  <c r="D369" i="34"/>
  <c r="D372" i="34"/>
  <c r="D373" i="34"/>
  <c r="D377" i="34"/>
  <c r="D382" i="34"/>
  <c r="D409" i="34"/>
  <c r="D421" i="34"/>
  <c r="D431" i="34"/>
  <c r="D435" i="34"/>
  <c r="D437" i="34"/>
  <c r="D444" i="34"/>
  <c r="I25" i="34"/>
  <c r="M25" i="34"/>
  <c r="N25" i="34"/>
  <c r="O25" i="34"/>
  <c r="O50" i="34"/>
  <c r="O64" i="34"/>
  <c r="O68" i="34"/>
  <c r="O74" i="34"/>
  <c r="O79" i="34"/>
  <c r="O80" i="34"/>
  <c r="O84" i="34"/>
  <c r="O96" i="34"/>
  <c r="O105" i="34"/>
  <c r="O109" i="34"/>
  <c r="O123" i="34"/>
  <c r="O127" i="34"/>
  <c r="O133" i="34"/>
  <c r="O146" i="34"/>
  <c r="O149" i="34"/>
  <c r="O151" i="34"/>
  <c r="O188" i="34"/>
  <c r="O201" i="34"/>
  <c r="O205" i="34"/>
  <c r="O208" i="34"/>
  <c r="O210" i="34"/>
  <c r="O212" i="34"/>
  <c r="O218" i="34"/>
  <c r="O253" i="34"/>
  <c r="O279" i="34"/>
  <c r="O283" i="34"/>
  <c r="O306" i="34"/>
  <c r="O326" i="34"/>
  <c r="O345" i="34"/>
  <c r="O358" i="34"/>
  <c r="O369" i="34"/>
  <c r="O372" i="34"/>
  <c r="O373" i="34"/>
  <c r="O377" i="34"/>
  <c r="O382" i="34"/>
  <c r="O409" i="34"/>
  <c r="O421" i="34"/>
  <c r="O431" i="34"/>
  <c r="O435" i="34"/>
  <c r="O437" i="34"/>
  <c r="O444" i="34"/>
  <c r="P25" i="34"/>
  <c r="P50" i="34"/>
  <c r="P64" i="34"/>
  <c r="P68" i="34"/>
  <c r="P74" i="34"/>
  <c r="P79" i="34"/>
  <c r="P80" i="34"/>
  <c r="P84" i="34"/>
  <c r="P96" i="34"/>
  <c r="P105" i="34"/>
  <c r="P109" i="34"/>
  <c r="P123" i="34"/>
  <c r="P127" i="34"/>
  <c r="P133" i="34"/>
  <c r="P146" i="34"/>
  <c r="P149" i="34"/>
  <c r="P151" i="34"/>
  <c r="P188" i="34"/>
  <c r="P201" i="34"/>
  <c r="P205" i="34"/>
  <c r="P208" i="34"/>
  <c r="P210" i="34"/>
  <c r="P212" i="34"/>
  <c r="P218" i="34"/>
  <c r="P253" i="34"/>
  <c r="P279" i="34"/>
  <c r="P283" i="34"/>
  <c r="P306" i="34"/>
  <c r="P326" i="34"/>
  <c r="P345" i="34"/>
  <c r="P358" i="34"/>
  <c r="P369" i="34"/>
  <c r="P372" i="34"/>
  <c r="P373" i="34"/>
  <c r="P377" i="34"/>
  <c r="P382" i="34"/>
  <c r="P409" i="34"/>
  <c r="P421" i="34"/>
  <c r="P431" i="34"/>
  <c r="P435" i="34"/>
  <c r="P437" i="34"/>
  <c r="P444" i="34"/>
  <c r="Q25" i="34"/>
  <c r="Q50" i="34"/>
  <c r="Q64" i="34"/>
  <c r="Q68" i="34"/>
  <c r="Q74" i="34"/>
  <c r="Q79" i="34"/>
  <c r="Q80" i="34"/>
  <c r="Q84" i="34"/>
  <c r="Q96" i="34"/>
  <c r="Q105" i="34"/>
  <c r="Q109" i="34"/>
  <c r="Q123" i="34"/>
  <c r="Q127" i="34"/>
  <c r="Q133" i="34"/>
  <c r="Q146" i="34"/>
  <c r="Q149" i="34"/>
  <c r="Q151" i="34"/>
  <c r="Q188" i="34"/>
  <c r="Q201" i="34"/>
  <c r="Q205" i="34"/>
  <c r="Q208" i="34"/>
  <c r="Q210" i="34"/>
  <c r="Q212" i="34"/>
  <c r="Q218" i="34"/>
  <c r="Q253" i="34"/>
  <c r="Q279" i="34"/>
  <c r="Q283" i="34"/>
  <c r="Q306" i="34"/>
  <c r="Q326" i="34"/>
  <c r="Q345" i="34"/>
  <c r="Q358" i="34"/>
  <c r="Q369" i="34"/>
  <c r="Q372" i="34"/>
  <c r="Q373" i="34"/>
  <c r="Q377" i="34"/>
  <c r="Q382" i="34"/>
  <c r="Q409" i="34"/>
  <c r="Q421" i="34"/>
  <c r="Q431" i="34"/>
  <c r="Q435" i="34"/>
  <c r="Q437" i="34"/>
  <c r="Q444" i="34"/>
  <c r="M29" i="34"/>
  <c r="I29" i="34"/>
  <c r="N29" i="34"/>
  <c r="M28" i="34"/>
  <c r="I28" i="34"/>
  <c r="N28" i="34"/>
  <c r="M27" i="34"/>
  <c r="I27" i="34"/>
  <c r="N27" i="34"/>
  <c r="M26" i="34"/>
  <c r="I26" i="34"/>
  <c r="N26" i="34"/>
  <c r="V25" i="34"/>
  <c r="V50" i="34"/>
  <c r="V64" i="34"/>
  <c r="V68" i="34"/>
  <c r="V74" i="34"/>
  <c r="V79" i="34"/>
  <c r="V80" i="34"/>
  <c r="V84" i="34"/>
  <c r="V96" i="34"/>
  <c r="V105" i="34"/>
  <c r="V109" i="34"/>
  <c r="V123" i="34"/>
  <c r="V127" i="34"/>
  <c r="V133" i="34"/>
  <c r="V146" i="34"/>
  <c r="V149" i="34"/>
  <c r="V151" i="34"/>
  <c r="V188" i="34"/>
  <c r="V201" i="34"/>
  <c r="V205" i="34"/>
  <c r="V208" i="34"/>
  <c r="V210" i="34"/>
  <c r="V212" i="34"/>
  <c r="V218" i="34"/>
  <c r="V253" i="34"/>
  <c r="V279" i="34"/>
  <c r="V283" i="34"/>
  <c r="V306" i="34"/>
  <c r="V326" i="34"/>
  <c r="V345" i="34"/>
  <c r="V358" i="34"/>
  <c r="V369" i="34"/>
  <c r="V372" i="34"/>
  <c r="V373" i="34"/>
  <c r="V377" i="34"/>
  <c r="V382" i="34"/>
  <c r="V409" i="34"/>
  <c r="V421" i="34"/>
  <c r="V431" i="34"/>
  <c r="V435" i="34"/>
  <c r="V437" i="34"/>
  <c r="V444" i="34"/>
  <c r="W25" i="34"/>
  <c r="W50" i="34"/>
  <c r="W64" i="34"/>
  <c r="W68" i="34"/>
  <c r="W74" i="34"/>
  <c r="W79" i="34"/>
  <c r="W80" i="34"/>
  <c r="W84" i="34"/>
  <c r="W96" i="34"/>
  <c r="W105" i="34"/>
  <c r="W109" i="34"/>
  <c r="W123" i="34"/>
  <c r="W127" i="34"/>
  <c r="W133" i="34"/>
  <c r="W146" i="34"/>
  <c r="W149" i="34"/>
  <c r="W151" i="34"/>
  <c r="W188" i="34"/>
  <c r="W201" i="34"/>
  <c r="W205" i="34"/>
  <c r="W208" i="34"/>
  <c r="W210" i="34"/>
  <c r="W212" i="34"/>
  <c r="W218" i="34"/>
  <c r="W253" i="34"/>
  <c r="W279" i="34"/>
  <c r="W283" i="34"/>
  <c r="W306" i="34"/>
  <c r="W326" i="34"/>
  <c r="W345" i="34"/>
  <c r="W358" i="34"/>
  <c r="W369" i="34"/>
  <c r="W372" i="34"/>
  <c r="W373" i="34"/>
  <c r="W377" i="34"/>
  <c r="W382" i="34"/>
  <c r="W409" i="34"/>
  <c r="W421" i="34"/>
  <c r="W431" i="34"/>
  <c r="W435" i="34"/>
  <c r="W437" i="34"/>
  <c r="W444" i="34"/>
  <c r="X25" i="34"/>
  <c r="X50" i="34"/>
  <c r="X64" i="34"/>
  <c r="X68" i="34"/>
  <c r="X74" i="34"/>
  <c r="X79" i="34"/>
  <c r="X80" i="34"/>
  <c r="X84" i="34"/>
  <c r="X96" i="34"/>
  <c r="X105" i="34"/>
  <c r="X109" i="34"/>
  <c r="X123" i="34"/>
  <c r="X127" i="34"/>
  <c r="X133" i="34"/>
  <c r="X146" i="34"/>
  <c r="X149" i="34"/>
  <c r="X151" i="34"/>
  <c r="X188" i="34"/>
  <c r="X201" i="34"/>
  <c r="X205" i="34"/>
  <c r="X208" i="34"/>
  <c r="X210" i="34"/>
  <c r="X212" i="34"/>
  <c r="X218" i="34"/>
  <c r="X253" i="34"/>
  <c r="X279" i="34"/>
  <c r="X283" i="34"/>
  <c r="X306" i="34"/>
  <c r="X326" i="34"/>
  <c r="X345" i="34"/>
  <c r="X358" i="34"/>
  <c r="X369" i="34"/>
  <c r="X372" i="34"/>
  <c r="X373" i="34"/>
  <c r="X377" i="34"/>
  <c r="X382" i="34"/>
  <c r="X409" i="34"/>
  <c r="X421" i="34"/>
  <c r="X431" i="34"/>
  <c r="X435" i="34"/>
  <c r="X437" i="34"/>
  <c r="X444" i="34"/>
  <c r="Y25" i="34"/>
  <c r="Y50" i="34"/>
  <c r="Y64" i="34"/>
  <c r="Y68" i="34"/>
  <c r="Y74" i="34"/>
  <c r="Y79" i="34"/>
  <c r="Y80" i="34"/>
  <c r="Y84" i="34"/>
  <c r="Y96" i="34"/>
  <c r="Y105" i="34"/>
  <c r="Y109" i="34"/>
  <c r="Y123" i="34"/>
  <c r="Y127" i="34"/>
  <c r="Y133" i="34"/>
  <c r="Y146" i="34"/>
  <c r="Y149" i="34"/>
  <c r="Y151" i="34"/>
  <c r="Y188" i="34"/>
  <c r="Y201" i="34"/>
  <c r="Y205" i="34"/>
  <c r="Y208" i="34"/>
  <c r="Y210" i="34"/>
  <c r="Y212" i="34"/>
  <c r="Y218" i="34"/>
  <c r="Y253" i="34"/>
  <c r="Y279" i="34"/>
  <c r="Y283" i="34"/>
  <c r="Y306" i="34"/>
  <c r="Y326" i="34"/>
  <c r="Y345" i="34"/>
  <c r="Y358" i="34"/>
  <c r="Y369" i="34"/>
  <c r="Y372" i="34"/>
  <c r="Y373" i="34"/>
  <c r="Y377" i="34"/>
  <c r="Y382" i="34"/>
  <c r="Y409" i="34"/>
  <c r="Y421" i="34"/>
  <c r="Y431" i="34"/>
  <c r="Y435" i="34"/>
  <c r="Y437" i="34"/>
  <c r="Y444" i="34"/>
  <c r="Z25" i="34"/>
  <c r="Z50" i="34"/>
  <c r="Z64" i="34"/>
  <c r="Z68" i="34"/>
  <c r="Z74" i="34"/>
  <c r="Z79" i="34"/>
  <c r="Z80" i="34"/>
  <c r="Z84" i="34"/>
  <c r="Z96" i="34"/>
  <c r="Z105" i="34"/>
  <c r="Z109" i="34"/>
  <c r="Z123" i="34"/>
  <c r="Z127" i="34"/>
  <c r="Z133" i="34"/>
  <c r="Z146" i="34"/>
  <c r="Z149" i="34"/>
  <c r="Z151" i="34"/>
  <c r="Z188" i="34"/>
  <c r="Z201" i="34"/>
  <c r="Z205" i="34"/>
  <c r="Z208" i="34"/>
  <c r="Z210" i="34"/>
  <c r="Z212" i="34"/>
  <c r="Z218" i="34"/>
  <c r="Z253" i="34"/>
  <c r="Z279" i="34"/>
  <c r="Z283" i="34"/>
  <c r="Z306" i="34"/>
  <c r="Z326" i="34"/>
  <c r="Z345" i="34"/>
  <c r="Z358" i="34"/>
  <c r="Z369" i="34"/>
  <c r="Z372" i="34"/>
  <c r="Z373" i="34"/>
  <c r="Z377" i="34"/>
  <c r="Z382" i="34"/>
  <c r="Z409" i="34"/>
  <c r="Z421" i="34"/>
  <c r="Z431" i="34"/>
  <c r="Z435" i="34"/>
  <c r="Z437" i="34"/>
  <c r="Z444" i="34"/>
  <c r="AA25" i="34"/>
  <c r="AA50" i="34"/>
  <c r="AA64" i="34"/>
  <c r="AA68" i="34"/>
  <c r="AA74" i="34"/>
  <c r="AA79" i="34"/>
  <c r="AA80" i="34"/>
  <c r="AA84" i="34"/>
  <c r="AA96" i="34"/>
  <c r="AA105" i="34"/>
  <c r="AA109" i="34"/>
  <c r="AA123" i="34"/>
  <c r="AA127" i="34"/>
  <c r="AA133" i="34"/>
  <c r="AA146" i="34"/>
  <c r="AA149" i="34"/>
  <c r="AA151" i="34"/>
  <c r="AA188" i="34"/>
  <c r="AA201" i="34"/>
  <c r="AA205" i="34"/>
  <c r="AA208" i="34"/>
  <c r="AA210" i="34"/>
  <c r="AA212" i="34"/>
  <c r="AA218" i="34"/>
  <c r="AA253" i="34"/>
  <c r="AA279" i="34"/>
  <c r="AA283" i="34"/>
  <c r="AA306" i="34"/>
  <c r="AA326" i="34"/>
  <c r="AA345" i="34"/>
  <c r="AA358" i="34"/>
  <c r="AA369" i="34"/>
  <c r="AA372" i="34"/>
  <c r="AA373" i="34"/>
  <c r="AA377" i="34"/>
  <c r="AA382" i="34"/>
  <c r="AA409" i="34"/>
  <c r="AA421" i="34"/>
  <c r="AA431" i="34"/>
  <c r="AA435" i="34"/>
  <c r="AA437" i="34"/>
  <c r="AA444" i="34"/>
  <c r="AB25" i="34"/>
  <c r="AB50" i="34"/>
  <c r="AB64" i="34"/>
  <c r="AB68" i="34"/>
  <c r="AB74" i="34"/>
  <c r="AB79" i="34"/>
  <c r="AB80" i="34"/>
  <c r="AB84" i="34"/>
  <c r="AB96" i="34"/>
  <c r="AB105" i="34"/>
  <c r="AB109" i="34"/>
  <c r="AB123" i="34"/>
  <c r="AB127" i="34"/>
  <c r="AB133" i="34"/>
  <c r="AB146" i="34"/>
  <c r="AB149" i="34"/>
  <c r="AB151" i="34"/>
  <c r="AB188" i="34"/>
  <c r="AB201" i="34"/>
  <c r="AB205" i="34"/>
  <c r="AB208" i="34"/>
  <c r="AB210" i="34"/>
  <c r="AB212" i="34"/>
  <c r="AB218" i="34"/>
  <c r="AB253" i="34"/>
  <c r="AB279" i="34"/>
  <c r="AB283" i="34"/>
  <c r="AB306" i="34"/>
  <c r="AB326" i="34"/>
  <c r="AB345" i="34"/>
  <c r="AB358" i="34"/>
  <c r="AB369" i="34"/>
  <c r="AB372" i="34"/>
  <c r="AB373" i="34"/>
  <c r="AB377" i="34"/>
  <c r="AB382" i="34"/>
  <c r="AB409" i="34"/>
  <c r="AB421" i="34"/>
  <c r="AB431" i="34"/>
  <c r="AB435" i="34"/>
  <c r="AB437" i="34"/>
  <c r="AB444" i="34"/>
  <c r="AC25" i="34"/>
  <c r="AC50" i="34"/>
  <c r="AC64" i="34"/>
  <c r="AC68" i="34"/>
  <c r="AC74" i="34"/>
  <c r="AC79" i="34"/>
  <c r="AC80" i="34"/>
  <c r="AC84" i="34"/>
  <c r="AC96" i="34"/>
  <c r="AC105" i="34"/>
  <c r="AC109" i="34"/>
  <c r="AC123" i="34"/>
  <c r="AC127" i="34"/>
  <c r="AC133" i="34"/>
  <c r="AC146" i="34"/>
  <c r="AC149" i="34"/>
  <c r="AC151" i="34"/>
  <c r="AC188" i="34"/>
  <c r="AC201" i="34"/>
  <c r="AC205" i="34"/>
  <c r="AC208" i="34"/>
  <c r="AC210" i="34"/>
  <c r="AC212" i="34"/>
  <c r="AC218" i="34"/>
  <c r="AC253" i="34"/>
  <c r="AC279" i="34"/>
  <c r="AC283" i="34"/>
  <c r="AC306" i="34"/>
  <c r="AC326" i="34"/>
  <c r="AC345" i="34"/>
  <c r="AC358" i="34"/>
  <c r="AC369" i="34"/>
  <c r="AC372" i="34"/>
  <c r="AC373" i="34"/>
  <c r="AC377" i="34"/>
  <c r="AC382" i="34"/>
  <c r="AC409" i="34"/>
  <c r="AC421" i="34"/>
  <c r="AC431" i="34"/>
  <c r="AC435" i="34"/>
  <c r="AC437" i="34"/>
  <c r="AC444" i="34"/>
  <c r="AD25" i="34"/>
  <c r="AD50" i="34"/>
  <c r="AD64" i="34"/>
  <c r="AD68" i="34"/>
  <c r="AD74" i="34"/>
  <c r="AD79" i="34"/>
  <c r="AD80" i="34"/>
  <c r="AD84" i="34"/>
  <c r="AD96" i="34"/>
  <c r="AD105" i="34"/>
  <c r="AD109" i="34"/>
  <c r="AD123" i="34"/>
  <c r="AD127" i="34"/>
  <c r="AD133" i="34"/>
  <c r="AD146" i="34"/>
  <c r="AD149" i="34"/>
  <c r="AD151" i="34"/>
  <c r="AD188" i="34"/>
  <c r="AD201" i="34"/>
  <c r="AD205" i="34"/>
  <c r="AD208" i="34"/>
  <c r="AD210" i="34"/>
  <c r="AD212" i="34"/>
  <c r="AD218" i="34"/>
  <c r="AD253" i="34"/>
  <c r="AD279" i="34"/>
  <c r="AD283" i="34"/>
  <c r="AD306" i="34"/>
  <c r="AD326" i="34"/>
  <c r="AD345" i="34"/>
  <c r="AD358" i="34"/>
  <c r="AD369" i="34"/>
  <c r="AD372" i="34"/>
  <c r="AD373" i="34"/>
  <c r="AD377" i="34"/>
  <c r="AD382" i="34"/>
  <c r="AD409" i="34"/>
  <c r="AD421" i="34"/>
  <c r="AD431" i="34"/>
  <c r="AD435" i="34"/>
  <c r="AD437" i="34"/>
  <c r="AD444" i="34"/>
  <c r="AE25" i="34"/>
  <c r="AE50" i="34"/>
  <c r="AE64" i="34"/>
  <c r="AE68" i="34"/>
  <c r="AE74" i="34"/>
  <c r="AE79" i="34"/>
  <c r="AE80" i="34"/>
  <c r="AE84" i="34"/>
  <c r="AE96" i="34"/>
  <c r="AE105" i="34"/>
  <c r="AE109" i="34"/>
  <c r="AE123" i="34"/>
  <c r="AE127" i="34"/>
  <c r="AE133" i="34"/>
  <c r="AE146" i="34"/>
  <c r="AE149" i="34"/>
  <c r="AE151" i="34"/>
  <c r="AE188" i="34"/>
  <c r="AE201" i="34"/>
  <c r="AE205" i="34"/>
  <c r="AE208" i="34"/>
  <c r="AE210" i="34"/>
  <c r="AE212" i="34"/>
  <c r="AE218" i="34"/>
  <c r="AE253" i="34"/>
  <c r="AE279" i="34"/>
  <c r="AE283" i="34"/>
  <c r="AE306" i="34"/>
  <c r="AE326" i="34"/>
  <c r="AE345" i="34"/>
  <c r="AE358" i="34"/>
  <c r="AE369" i="34"/>
  <c r="AE372" i="34"/>
  <c r="AE373" i="34"/>
  <c r="AE377" i="34"/>
  <c r="AE382" i="34"/>
  <c r="AE409" i="34"/>
  <c r="AE421" i="34"/>
  <c r="AE431" i="34"/>
  <c r="AE435" i="34"/>
  <c r="AE437" i="34"/>
  <c r="AE444" i="34"/>
  <c r="AF25" i="34"/>
  <c r="AF50" i="34"/>
  <c r="AF64" i="34"/>
  <c r="AF68" i="34"/>
  <c r="AF74" i="34"/>
  <c r="AF79" i="34"/>
  <c r="AF80" i="34"/>
  <c r="AF84" i="34"/>
  <c r="AF96" i="34"/>
  <c r="AF105" i="34"/>
  <c r="AF109" i="34"/>
  <c r="AF123" i="34"/>
  <c r="AF127" i="34"/>
  <c r="AF133" i="34"/>
  <c r="AF146" i="34"/>
  <c r="AF149" i="34"/>
  <c r="AF151" i="34"/>
  <c r="AF188" i="34"/>
  <c r="AF201" i="34"/>
  <c r="AF205" i="34"/>
  <c r="AF208" i="34"/>
  <c r="AF210" i="34"/>
  <c r="AF212" i="34"/>
  <c r="AF218" i="34"/>
  <c r="AF253" i="34"/>
  <c r="AF279" i="34"/>
  <c r="AF283" i="34"/>
  <c r="AF306" i="34"/>
  <c r="AF326" i="34"/>
  <c r="AF345" i="34"/>
  <c r="AF358" i="34"/>
  <c r="AF369" i="34"/>
  <c r="AF372" i="34"/>
  <c r="AF373" i="34"/>
  <c r="AF377" i="34"/>
  <c r="AF382" i="34"/>
  <c r="AF409" i="34"/>
  <c r="AF421" i="34"/>
  <c r="AF431" i="34"/>
  <c r="AF435" i="34"/>
  <c r="AF437" i="34"/>
  <c r="AF444" i="34"/>
  <c r="AG25" i="34"/>
  <c r="AG50" i="34"/>
  <c r="AG64" i="34"/>
  <c r="AG68" i="34"/>
  <c r="AG74" i="34"/>
  <c r="AG79" i="34"/>
  <c r="AG80" i="34"/>
  <c r="AG84" i="34"/>
  <c r="AG96" i="34"/>
  <c r="AG105" i="34"/>
  <c r="AG109" i="34"/>
  <c r="AG123" i="34"/>
  <c r="AG127" i="34"/>
  <c r="AG133" i="34"/>
  <c r="AG146" i="34"/>
  <c r="AG149" i="34"/>
  <c r="AG151" i="34"/>
  <c r="AG188" i="34"/>
  <c r="AG201" i="34"/>
  <c r="AG205" i="34"/>
  <c r="AG208" i="34"/>
  <c r="AG210" i="34"/>
  <c r="AG212" i="34"/>
  <c r="AG218" i="34"/>
  <c r="AG253" i="34"/>
  <c r="AG279" i="34"/>
  <c r="AG283" i="34"/>
  <c r="AG306" i="34"/>
  <c r="AG326" i="34"/>
  <c r="AG345" i="34"/>
  <c r="AG358" i="34"/>
  <c r="AG369" i="34"/>
  <c r="AG372" i="34"/>
  <c r="AG373" i="34"/>
  <c r="AG377" i="34"/>
  <c r="AG382" i="34"/>
  <c r="AG409" i="34"/>
  <c r="AG421" i="34"/>
  <c r="AG431" i="34"/>
  <c r="AG435" i="34"/>
  <c r="AG437" i="34"/>
  <c r="AG444" i="34"/>
  <c r="D21" i="34"/>
  <c r="D32" i="34"/>
  <c r="D42" i="34"/>
  <c r="D94" i="34"/>
  <c r="D122" i="34"/>
  <c r="D136" i="34"/>
  <c r="D161" i="34"/>
  <c r="D165" i="34"/>
  <c r="D172" i="34"/>
  <c r="D189" i="34"/>
  <c r="D204" i="34"/>
  <c r="D256" i="34"/>
  <c r="D271" i="34"/>
  <c r="D286" i="34"/>
  <c r="D321" i="34"/>
  <c r="D359" i="34"/>
  <c r="D408" i="34"/>
  <c r="D434" i="34"/>
  <c r="I21" i="34"/>
  <c r="M21" i="34"/>
  <c r="N21" i="34"/>
  <c r="O21" i="34"/>
  <c r="O32" i="34"/>
  <c r="O42" i="34"/>
  <c r="O94" i="34"/>
  <c r="O122" i="34"/>
  <c r="O136" i="34"/>
  <c r="O161" i="34"/>
  <c r="O165" i="34"/>
  <c r="O172" i="34"/>
  <c r="O189" i="34"/>
  <c r="O204" i="34"/>
  <c r="O256" i="34"/>
  <c r="O271" i="34"/>
  <c r="O286" i="34"/>
  <c r="O321" i="34"/>
  <c r="O359" i="34"/>
  <c r="O408" i="34"/>
  <c r="O434" i="34"/>
  <c r="P21" i="34"/>
  <c r="P32" i="34"/>
  <c r="P42" i="34"/>
  <c r="P94" i="34"/>
  <c r="P122" i="34"/>
  <c r="P136" i="34"/>
  <c r="P161" i="34"/>
  <c r="P165" i="34"/>
  <c r="P172" i="34"/>
  <c r="P189" i="34"/>
  <c r="P204" i="34"/>
  <c r="P256" i="34"/>
  <c r="P271" i="34"/>
  <c r="P286" i="34"/>
  <c r="P321" i="34"/>
  <c r="P359" i="34"/>
  <c r="P408" i="34"/>
  <c r="P434" i="34"/>
  <c r="Q21" i="34"/>
  <c r="Q32" i="34"/>
  <c r="Q42" i="34"/>
  <c r="Q94" i="34"/>
  <c r="Q122" i="34"/>
  <c r="Q136" i="34"/>
  <c r="Q161" i="34"/>
  <c r="Q165" i="34"/>
  <c r="Q172" i="34"/>
  <c r="Q189" i="34"/>
  <c r="Q204" i="34"/>
  <c r="Q256" i="34"/>
  <c r="Q271" i="34"/>
  <c r="Q286" i="34"/>
  <c r="Q321" i="34"/>
  <c r="Q359" i="34"/>
  <c r="Q408" i="34"/>
  <c r="Q434" i="34"/>
  <c r="M24" i="34"/>
  <c r="I24" i="34"/>
  <c r="N24" i="34"/>
  <c r="M23" i="34"/>
  <c r="I23" i="34"/>
  <c r="N23" i="34"/>
  <c r="M22" i="34"/>
  <c r="I22" i="34"/>
  <c r="N22" i="34"/>
  <c r="V21" i="34"/>
  <c r="V32" i="34"/>
  <c r="V42" i="34"/>
  <c r="V94" i="34"/>
  <c r="V122" i="34"/>
  <c r="V136" i="34"/>
  <c r="V161" i="34"/>
  <c r="V165" i="34"/>
  <c r="V172" i="34"/>
  <c r="V189" i="34"/>
  <c r="V204" i="34"/>
  <c r="V256" i="34"/>
  <c r="V271" i="34"/>
  <c r="V286" i="34"/>
  <c r="V321" i="34"/>
  <c r="V359" i="34"/>
  <c r="V408" i="34"/>
  <c r="V434" i="34"/>
  <c r="W21" i="34"/>
  <c r="W32" i="34"/>
  <c r="W42" i="34"/>
  <c r="W94" i="34"/>
  <c r="W122" i="34"/>
  <c r="W136" i="34"/>
  <c r="W161" i="34"/>
  <c r="W165" i="34"/>
  <c r="W172" i="34"/>
  <c r="W189" i="34"/>
  <c r="W204" i="34"/>
  <c r="W256" i="34"/>
  <c r="W271" i="34"/>
  <c r="W286" i="34"/>
  <c r="W321" i="34"/>
  <c r="W359" i="34"/>
  <c r="W408" i="34"/>
  <c r="W434" i="34"/>
  <c r="X21" i="34"/>
  <c r="X32" i="34"/>
  <c r="X42" i="34"/>
  <c r="X94" i="34"/>
  <c r="X122" i="34"/>
  <c r="X136" i="34"/>
  <c r="X161" i="34"/>
  <c r="X165" i="34"/>
  <c r="X172" i="34"/>
  <c r="X189" i="34"/>
  <c r="X204" i="34"/>
  <c r="X256" i="34"/>
  <c r="X271" i="34"/>
  <c r="X286" i="34"/>
  <c r="X321" i="34"/>
  <c r="X359" i="34"/>
  <c r="X408" i="34"/>
  <c r="X434" i="34"/>
  <c r="Y21" i="34"/>
  <c r="Y32" i="34"/>
  <c r="Y42" i="34"/>
  <c r="Y94" i="34"/>
  <c r="Y122" i="34"/>
  <c r="Y136" i="34"/>
  <c r="Y161" i="34"/>
  <c r="Y165" i="34"/>
  <c r="Y172" i="34"/>
  <c r="Y189" i="34"/>
  <c r="Y204" i="34"/>
  <c r="Y256" i="34"/>
  <c r="Y271" i="34"/>
  <c r="Y286" i="34"/>
  <c r="Y321" i="34"/>
  <c r="Y359" i="34"/>
  <c r="Y408" i="34"/>
  <c r="Y434" i="34"/>
  <c r="Z21" i="34"/>
  <c r="Z32" i="34"/>
  <c r="Z42" i="34"/>
  <c r="Z94" i="34"/>
  <c r="Z122" i="34"/>
  <c r="Z136" i="34"/>
  <c r="Z161" i="34"/>
  <c r="Z165" i="34"/>
  <c r="Z172" i="34"/>
  <c r="Z189" i="34"/>
  <c r="Z204" i="34"/>
  <c r="Z256" i="34"/>
  <c r="Z271" i="34"/>
  <c r="Z286" i="34"/>
  <c r="Z321" i="34"/>
  <c r="Z359" i="34"/>
  <c r="Z408" i="34"/>
  <c r="Z434" i="34"/>
  <c r="AA21" i="34"/>
  <c r="AA32" i="34"/>
  <c r="AA42" i="34"/>
  <c r="AA94" i="34"/>
  <c r="AA122" i="34"/>
  <c r="AA136" i="34"/>
  <c r="AA161" i="34"/>
  <c r="AA165" i="34"/>
  <c r="AA172" i="34"/>
  <c r="AA189" i="34"/>
  <c r="AA204" i="34"/>
  <c r="AA256" i="34"/>
  <c r="AA271" i="34"/>
  <c r="AA286" i="34"/>
  <c r="AA321" i="34"/>
  <c r="AA359" i="34"/>
  <c r="AA408" i="34"/>
  <c r="AA434" i="34"/>
  <c r="AB21" i="34"/>
  <c r="AB32" i="34"/>
  <c r="AB42" i="34"/>
  <c r="AB94" i="34"/>
  <c r="AB122" i="34"/>
  <c r="AB136" i="34"/>
  <c r="AB161" i="34"/>
  <c r="AB165" i="34"/>
  <c r="AB172" i="34"/>
  <c r="AB189" i="34"/>
  <c r="AB204" i="34"/>
  <c r="AB256" i="34"/>
  <c r="AB271" i="34"/>
  <c r="AB286" i="34"/>
  <c r="AB321" i="34"/>
  <c r="AB359" i="34"/>
  <c r="AB408" i="34"/>
  <c r="AB434" i="34"/>
  <c r="AC21" i="34"/>
  <c r="AC32" i="34"/>
  <c r="AC42" i="34"/>
  <c r="AC94" i="34"/>
  <c r="AC122" i="34"/>
  <c r="AC136" i="34"/>
  <c r="AC161" i="34"/>
  <c r="AC165" i="34"/>
  <c r="AC172" i="34"/>
  <c r="AC189" i="34"/>
  <c r="AC204" i="34"/>
  <c r="AC256" i="34"/>
  <c r="AC271" i="34"/>
  <c r="AC286" i="34"/>
  <c r="AC321" i="34"/>
  <c r="AC359" i="34"/>
  <c r="AC408" i="34"/>
  <c r="AC434" i="34"/>
  <c r="AD21" i="34"/>
  <c r="AD32" i="34"/>
  <c r="AD42" i="34"/>
  <c r="AD94" i="34"/>
  <c r="AD122" i="34"/>
  <c r="AD136" i="34"/>
  <c r="AD161" i="34"/>
  <c r="AD165" i="34"/>
  <c r="AD172" i="34"/>
  <c r="AD189" i="34"/>
  <c r="AD204" i="34"/>
  <c r="AD256" i="34"/>
  <c r="AD271" i="34"/>
  <c r="AD286" i="34"/>
  <c r="AD321" i="34"/>
  <c r="AD359" i="34"/>
  <c r="AD408" i="34"/>
  <c r="AD434" i="34"/>
  <c r="AE21" i="34"/>
  <c r="AE32" i="34"/>
  <c r="AE42" i="34"/>
  <c r="AE94" i="34"/>
  <c r="AE122" i="34"/>
  <c r="AE136" i="34"/>
  <c r="AE161" i="34"/>
  <c r="AE165" i="34"/>
  <c r="AE172" i="34"/>
  <c r="AE189" i="34"/>
  <c r="AE204" i="34"/>
  <c r="AE256" i="34"/>
  <c r="AE271" i="34"/>
  <c r="AE286" i="34"/>
  <c r="AE321" i="34"/>
  <c r="AE359" i="34"/>
  <c r="AE408" i="34"/>
  <c r="AE434" i="34"/>
  <c r="AF21" i="34"/>
  <c r="AF32" i="34"/>
  <c r="AF42" i="34"/>
  <c r="AF94" i="34"/>
  <c r="AF122" i="34"/>
  <c r="AF136" i="34"/>
  <c r="AF161" i="34"/>
  <c r="AF165" i="34"/>
  <c r="AF172" i="34"/>
  <c r="AF189" i="34"/>
  <c r="AF204" i="34"/>
  <c r="AF256" i="34"/>
  <c r="AF271" i="34"/>
  <c r="AF286" i="34"/>
  <c r="AF321" i="34"/>
  <c r="AF359" i="34"/>
  <c r="AF408" i="34"/>
  <c r="AF434" i="34"/>
  <c r="AG21" i="34"/>
  <c r="AG32" i="34"/>
  <c r="AG42" i="34"/>
  <c r="AG94" i="34"/>
  <c r="AG122" i="34"/>
  <c r="AG136" i="34"/>
  <c r="AG161" i="34"/>
  <c r="AG165" i="34"/>
  <c r="AG172" i="34"/>
  <c r="AG189" i="34"/>
  <c r="AG204" i="34"/>
  <c r="AG256" i="34"/>
  <c r="AG271" i="34"/>
  <c r="AG286" i="34"/>
  <c r="AG321" i="34"/>
  <c r="AG359" i="34"/>
  <c r="AG408" i="34"/>
  <c r="AG434" i="34"/>
  <c r="D19" i="34"/>
  <c r="D71" i="34"/>
  <c r="D142" i="34"/>
  <c r="D163" i="34"/>
  <c r="D168" i="34"/>
  <c r="D198" i="34"/>
  <c r="D245" i="34"/>
  <c r="D310" i="34"/>
  <c r="D348" i="34"/>
  <c r="I19" i="34"/>
  <c r="M19" i="34"/>
  <c r="N19" i="34"/>
  <c r="O19" i="34"/>
  <c r="O71" i="34"/>
  <c r="O142" i="34"/>
  <c r="O163" i="34"/>
  <c r="O168" i="34"/>
  <c r="O198" i="34"/>
  <c r="O245" i="34"/>
  <c r="O310" i="34"/>
  <c r="O348" i="34"/>
  <c r="P19" i="34"/>
  <c r="P71" i="34"/>
  <c r="P142" i="34"/>
  <c r="P163" i="34"/>
  <c r="P168" i="34"/>
  <c r="P198" i="34"/>
  <c r="P245" i="34"/>
  <c r="P310" i="34"/>
  <c r="P348" i="34"/>
  <c r="Q19" i="34"/>
  <c r="Q71" i="34"/>
  <c r="Q142" i="34"/>
  <c r="Q163" i="34"/>
  <c r="Q168" i="34"/>
  <c r="Q198" i="34"/>
  <c r="Q245" i="34"/>
  <c r="Q310" i="34"/>
  <c r="Q348" i="34"/>
  <c r="M20" i="34"/>
  <c r="I20" i="34"/>
  <c r="N20" i="34"/>
  <c r="V19" i="34"/>
  <c r="V71" i="34"/>
  <c r="V142" i="34"/>
  <c r="V163" i="34"/>
  <c r="V168" i="34"/>
  <c r="V198" i="34"/>
  <c r="V245" i="34"/>
  <c r="V310" i="34"/>
  <c r="V348" i="34"/>
  <c r="W19" i="34"/>
  <c r="W71" i="34"/>
  <c r="W142" i="34"/>
  <c r="W163" i="34"/>
  <c r="W168" i="34"/>
  <c r="W198" i="34"/>
  <c r="W245" i="34"/>
  <c r="W310" i="34"/>
  <c r="W348" i="34"/>
  <c r="X19" i="34"/>
  <c r="X71" i="34"/>
  <c r="X142" i="34"/>
  <c r="X163" i="34"/>
  <c r="X168" i="34"/>
  <c r="X198" i="34"/>
  <c r="X245" i="34"/>
  <c r="X310" i="34"/>
  <c r="X348" i="34"/>
  <c r="Y19" i="34"/>
  <c r="Y71" i="34"/>
  <c r="Y142" i="34"/>
  <c r="Y163" i="34"/>
  <c r="Y168" i="34"/>
  <c r="Y198" i="34"/>
  <c r="Y245" i="34"/>
  <c r="Y310" i="34"/>
  <c r="Y348" i="34"/>
  <c r="Z19" i="34"/>
  <c r="Z71" i="34"/>
  <c r="Z142" i="34"/>
  <c r="Z163" i="34"/>
  <c r="Z168" i="34"/>
  <c r="Z198" i="34"/>
  <c r="Z245" i="34"/>
  <c r="Z310" i="34"/>
  <c r="Z348" i="34"/>
  <c r="AA19" i="34"/>
  <c r="AA71" i="34"/>
  <c r="AA142" i="34"/>
  <c r="AA163" i="34"/>
  <c r="AA168" i="34"/>
  <c r="AA198" i="34"/>
  <c r="AA245" i="34"/>
  <c r="AA310" i="34"/>
  <c r="AA348" i="34"/>
  <c r="AB19" i="34"/>
  <c r="AB71" i="34"/>
  <c r="AB142" i="34"/>
  <c r="AB163" i="34"/>
  <c r="AB168" i="34"/>
  <c r="AB198" i="34"/>
  <c r="AB245" i="34"/>
  <c r="AB310" i="34"/>
  <c r="AB348" i="34"/>
  <c r="AC19" i="34"/>
  <c r="AC71" i="34"/>
  <c r="AC142" i="34"/>
  <c r="AC163" i="34"/>
  <c r="AC168" i="34"/>
  <c r="AC198" i="34"/>
  <c r="AC245" i="34"/>
  <c r="AC310" i="34"/>
  <c r="AC348" i="34"/>
  <c r="AD19" i="34"/>
  <c r="AD71" i="34"/>
  <c r="AD142" i="34"/>
  <c r="AD163" i="34"/>
  <c r="AD168" i="34"/>
  <c r="AD198" i="34"/>
  <c r="AD245" i="34"/>
  <c r="AD310" i="34"/>
  <c r="AD348" i="34"/>
  <c r="AE19" i="34"/>
  <c r="AE71" i="34"/>
  <c r="AE142" i="34"/>
  <c r="AE163" i="34"/>
  <c r="AE168" i="34"/>
  <c r="AE198" i="34"/>
  <c r="AE245" i="34"/>
  <c r="AE310" i="34"/>
  <c r="AE348" i="34"/>
  <c r="AF19" i="34"/>
  <c r="AF71" i="34"/>
  <c r="AF142" i="34"/>
  <c r="AF163" i="34"/>
  <c r="AF168" i="34"/>
  <c r="AF198" i="34"/>
  <c r="AF245" i="34"/>
  <c r="AF310" i="34"/>
  <c r="AF348" i="34"/>
  <c r="AG19" i="34"/>
  <c r="AG71" i="34"/>
  <c r="AG142" i="34"/>
  <c r="AG163" i="34"/>
  <c r="AG168" i="34"/>
  <c r="AG198" i="34"/>
  <c r="AG245" i="34"/>
  <c r="AG310" i="34"/>
  <c r="AG348" i="34"/>
  <c r="D26" i="34"/>
  <c r="D43" i="34"/>
  <c r="D56" i="34"/>
  <c r="D114" i="34"/>
  <c r="D176" i="34"/>
  <c r="D203" i="34"/>
  <c r="D230" i="34"/>
  <c r="D275" i="34"/>
  <c r="D297" i="34"/>
  <c r="D339" i="34"/>
  <c r="D399" i="34"/>
  <c r="O26" i="34"/>
  <c r="O43" i="34"/>
  <c r="O56" i="34"/>
  <c r="O114" i="34"/>
  <c r="O176" i="34"/>
  <c r="O203" i="34"/>
  <c r="O230" i="34"/>
  <c r="O275" i="34"/>
  <c r="O297" i="34"/>
  <c r="O339" i="34"/>
  <c r="O399" i="34"/>
  <c r="P26" i="34"/>
  <c r="P43" i="34"/>
  <c r="P56" i="34"/>
  <c r="P114" i="34"/>
  <c r="P176" i="34"/>
  <c r="P203" i="34"/>
  <c r="P230" i="34"/>
  <c r="P275" i="34"/>
  <c r="P297" i="34"/>
  <c r="P339" i="34"/>
  <c r="P399" i="34"/>
  <c r="Q26" i="34"/>
  <c r="Q43" i="34"/>
  <c r="Q56" i="34"/>
  <c r="Q114" i="34"/>
  <c r="Q176" i="34"/>
  <c r="Q203" i="34"/>
  <c r="Q230" i="34"/>
  <c r="Q275" i="34"/>
  <c r="Q297" i="34"/>
  <c r="Q339" i="34"/>
  <c r="Q399" i="34"/>
  <c r="V26" i="34"/>
  <c r="V43" i="34"/>
  <c r="V56" i="34"/>
  <c r="V114" i="34"/>
  <c r="V176" i="34"/>
  <c r="V203" i="34"/>
  <c r="V230" i="34"/>
  <c r="V275" i="34"/>
  <c r="V297" i="34"/>
  <c r="V339" i="34"/>
  <c r="V399" i="34"/>
  <c r="W26" i="34"/>
  <c r="W43" i="34"/>
  <c r="W56" i="34"/>
  <c r="W114" i="34"/>
  <c r="W176" i="34"/>
  <c r="W203" i="34"/>
  <c r="W230" i="34"/>
  <c r="W275" i="34"/>
  <c r="W297" i="34"/>
  <c r="W339" i="34"/>
  <c r="W399" i="34"/>
  <c r="X26" i="34"/>
  <c r="X43" i="34"/>
  <c r="X56" i="34"/>
  <c r="X114" i="34"/>
  <c r="X176" i="34"/>
  <c r="X203" i="34"/>
  <c r="X230" i="34"/>
  <c r="X275" i="34"/>
  <c r="X297" i="34"/>
  <c r="X339" i="34"/>
  <c r="X399" i="34"/>
  <c r="Y26" i="34"/>
  <c r="Y43" i="34"/>
  <c r="Y56" i="34"/>
  <c r="Y114" i="34"/>
  <c r="Y176" i="34"/>
  <c r="Y203" i="34"/>
  <c r="Y230" i="34"/>
  <c r="Y275" i="34"/>
  <c r="Y297" i="34"/>
  <c r="Y339" i="34"/>
  <c r="Y399" i="34"/>
  <c r="Z26" i="34"/>
  <c r="Z43" i="34"/>
  <c r="Z56" i="34"/>
  <c r="Z114" i="34"/>
  <c r="Z176" i="34"/>
  <c r="Z203" i="34"/>
  <c r="Z230" i="34"/>
  <c r="Z275" i="34"/>
  <c r="Z297" i="34"/>
  <c r="Z339" i="34"/>
  <c r="Z399" i="34"/>
  <c r="AA26" i="34"/>
  <c r="AA43" i="34"/>
  <c r="AA56" i="34"/>
  <c r="AA114" i="34"/>
  <c r="AA176" i="34"/>
  <c r="AA203" i="34"/>
  <c r="AA230" i="34"/>
  <c r="AA275" i="34"/>
  <c r="AA297" i="34"/>
  <c r="AA339" i="34"/>
  <c r="AA399" i="34"/>
  <c r="AB26" i="34"/>
  <c r="AB43" i="34"/>
  <c r="AB56" i="34"/>
  <c r="AB114" i="34"/>
  <c r="AB176" i="34"/>
  <c r="AB203" i="34"/>
  <c r="AB230" i="34"/>
  <c r="AB275" i="34"/>
  <c r="AB297" i="34"/>
  <c r="AB339" i="34"/>
  <c r="AB399" i="34"/>
  <c r="AC26" i="34"/>
  <c r="AC43" i="34"/>
  <c r="AC56" i="34"/>
  <c r="AC114" i="34"/>
  <c r="AC176" i="34"/>
  <c r="AC203" i="34"/>
  <c r="AC230" i="34"/>
  <c r="AC275" i="34"/>
  <c r="AC297" i="34"/>
  <c r="AC339" i="34"/>
  <c r="AC399" i="34"/>
  <c r="AD26" i="34"/>
  <c r="AD43" i="34"/>
  <c r="AD56" i="34"/>
  <c r="AD114" i="34"/>
  <c r="AD176" i="34"/>
  <c r="AD203" i="34"/>
  <c r="AD230" i="34"/>
  <c r="AD275" i="34"/>
  <c r="AD297" i="34"/>
  <c r="AD339" i="34"/>
  <c r="AD399" i="34"/>
  <c r="AE26" i="34"/>
  <c r="AE43" i="34"/>
  <c r="AE56" i="34"/>
  <c r="AE114" i="34"/>
  <c r="AE176" i="34"/>
  <c r="AE203" i="34"/>
  <c r="AE230" i="34"/>
  <c r="AE275" i="34"/>
  <c r="AE297" i="34"/>
  <c r="AE339" i="34"/>
  <c r="AE399" i="34"/>
  <c r="AF26" i="34"/>
  <c r="AF43" i="34"/>
  <c r="AF56" i="34"/>
  <c r="AF114" i="34"/>
  <c r="AF176" i="34"/>
  <c r="AF203" i="34"/>
  <c r="AF230" i="34"/>
  <c r="AF275" i="34"/>
  <c r="AF297" i="34"/>
  <c r="AF339" i="34"/>
  <c r="AF399" i="34"/>
  <c r="AG26" i="34"/>
  <c r="AG43" i="34"/>
  <c r="AG56" i="34"/>
  <c r="AG114" i="34"/>
  <c r="AG176" i="34"/>
  <c r="AG203" i="34"/>
  <c r="AG230" i="34"/>
  <c r="AG275" i="34"/>
  <c r="AG297" i="34"/>
  <c r="AG339" i="34"/>
  <c r="AG399" i="34"/>
  <c r="D28" i="34"/>
  <c r="D51" i="34"/>
  <c r="D57" i="34"/>
  <c r="D106" i="34"/>
  <c r="D118" i="34"/>
  <c r="D135" i="34"/>
  <c r="D154" i="34"/>
  <c r="D159" i="34"/>
  <c r="D183" i="34"/>
  <c r="D199" i="34"/>
  <c r="D244" i="34"/>
  <c r="D267" i="34"/>
  <c r="D276" i="34"/>
  <c r="D287" i="34"/>
  <c r="D300" i="34"/>
  <c r="D318" i="34"/>
  <c r="D331" i="34"/>
  <c r="D342" i="34"/>
  <c r="D433" i="34"/>
  <c r="O28" i="34"/>
  <c r="O51" i="34"/>
  <c r="O57" i="34"/>
  <c r="O106" i="34"/>
  <c r="O118" i="34"/>
  <c r="O135" i="34"/>
  <c r="O154" i="34"/>
  <c r="O159" i="34"/>
  <c r="O183" i="34"/>
  <c r="O199" i="34"/>
  <c r="O244" i="34"/>
  <c r="O267" i="34"/>
  <c r="O276" i="34"/>
  <c r="O287" i="34"/>
  <c r="O300" i="34"/>
  <c r="O318" i="34"/>
  <c r="O331" i="34"/>
  <c r="O342" i="34"/>
  <c r="O433" i="34"/>
  <c r="P28" i="34"/>
  <c r="P51" i="34"/>
  <c r="P57" i="34"/>
  <c r="P106" i="34"/>
  <c r="P118" i="34"/>
  <c r="P135" i="34"/>
  <c r="P154" i="34"/>
  <c r="P159" i="34"/>
  <c r="P183" i="34"/>
  <c r="P199" i="34"/>
  <c r="P244" i="34"/>
  <c r="P267" i="34"/>
  <c r="P276" i="34"/>
  <c r="P287" i="34"/>
  <c r="P300" i="34"/>
  <c r="P318" i="34"/>
  <c r="P331" i="34"/>
  <c r="P342" i="34"/>
  <c r="P433" i="34"/>
  <c r="Q28" i="34"/>
  <c r="Q51" i="34"/>
  <c r="Q57" i="34"/>
  <c r="Q106" i="34"/>
  <c r="Q118" i="34"/>
  <c r="Q135" i="34"/>
  <c r="Q154" i="34"/>
  <c r="Q159" i="34"/>
  <c r="Q183" i="34"/>
  <c r="Q199" i="34"/>
  <c r="Q244" i="34"/>
  <c r="Q267" i="34"/>
  <c r="Q276" i="34"/>
  <c r="Q287" i="34"/>
  <c r="Q300" i="34"/>
  <c r="Q318" i="34"/>
  <c r="Q331" i="34"/>
  <c r="Q342" i="34"/>
  <c r="Q433" i="34"/>
  <c r="V28" i="34"/>
  <c r="V51" i="34"/>
  <c r="V57" i="34"/>
  <c r="V106" i="34"/>
  <c r="V118" i="34"/>
  <c r="V135" i="34"/>
  <c r="V154" i="34"/>
  <c r="V159" i="34"/>
  <c r="V183" i="34"/>
  <c r="V199" i="34"/>
  <c r="V244" i="34"/>
  <c r="V267" i="34"/>
  <c r="V276" i="34"/>
  <c r="V287" i="34"/>
  <c r="V300" i="34"/>
  <c r="V318" i="34"/>
  <c r="V331" i="34"/>
  <c r="V342" i="34"/>
  <c r="V433" i="34"/>
  <c r="W28" i="34"/>
  <c r="W51" i="34"/>
  <c r="W57" i="34"/>
  <c r="W106" i="34"/>
  <c r="W118" i="34"/>
  <c r="W135" i="34"/>
  <c r="W154" i="34"/>
  <c r="W159" i="34"/>
  <c r="W183" i="34"/>
  <c r="W199" i="34"/>
  <c r="W244" i="34"/>
  <c r="W267" i="34"/>
  <c r="W276" i="34"/>
  <c r="W287" i="34"/>
  <c r="W300" i="34"/>
  <c r="W318" i="34"/>
  <c r="W331" i="34"/>
  <c r="W342" i="34"/>
  <c r="W433" i="34"/>
  <c r="X28" i="34"/>
  <c r="X51" i="34"/>
  <c r="X57" i="34"/>
  <c r="X106" i="34"/>
  <c r="X118" i="34"/>
  <c r="X135" i="34"/>
  <c r="X154" i="34"/>
  <c r="X159" i="34"/>
  <c r="X183" i="34"/>
  <c r="X199" i="34"/>
  <c r="X244" i="34"/>
  <c r="X267" i="34"/>
  <c r="X276" i="34"/>
  <c r="X287" i="34"/>
  <c r="X300" i="34"/>
  <c r="X318" i="34"/>
  <c r="X331" i="34"/>
  <c r="X342" i="34"/>
  <c r="X433" i="34"/>
  <c r="Y28" i="34"/>
  <c r="Y51" i="34"/>
  <c r="Y57" i="34"/>
  <c r="Y106" i="34"/>
  <c r="Y118" i="34"/>
  <c r="Y135" i="34"/>
  <c r="Y154" i="34"/>
  <c r="Y159" i="34"/>
  <c r="Y183" i="34"/>
  <c r="Y199" i="34"/>
  <c r="Y244" i="34"/>
  <c r="Y267" i="34"/>
  <c r="Y276" i="34"/>
  <c r="Y287" i="34"/>
  <c r="Y300" i="34"/>
  <c r="Y318" i="34"/>
  <c r="Y331" i="34"/>
  <c r="Y342" i="34"/>
  <c r="Y433" i="34"/>
  <c r="Z28" i="34"/>
  <c r="Z51" i="34"/>
  <c r="Z57" i="34"/>
  <c r="Z106" i="34"/>
  <c r="Z118" i="34"/>
  <c r="Z135" i="34"/>
  <c r="Z154" i="34"/>
  <c r="Z159" i="34"/>
  <c r="Z183" i="34"/>
  <c r="Z199" i="34"/>
  <c r="Z244" i="34"/>
  <c r="Z267" i="34"/>
  <c r="Z276" i="34"/>
  <c r="Z287" i="34"/>
  <c r="Z300" i="34"/>
  <c r="Z318" i="34"/>
  <c r="Z331" i="34"/>
  <c r="Z342" i="34"/>
  <c r="Z433" i="34"/>
  <c r="AA28" i="34"/>
  <c r="AA51" i="34"/>
  <c r="AA57" i="34"/>
  <c r="AA106" i="34"/>
  <c r="AA118" i="34"/>
  <c r="AA135" i="34"/>
  <c r="AA154" i="34"/>
  <c r="AA159" i="34"/>
  <c r="AA183" i="34"/>
  <c r="AA199" i="34"/>
  <c r="AA244" i="34"/>
  <c r="AA267" i="34"/>
  <c r="AA276" i="34"/>
  <c r="AA287" i="34"/>
  <c r="AA300" i="34"/>
  <c r="AA318" i="34"/>
  <c r="AA331" i="34"/>
  <c r="AA342" i="34"/>
  <c r="AA433" i="34"/>
  <c r="AB28" i="34"/>
  <c r="AB51" i="34"/>
  <c r="AB57" i="34"/>
  <c r="AB106" i="34"/>
  <c r="AB118" i="34"/>
  <c r="AB135" i="34"/>
  <c r="AB154" i="34"/>
  <c r="AB159" i="34"/>
  <c r="AB183" i="34"/>
  <c r="AB199" i="34"/>
  <c r="AB244" i="34"/>
  <c r="AB267" i="34"/>
  <c r="AB276" i="34"/>
  <c r="AB287" i="34"/>
  <c r="AB300" i="34"/>
  <c r="AB318" i="34"/>
  <c r="AB331" i="34"/>
  <c r="AB342" i="34"/>
  <c r="AB433" i="34"/>
  <c r="AC28" i="34"/>
  <c r="AC51" i="34"/>
  <c r="AC57" i="34"/>
  <c r="AC106" i="34"/>
  <c r="AC118" i="34"/>
  <c r="AC135" i="34"/>
  <c r="AC154" i="34"/>
  <c r="AC159" i="34"/>
  <c r="AC183" i="34"/>
  <c r="AC199" i="34"/>
  <c r="AC244" i="34"/>
  <c r="AC267" i="34"/>
  <c r="AC276" i="34"/>
  <c r="AC287" i="34"/>
  <c r="AC300" i="34"/>
  <c r="AC318" i="34"/>
  <c r="AC331" i="34"/>
  <c r="AC342" i="34"/>
  <c r="AC433" i="34"/>
  <c r="AD28" i="34"/>
  <c r="AD51" i="34"/>
  <c r="AD57" i="34"/>
  <c r="AD106" i="34"/>
  <c r="AD118" i="34"/>
  <c r="AD135" i="34"/>
  <c r="AD154" i="34"/>
  <c r="AD159" i="34"/>
  <c r="AD183" i="34"/>
  <c r="AD199" i="34"/>
  <c r="AD244" i="34"/>
  <c r="AD267" i="34"/>
  <c r="AD276" i="34"/>
  <c r="AD287" i="34"/>
  <c r="AD300" i="34"/>
  <c r="AD318" i="34"/>
  <c r="AD331" i="34"/>
  <c r="AD342" i="34"/>
  <c r="AD433" i="34"/>
  <c r="AE28" i="34"/>
  <c r="AE51" i="34"/>
  <c r="AE57" i="34"/>
  <c r="AE106" i="34"/>
  <c r="AE118" i="34"/>
  <c r="AE135" i="34"/>
  <c r="AE154" i="34"/>
  <c r="AE159" i="34"/>
  <c r="AE183" i="34"/>
  <c r="AE199" i="34"/>
  <c r="AE244" i="34"/>
  <c r="AE267" i="34"/>
  <c r="AE276" i="34"/>
  <c r="AE287" i="34"/>
  <c r="AE300" i="34"/>
  <c r="AE318" i="34"/>
  <c r="AE331" i="34"/>
  <c r="AE342" i="34"/>
  <c r="AE433" i="34"/>
  <c r="AF28" i="34"/>
  <c r="AF51" i="34"/>
  <c r="AF57" i="34"/>
  <c r="AF106" i="34"/>
  <c r="AF118" i="34"/>
  <c r="AF135" i="34"/>
  <c r="AF154" i="34"/>
  <c r="AF159" i="34"/>
  <c r="AF183" i="34"/>
  <c r="AF199" i="34"/>
  <c r="AF244" i="34"/>
  <c r="AF267" i="34"/>
  <c r="AF276" i="34"/>
  <c r="AF287" i="34"/>
  <c r="AF300" i="34"/>
  <c r="AF318" i="34"/>
  <c r="AF331" i="34"/>
  <c r="AF342" i="34"/>
  <c r="AF433" i="34"/>
  <c r="AG28" i="34"/>
  <c r="AG51" i="34"/>
  <c r="AG57" i="34"/>
  <c r="AG106" i="34"/>
  <c r="AG118" i="34"/>
  <c r="AG135" i="34"/>
  <c r="AG154" i="34"/>
  <c r="AG159" i="34"/>
  <c r="AG183" i="34"/>
  <c r="AG199" i="34"/>
  <c r="AG244" i="34"/>
  <c r="AG267" i="34"/>
  <c r="AG276" i="34"/>
  <c r="AG287" i="34"/>
  <c r="AG300" i="34"/>
  <c r="AG318" i="34"/>
  <c r="AG331" i="34"/>
  <c r="AG342" i="34"/>
  <c r="AG433" i="34"/>
  <c r="D18" i="34"/>
  <c r="D24" i="34"/>
  <c r="D45" i="34"/>
  <c r="D49" i="34"/>
  <c r="D52" i="34"/>
  <c r="D63" i="34"/>
  <c r="D72" i="34"/>
  <c r="D85" i="34"/>
  <c r="D89" i="34"/>
  <c r="D90" i="34"/>
  <c r="D99" i="34"/>
  <c r="D139" i="34"/>
  <c r="D141" i="34"/>
  <c r="D150" i="34"/>
  <c r="D152" i="34"/>
  <c r="D162" i="34"/>
  <c r="D166" i="34"/>
  <c r="D174" i="34"/>
  <c r="D175" i="34"/>
  <c r="D177" i="34"/>
  <c r="D182" i="34"/>
  <c r="D192" i="34"/>
  <c r="D195" i="34"/>
  <c r="D207" i="34"/>
  <c r="D215" i="34"/>
  <c r="D232" i="34"/>
  <c r="D236" i="34"/>
  <c r="D259" i="34"/>
  <c r="D285" i="34"/>
  <c r="D303" i="34"/>
  <c r="D308" i="34"/>
  <c r="D374" i="34"/>
  <c r="D384" i="34"/>
  <c r="D396" i="34"/>
  <c r="D404" i="34"/>
  <c r="D407" i="34"/>
  <c r="I18" i="34"/>
  <c r="M18" i="34"/>
  <c r="N18" i="34"/>
  <c r="O18" i="34"/>
  <c r="O24" i="34"/>
  <c r="O45" i="34"/>
  <c r="O49" i="34"/>
  <c r="O52" i="34"/>
  <c r="O63" i="34"/>
  <c r="O72" i="34"/>
  <c r="O85" i="34"/>
  <c r="O89" i="34"/>
  <c r="O90" i="34"/>
  <c r="O99" i="34"/>
  <c r="O139" i="34"/>
  <c r="O141" i="34"/>
  <c r="O150" i="34"/>
  <c r="O152" i="34"/>
  <c r="O162" i="34"/>
  <c r="O166" i="34"/>
  <c r="O174" i="34"/>
  <c r="O175" i="34"/>
  <c r="O177" i="34"/>
  <c r="O182" i="34"/>
  <c r="O192" i="34"/>
  <c r="O195" i="34"/>
  <c r="O207" i="34"/>
  <c r="O215" i="34"/>
  <c r="O232" i="34"/>
  <c r="O236" i="34"/>
  <c r="O259" i="34"/>
  <c r="O285" i="34"/>
  <c r="O303" i="34"/>
  <c r="O308" i="34"/>
  <c r="O374" i="34"/>
  <c r="O384" i="34"/>
  <c r="O396" i="34"/>
  <c r="O404" i="34"/>
  <c r="O407" i="34"/>
  <c r="P18" i="34"/>
  <c r="P24" i="34"/>
  <c r="P45" i="34"/>
  <c r="P49" i="34"/>
  <c r="P52" i="34"/>
  <c r="P63" i="34"/>
  <c r="P72" i="34"/>
  <c r="P85" i="34"/>
  <c r="P89" i="34"/>
  <c r="P90" i="34"/>
  <c r="P99" i="34"/>
  <c r="P139" i="34"/>
  <c r="P141" i="34"/>
  <c r="P150" i="34"/>
  <c r="P152" i="34"/>
  <c r="P162" i="34"/>
  <c r="P166" i="34"/>
  <c r="P174" i="34"/>
  <c r="P175" i="34"/>
  <c r="P177" i="34"/>
  <c r="P182" i="34"/>
  <c r="P192" i="34"/>
  <c r="P195" i="34"/>
  <c r="P207" i="34"/>
  <c r="P215" i="34"/>
  <c r="P232" i="34"/>
  <c r="P236" i="34"/>
  <c r="P259" i="34"/>
  <c r="P285" i="34"/>
  <c r="P303" i="34"/>
  <c r="P308" i="34"/>
  <c r="P374" i="34"/>
  <c r="P384" i="34"/>
  <c r="P396" i="34"/>
  <c r="P404" i="34"/>
  <c r="P407" i="34"/>
  <c r="Q18" i="34"/>
  <c r="Q24" i="34"/>
  <c r="Q45" i="34"/>
  <c r="Q49" i="34"/>
  <c r="Q52" i="34"/>
  <c r="Q63" i="34"/>
  <c r="Q72" i="34"/>
  <c r="Q85" i="34"/>
  <c r="Q89" i="34"/>
  <c r="Q90" i="34"/>
  <c r="Q99" i="34"/>
  <c r="Q139" i="34"/>
  <c r="Q141" i="34"/>
  <c r="Q150" i="34"/>
  <c r="Q152" i="34"/>
  <c r="Q162" i="34"/>
  <c r="Q166" i="34"/>
  <c r="Q174" i="34"/>
  <c r="Q175" i="34"/>
  <c r="Q177" i="34"/>
  <c r="Q182" i="34"/>
  <c r="Q192" i="34"/>
  <c r="Q195" i="34"/>
  <c r="Q207" i="34"/>
  <c r="Q215" i="34"/>
  <c r="Q232" i="34"/>
  <c r="Q236" i="34"/>
  <c r="Q259" i="34"/>
  <c r="Q285" i="34"/>
  <c r="Q303" i="34"/>
  <c r="Q308" i="34"/>
  <c r="Q374" i="34"/>
  <c r="Q384" i="34"/>
  <c r="Q396" i="34"/>
  <c r="Q404" i="34"/>
  <c r="Q407" i="34"/>
  <c r="V18" i="34"/>
  <c r="V24" i="34"/>
  <c r="V45" i="34"/>
  <c r="V49" i="34"/>
  <c r="V52" i="34"/>
  <c r="V63" i="34"/>
  <c r="V72" i="34"/>
  <c r="V85" i="34"/>
  <c r="V89" i="34"/>
  <c r="V90" i="34"/>
  <c r="V99" i="34"/>
  <c r="V139" i="34"/>
  <c r="V141" i="34"/>
  <c r="V150" i="34"/>
  <c r="V152" i="34"/>
  <c r="V162" i="34"/>
  <c r="V166" i="34"/>
  <c r="V174" i="34"/>
  <c r="V175" i="34"/>
  <c r="V177" i="34"/>
  <c r="V182" i="34"/>
  <c r="V192" i="34"/>
  <c r="V195" i="34"/>
  <c r="V207" i="34"/>
  <c r="V215" i="34"/>
  <c r="V232" i="34"/>
  <c r="V236" i="34"/>
  <c r="V259" i="34"/>
  <c r="V285" i="34"/>
  <c r="V303" i="34"/>
  <c r="V308" i="34"/>
  <c r="V374" i="34"/>
  <c r="V384" i="34"/>
  <c r="V396" i="34"/>
  <c r="V404" i="34"/>
  <c r="V407" i="34"/>
  <c r="W18" i="34"/>
  <c r="W24" i="34"/>
  <c r="W45" i="34"/>
  <c r="W49" i="34"/>
  <c r="W52" i="34"/>
  <c r="W63" i="34"/>
  <c r="W72" i="34"/>
  <c r="W85" i="34"/>
  <c r="W89" i="34"/>
  <c r="W90" i="34"/>
  <c r="W99" i="34"/>
  <c r="W139" i="34"/>
  <c r="W141" i="34"/>
  <c r="W150" i="34"/>
  <c r="W152" i="34"/>
  <c r="W162" i="34"/>
  <c r="W166" i="34"/>
  <c r="W174" i="34"/>
  <c r="W175" i="34"/>
  <c r="W177" i="34"/>
  <c r="W182" i="34"/>
  <c r="W192" i="34"/>
  <c r="W195" i="34"/>
  <c r="W207" i="34"/>
  <c r="W215" i="34"/>
  <c r="W232" i="34"/>
  <c r="W236" i="34"/>
  <c r="W259" i="34"/>
  <c r="W285" i="34"/>
  <c r="W303" i="34"/>
  <c r="W308" i="34"/>
  <c r="W374" i="34"/>
  <c r="W384" i="34"/>
  <c r="W396" i="34"/>
  <c r="W404" i="34"/>
  <c r="W407" i="34"/>
  <c r="X18" i="34"/>
  <c r="X24" i="34"/>
  <c r="X45" i="34"/>
  <c r="X49" i="34"/>
  <c r="X52" i="34"/>
  <c r="X63" i="34"/>
  <c r="X72" i="34"/>
  <c r="X85" i="34"/>
  <c r="X89" i="34"/>
  <c r="X90" i="34"/>
  <c r="X99" i="34"/>
  <c r="X139" i="34"/>
  <c r="X141" i="34"/>
  <c r="X150" i="34"/>
  <c r="X152" i="34"/>
  <c r="X162" i="34"/>
  <c r="X166" i="34"/>
  <c r="X174" i="34"/>
  <c r="X175" i="34"/>
  <c r="X177" i="34"/>
  <c r="X182" i="34"/>
  <c r="X192" i="34"/>
  <c r="X195" i="34"/>
  <c r="X207" i="34"/>
  <c r="X215" i="34"/>
  <c r="X232" i="34"/>
  <c r="X236" i="34"/>
  <c r="X259" i="34"/>
  <c r="X285" i="34"/>
  <c r="X303" i="34"/>
  <c r="X308" i="34"/>
  <c r="X374" i="34"/>
  <c r="X384" i="34"/>
  <c r="X396" i="34"/>
  <c r="X404" i="34"/>
  <c r="X407" i="34"/>
  <c r="Y18" i="34"/>
  <c r="Y24" i="34"/>
  <c r="Y45" i="34"/>
  <c r="Y49" i="34"/>
  <c r="Y52" i="34"/>
  <c r="Y63" i="34"/>
  <c r="Y72" i="34"/>
  <c r="Y85" i="34"/>
  <c r="Y89" i="34"/>
  <c r="Y90" i="34"/>
  <c r="Y99" i="34"/>
  <c r="Y139" i="34"/>
  <c r="Y141" i="34"/>
  <c r="Y150" i="34"/>
  <c r="Y152" i="34"/>
  <c r="Y162" i="34"/>
  <c r="Y166" i="34"/>
  <c r="Y174" i="34"/>
  <c r="Y175" i="34"/>
  <c r="Y177" i="34"/>
  <c r="Y182" i="34"/>
  <c r="Y192" i="34"/>
  <c r="Y195" i="34"/>
  <c r="Y207" i="34"/>
  <c r="Y215" i="34"/>
  <c r="Y232" i="34"/>
  <c r="Y236" i="34"/>
  <c r="Y259" i="34"/>
  <c r="Y285" i="34"/>
  <c r="Y303" i="34"/>
  <c r="Y308" i="34"/>
  <c r="Y374" i="34"/>
  <c r="Y384" i="34"/>
  <c r="Y396" i="34"/>
  <c r="Y404" i="34"/>
  <c r="Y407" i="34"/>
  <c r="Z18" i="34"/>
  <c r="Z24" i="34"/>
  <c r="Z45" i="34"/>
  <c r="Z49" i="34"/>
  <c r="Z52" i="34"/>
  <c r="Z63" i="34"/>
  <c r="Z72" i="34"/>
  <c r="Z85" i="34"/>
  <c r="Z89" i="34"/>
  <c r="Z90" i="34"/>
  <c r="Z99" i="34"/>
  <c r="Z139" i="34"/>
  <c r="Z141" i="34"/>
  <c r="Z150" i="34"/>
  <c r="Z152" i="34"/>
  <c r="Z162" i="34"/>
  <c r="Z166" i="34"/>
  <c r="Z174" i="34"/>
  <c r="Z175" i="34"/>
  <c r="Z177" i="34"/>
  <c r="Z182" i="34"/>
  <c r="Z192" i="34"/>
  <c r="Z195" i="34"/>
  <c r="Z207" i="34"/>
  <c r="Z215" i="34"/>
  <c r="Z232" i="34"/>
  <c r="Z236" i="34"/>
  <c r="Z259" i="34"/>
  <c r="Z285" i="34"/>
  <c r="Z303" i="34"/>
  <c r="Z308" i="34"/>
  <c r="Z374" i="34"/>
  <c r="Z384" i="34"/>
  <c r="Z396" i="34"/>
  <c r="Z404" i="34"/>
  <c r="Z407" i="34"/>
  <c r="AA18" i="34"/>
  <c r="AA24" i="34"/>
  <c r="AA45" i="34"/>
  <c r="AA49" i="34"/>
  <c r="AA52" i="34"/>
  <c r="AA63" i="34"/>
  <c r="AA72" i="34"/>
  <c r="AA85" i="34"/>
  <c r="AA89" i="34"/>
  <c r="AA90" i="34"/>
  <c r="AA99" i="34"/>
  <c r="AA139" i="34"/>
  <c r="AA141" i="34"/>
  <c r="AA150" i="34"/>
  <c r="AA152" i="34"/>
  <c r="AA162" i="34"/>
  <c r="AA166" i="34"/>
  <c r="AA174" i="34"/>
  <c r="AA175" i="34"/>
  <c r="AA177" i="34"/>
  <c r="AA182" i="34"/>
  <c r="AA192" i="34"/>
  <c r="AA195" i="34"/>
  <c r="AA207" i="34"/>
  <c r="AA215" i="34"/>
  <c r="AA232" i="34"/>
  <c r="AA236" i="34"/>
  <c r="AA259" i="34"/>
  <c r="AA285" i="34"/>
  <c r="AA303" i="34"/>
  <c r="AA308" i="34"/>
  <c r="AA374" i="34"/>
  <c r="AA384" i="34"/>
  <c r="AA396" i="34"/>
  <c r="AA404" i="34"/>
  <c r="AA407" i="34"/>
  <c r="AB18" i="34"/>
  <c r="AB24" i="34"/>
  <c r="AB45" i="34"/>
  <c r="AB49" i="34"/>
  <c r="AB52" i="34"/>
  <c r="AB63" i="34"/>
  <c r="AB72" i="34"/>
  <c r="AB85" i="34"/>
  <c r="AB89" i="34"/>
  <c r="AB90" i="34"/>
  <c r="AB99" i="34"/>
  <c r="AB139" i="34"/>
  <c r="AB141" i="34"/>
  <c r="AB150" i="34"/>
  <c r="AB152" i="34"/>
  <c r="AB162" i="34"/>
  <c r="AB166" i="34"/>
  <c r="AB174" i="34"/>
  <c r="AB175" i="34"/>
  <c r="AB177" i="34"/>
  <c r="AB182" i="34"/>
  <c r="AB192" i="34"/>
  <c r="AB195" i="34"/>
  <c r="AB207" i="34"/>
  <c r="AB215" i="34"/>
  <c r="AB232" i="34"/>
  <c r="AB236" i="34"/>
  <c r="AB259" i="34"/>
  <c r="AB285" i="34"/>
  <c r="AB303" i="34"/>
  <c r="AB308" i="34"/>
  <c r="AB374" i="34"/>
  <c r="AB384" i="34"/>
  <c r="AB396" i="34"/>
  <c r="AB404" i="34"/>
  <c r="AB407" i="34"/>
  <c r="AC18" i="34"/>
  <c r="AC24" i="34"/>
  <c r="AC45" i="34"/>
  <c r="AC49" i="34"/>
  <c r="AC52" i="34"/>
  <c r="AC63" i="34"/>
  <c r="AC72" i="34"/>
  <c r="AC85" i="34"/>
  <c r="AC89" i="34"/>
  <c r="AC90" i="34"/>
  <c r="AC99" i="34"/>
  <c r="AC139" i="34"/>
  <c r="AC141" i="34"/>
  <c r="AC150" i="34"/>
  <c r="AC152" i="34"/>
  <c r="AC162" i="34"/>
  <c r="AC166" i="34"/>
  <c r="AC174" i="34"/>
  <c r="AC175" i="34"/>
  <c r="AC177" i="34"/>
  <c r="AC182" i="34"/>
  <c r="AC192" i="34"/>
  <c r="AC195" i="34"/>
  <c r="AC207" i="34"/>
  <c r="AC215" i="34"/>
  <c r="AC232" i="34"/>
  <c r="AC236" i="34"/>
  <c r="AC259" i="34"/>
  <c r="AC285" i="34"/>
  <c r="AC303" i="34"/>
  <c r="AC308" i="34"/>
  <c r="AC374" i="34"/>
  <c r="AC384" i="34"/>
  <c r="AC396" i="34"/>
  <c r="AC404" i="34"/>
  <c r="AC407" i="34"/>
  <c r="AD18" i="34"/>
  <c r="AD24" i="34"/>
  <c r="AD45" i="34"/>
  <c r="AD49" i="34"/>
  <c r="AD52" i="34"/>
  <c r="AD63" i="34"/>
  <c r="AD72" i="34"/>
  <c r="AD85" i="34"/>
  <c r="AD89" i="34"/>
  <c r="AD90" i="34"/>
  <c r="AD99" i="34"/>
  <c r="AD139" i="34"/>
  <c r="AD141" i="34"/>
  <c r="AD150" i="34"/>
  <c r="AD152" i="34"/>
  <c r="AD162" i="34"/>
  <c r="AD166" i="34"/>
  <c r="AD174" i="34"/>
  <c r="AD175" i="34"/>
  <c r="AD177" i="34"/>
  <c r="AD182" i="34"/>
  <c r="AD192" i="34"/>
  <c r="AD195" i="34"/>
  <c r="AD207" i="34"/>
  <c r="AD215" i="34"/>
  <c r="AD232" i="34"/>
  <c r="AD236" i="34"/>
  <c r="AD259" i="34"/>
  <c r="AD285" i="34"/>
  <c r="AD303" i="34"/>
  <c r="AD308" i="34"/>
  <c r="AD374" i="34"/>
  <c r="AD384" i="34"/>
  <c r="AD396" i="34"/>
  <c r="AD404" i="34"/>
  <c r="AD407" i="34"/>
  <c r="AE18" i="34"/>
  <c r="AE24" i="34"/>
  <c r="AE45" i="34"/>
  <c r="AE49" i="34"/>
  <c r="AE52" i="34"/>
  <c r="AE63" i="34"/>
  <c r="AE72" i="34"/>
  <c r="AE85" i="34"/>
  <c r="AE89" i="34"/>
  <c r="AE90" i="34"/>
  <c r="AE99" i="34"/>
  <c r="AE139" i="34"/>
  <c r="AE141" i="34"/>
  <c r="AE150" i="34"/>
  <c r="AE152" i="34"/>
  <c r="AE162" i="34"/>
  <c r="AE166" i="34"/>
  <c r="AE174" i="34"/>
  <c r="AE175" i="34"/>
  <c r="AE177" i="34"/>
  <c r="AE182" i="34"/>
  <c r="AE192" i="34"/>
  <c r="AE195" i="34"/>
  <c r="AE207" i="34"/>
  <c r="AE215" i="34"/>
  <c r="AE232" i="34"/>
  <c r="AE236" i="34"/>
  <c r="AE259" i="34"/>
  <c r="AE285" i="34"/>
  <c r="AE303" i="34"/>
  <c r="AE308" i="34"/>
  <c r="AE374" i="34"/>
  <c r="AE384" i="34"/>
  <c r="AE396" i="34"/>
  <c r="AE404" i="34"/>
  <c r="AE407" i="34"/>
  <c r="AF18" i="34"/>
  <c r="AF24" i="34"/>
  <c r="AF45" i="34"/>
  <c r="AF49" i="34"/>
  <c r="AF52" i="34"/>
  <c r="AF63" i="34"/>
  <c r="AF72" i="34"/>
  <c r="AF85" i="34"/>
  <c r="AF89" i="34"/>
  <c r="AF90" i="34"/>
  <c r="AF99" i="34"/>
  <c r="AF139" i="34"/>
  <c r="AF141" i="34"/>
  <c r="AF150" i="34"/>
  <c r="AF152" i="34"/>
  <c r="AF162" i="34"/>
  <c r="AF166" i="34"/>
  <c r="AF174" i="34"/>
  <c r="AF175" i="34"/>
  <c r="AF177" i="34"/>
  <c r="AF182" i="34"/>
  <c r="AF192" i="34"/>
  <c r="AF195" i="34"/>
  <c r="AF207" i="34"/>
  <c r="AF215" i="34"/>
  <c r="AF232" i="34"/>
  <c r="AF236" i="34"/>
  <c r="AF259" i="34"/>
  <c r="AF285" i="34"/>
  <c r="AF303" i="34"/>
  <c r="AF308" i="34"/>
  <c r="AF374" i="34"/>
  <c r="AF384" i="34"/>
  <c r="AF396" i="34"/>
  <c r="AF404" i="34"/>
  <c r="AF407" i="34"/>
  <c r="AG18" i="34"/>
  <c r="AG24" i="34"/>
  <c r="AG45" i="34"/>
  <c r="AG49" i="34"/>
  <c r="AG52" i="34"/>
  <c r="AG63" i="34"/>
  <c r="AG72" i="34"/>
  <c r="AG85" i="34"/>
  <c r="AG89" i="34"/>
  <c r="AG90" i="34"/>
  <c r="AG99" i="34"/>
  <c r="AG139" i="34"/>
  <c r="AG141" i="34"/>
  <c r="AG150" i="34"/>
  <c r="AG152" i="34"/>
  <c r="AG162" i="34"/>
  <c r="AG166" i="34"/>
  <c r="AG174" i="34"/>
  <c r="AG175" i="34"/>
  <c r="AG177" i="34"/>
  <c r="AG182" i="34"/>
  <c r="AG192" i="34"/>
  <c r="AG195" i="34"/>
  <c r="AG207" i="34"/>
  <c r="AG215" i="34"/>
  <c r="AG232" i="34"/>
  <c r="AG236" i="34"/>
  <c r="AG259" i="34"/>
  <c r="AG285" i="34"/>
  <c r="AG303" i="34"/>
  <c r="AG308" i="34"/>
  <c r="AG374" i="34"/>
  <c r="AG384" i="34"/>
  <c r="AG396" i="34"/>
  <c r="AG404" i="34"/>
  <c r="AG407" i="34"/>
  <c r="D35" i="34"/>
  <c r="D47" i="34"/>
  <c r="D66" i="34"/>
  <c r="D87" i="34"/>
  <c r="D95" i="34"/>
  <c r="D112" i="34"/>
  <c r="D116" i="34"/>
  <c r="D132" i="34"/>
  <c r="D178" i="34"/>
  <c r="D196" i="34"/>
  <c r="D209" i="34"/>
  <c r="D223" i="34"/>
  <c r="D264" i="34"/>
  <c r="D274" i="34"/>
  <c r="D277" i="34"/>
  <c r="D291" i="34"/>
  <c r="D295" i="34"/>
  <c r="D298" i="34"/>
  <c r="D301" i="34"/>
  <c r="D302" i="34"/>
  <c r="D311" i="34"/>
  <c r="D323" i="34"/>
  <c r="D356" i="34"/>
  <c r="D364" i="34"/>
  <c r="D389" i="34"/>
  <c r="D411" i="34"/>
  <c r="O35" i="34"/>
  <c r="O47" i="34"/>
  <c r="O66" i="34"/>
  <c r="O87" i="34"/>
  <c r="O95" i="34"/>
  <c r="O112" i="34"/>
  <c r="O116" i="34"/>
  <c r="O132" i="34"/>
  <c r="O178" i="34"/>
  <c r="O196" i="34"/>
  <c r="O209" i="34"/>
  <c r="O223" i="34"/>
  <c r="O264" i="34"/>
  <c r="O274" i="34"/>
  <c r="O277" i="34"/>
  <c r="O291" i="34"/>
  <c r="O295" i="34"/>
  <c r="O298" i="34"/>
  <c r="O301" i="34"/>
  <c r="O302" i="34"/>
  <c r="O311" i="34"/>
  <c r="O323" i="34"/>
  <c r="O356" i="34"/>
  <c r="O364" i="34"/>
  <c r="O389" i="34"/>
  <c r="O411" i="34"/>
  <c r="P35" i="34"/>
  <c r="P47" i="34"/>
  <c r="P66" i="34"/>
  <c r="P87" i="34"/>
  <c r="P95" i="34"/>
  <c r="P112" i="34"/>
  <c r="P116" i="34"/>
  <c r="P132" i="34"/>
  <c r="P178" i="34"/>
  <c r="P196" i="34"/>
  <c r="P209" i="34"/>
  <c r="P223" i="34"/>
  <c r="P264" i="34"/>
  <c r="P274" i="34"/>
  <c r="P277" i="34"/>
  <c r="P291" i="34"/>
  <c r="P295" i="34"/>
  <c r="P298" i="34"/>
  <c r="P301" i="34"/>
  <c r="P302" i="34"/>
  <c r="P311" i="34"/>
  <c r="P323" i="34"/>
  <c r="P356" i="34"/>
  <c r="P364" i="34"/>
  <c r="P389" i="34"/>
  <c r="P411" i="34"/>
  <c r="Q35" i="34"/>
  <c r="Q47" i="34"/>
  <c r="Q66" i="34"/>
  <c r="Q87" i="34"/>
  <c r="Q95" i="34"/>
  <c r="Q112" i="34"/>
  <c r="Q116" i="34"/>
  <c r="Q132" i="34"/>
  <c r="Q178" i="34"/>
  <c r="Q196" i="34"/>
  <c r="Q209" i="34"/>
  <c r="Q223" i="34"/>
  <c r="Q264" i="34"/>
  <c r="Q274" i="34"/>
  <c r="Q277" i="34"/>
  <c r="Q291" i="34"/>
  <c r="Q295" i="34"/>
  <c r="Q298" i="34"/>
  <c r="Q301" i="34"/>
  <c r="Q302" i="34"/>
  <c r="Q311" i="34"/>
  <c r="Q323" i="34"/>
  <c r="Q356" i="34"/>
  <c r="Q364" i="34"/>
  <c r="Q389" i="34"/>
  <c r="Q411" i="34"/>
  <c r="V35" i="34"/>
  <c r="V47" i="34"/>
  <c r="V66" i="34"/>
  <c r="V87" i="34"/>
  <c r="V95" i="34"/>
  <c r="V112" i="34"/>
  <c r="V116" i="34"/>
  <c r="V132" i="34"/>
  <c r="V178" i="34"/>
  <c r="V196" i="34"/>
  <c r="V209" i="34"/>
  <c r="V223" i="34"/>
  <c r="V264" i="34"/>
  <c r="V274" i="34"/>
  <c r="V277" i="34"/>
  <c r="V291" i="34"/>
  <c r="V295" i="34"/>
  <c r="V298" i="34"/>
  <c r="V301" i="34"/>
  <c r="V302" i="34"/>
  <c r="V311" i="34"/>
  <c r="V323" i="34"/>
  <c r="V356" i="34"/>
  <c r="V364" i="34"/>
  <c r="V389" i="34"/>
  <c r="V411" i="34"/>
  <c r="W35" i="34"/>
  <c r="W47" i="34"/>
  <c r="W66" i="34"/>
  <c r="W87" i="34"/>
  <c r="W95" i="34"/>
  <c r="W112" i="34"/>
  <c r="W116" i="34"/>
  <c r="W132" i="34"/>
  <c r="W178" i="34"/>
  <c r="W196" i="34"/>
  <c r="W209" i="34"/>
  <c r="W223" i="34"/>
  <c r="W264" i="34"/>
  <c r="W274" i="34"/>
  <c r="W277" i="34"/>
  <c r="W291" i="34"/>
  <c r="W295" i="34"/>
  <c r="W298" i="34"/>
  <c r="W301" i="34"/>
  <c r="W302" i="34"/>
  <c r="W311" i="34"/>
  <c r="W323" i="34"/>
  <c r="W356" i="34"/>
  <c r="W364" i="34"/>
  <c r="W389" i="34"/>
  <c r="W411" i="34"/>
  <c r="X35" i="34"/>
  <c r="X47" i="34"/>
  <c r="X66" i="34"/>
  <c r="X87" i="34"/>
  <c r="X95" i="34"/>
  <c r="X112" i="34"/>
  <c r="X116" i="34"/>
  <c r="X132" i="34"/>
  <c r="X178" i="34"/>
  <c r="X196" i="34"/>
  <c r="X209" i="34"/>
  <c r="X223" i="34"/>
  <c r="X264" i="34"/>
  <c r="X274" i="34"/>
  <c r="X277" i="34"/>
  <c r="X291" i="34"/>
  <c r="X295" i="34"/>
  <c r="X298" i="34"/>
  <c r="X301" i="34"/>
  <c r="X302" i="34"/>
  <c r="X311" i="34"/>
  <c r="X323" i="34"/>
  <c r="X356" i="34"/>
  <c r="X364" i="34"/>
  <c r="X389" i="34"/>
  <c r="X411" i="34"/>
  <c r="Y35" i="34"/>
  <c r="Y47" i="34"/>
  <c r="Y66" i="34"/>
  <c r="Y87" i="34"/>
  <c r="Y95" i="34"/>
  <c r="Y112" i="34"/>
  <c r="Y116" i="34"/>
  <c r="Y132" i="34"/>
  <c r="Y178" i="34"/>
  <c r="Y196" i="34"/>
  <c r="Y209" i="34"/>
  <c r="Y223" i="34"/>
  <c r="Y264" i="34"/>
  <c r="Y274" i="34"/>
  <c r="Y277" i="34"/>
  <c r="Y291" i="34"/>
  <c r="Y295" i="34"/>
  <c r="Y298" i="34"/>
  <c r="Y301" i="34"/>
  <c r="Y302" i="34"/>
  <c r="Y311" i="34"/>
  <c r="Y323" i="34"/>
  <c r="Y356" i="34"/>
  <c r="Y364" i="34"/>
  <c r="Y389" i="34"/>
  <c r="Y411" i="34"/>
  <c r="Z35" i="34"/>
  <c r="Z47" i="34"/>
  <c r="Z66" i="34"/>
  <c r="Z87" i="34"/>
  <c r="Z95" i="34"/>
  <c r="Z112" i="34"/>
  <c r="Z116" i="34"/>
  <c r="Z132" i="34"/>
  <c r="Z178" i="34"/>
  <c r="Z196" i="34"/>
  <c r="Z209" i="34"/>
  <c r="Z223" i="34"/>
  <c r="Z264" i="34"/>
  <c r="Z274" i="34"/>
  <c r="Z277" i="34"/>
  <c r="Z291" i="34"/>
  <c r="Z295" i="34"/>
  <c r="Z298" i="34"/>
  <c r="Z301" i="34"/>
  <c r="Z302" i="34"/>
  <c r="Z311" i="34"/>
  <c r="Z323" i="34"/>
  <c r="Z356" i="34"/>
  <c r="Z364" i="34"/>
  <c r="Z389" i="34"/>
  <c r="Z411" i="34"/>
  <c r="AA35" i="34"/>
  <c r="AA47" i="34"/>
  <c r="AA66" i="34"/>
  <c r="AA87" i="34"/>
  <c r="AA95" i="34"/>
  <c r="AA112" i="34"/>
  <c r="AA116" i="34"/>
  <c r="AA132" i="34"/>
  <c r="AA178" i="34"/>
  <c r="AA196" i="34"/>
  <c r="AA209" i="34"/>
  <c r="AA223" i="34"/>
  <c r="AA264" i="34"/>
  <c r="AA274" i="34"/>
  <c r="AA277" i="34"/>
  <c r="AA291" i="34"/>
  <c r="AA295" i="34"/>
  <c r="AA298" i="34"/>
  <c r="AA301" i="34"/>
  <c r="AA302" i="34"/>
  <c r="AA311" i="34"/>
  <c r="AA323" i="34"/>
  <c r="AA356" i="34"/>
  <c r="AA364" i="34"/>
  <c r="AA389" i="34"/>
  <c r="AA411" i="34"/>
  <c r="AB35" i="34"/>
  <c r="AB47" i="34"/>
  <c r="AB66" i="34"/>
  <c r="AB87" i="34"/>
  <c r="AB95" i="34"/>
  <c r="AB112" i="34"/>
  <c r="AB116" i="34"/>
  <c r="AB132" i="34"/>
  <c r="AB178" i="34"/>
  <c r="AB196" i="34"/>
  <c r="AB209" i="34"/>
  <c r="AB223" i="34"/>
  <c r="AB264" i="34"/>
  <c r="AB274" i="34"/>
  <c r="AB277" i="34"/>
  <c r="AB291" i="34"/>
  <c r="AB295" i="34"/>
  <c r="AB298" i="34"/>
  <c r="AB301" i="34"/>
  <c r="AB302" i="34"/>
  <c r="AB311" i="34"/>
  <c r="AB323" i="34"/>
  <c r="AB356" i="34"/>
  <c r="AB364" i="34"/>
  <c r="AB389" i="34"/>
  <c r="AB411" i="34"/>
  <c r="AC35" i="34"/>
  <c r="AC47" i="34"/>
  <c r="AC66" i="34"/>
  <c r="AC87" i="34"/>
  <c r="AC95" i="34"/>
  <c r="AC112" i="34"/>
  <c r="AC116" i="34"/>
  <c r="AC132" i="34"/>
  <c r="AC178" i="34"/>
  <c r="AC196" i="34"/>
  <c r="AC209" i="34"/>
  <c r="AC223" i="34"/>
  <c r="AC264" i="34"/>
  <c r="AC274" i="34"/>
  <c r="AC277" i="34"/>
  <c r="AC291" i="34"/>
  <c r="AC295" i="34"/>
  <c r="AC298" i="34"/>
  <c r="AC301" i="34"/>
  <c r="AC302" i="34"/>
  <c r="AC311" i="34"/>
  <c r="AC323" i="34"/>
  <c r="AC356" i="34"/>
  <c r="AC364" i="34"/>
  <c r="AC389" i="34"/>
  <c r="AC411" i="34"/>
  <c r="AD35" i="34"/>
  <c r="AD47" i="34"/>
  <c r="AD66" i="34"/>
  <c r="AD87" i="34"/>
  <c r="AD95" i="34"/>
  <c r="AD112" i="34"/>
  <c r="AD116" i="34"/>
  <c r="AD132" i="34"/>
  <c r="AD178" i="34"/>
  <c r="AD196" i="34"/>
  <c r="AD209" i="34"/>
  <c r="AD223" i="34"/>
  <c r="AD264" i="34"/>
  <c r="AD274" i="34"/>
  <c r="AD277" i="34"/>
  <c r="AD291" i="34"/>
  <c r="AD295" i="34"/>
  <c r="AD298" i="34"/>
  <c r="AD301" i="34"/>
  <c r="AD302" i="34"/>
  <c r="AD311" i="34"/>
  <c r="AD323" i="34"/>
  <c r="AD356" i="34"/>
  <c r="AD364" i="34"/>
  <c r="AD389" i="34"/>
  <c r="AD411" i="34"/>
  <c r="AE35" i="34"/>
  <c r="AE47" i="34"/>
  <c r="AE66" i="34"/>
  <c r="AE87" i="34"/>
  <c r="AE95" i="34"/>
  <c r="AE112" i="34"/>
  <c r="AE116" i="34"/>
  <c r="AE132" i="34"/>
  <c r="AE178" i="34"/>
  <c r="AE196" i="34"/>
  <c r="AE209" i="34"/>
  <c r="AE223" i="34"/>
  <c r="AE264" i="34"/>
  <c r="AE274" i="34"/>
  <c r="AE277" i="34"/>
  <c r="AE291" i="34"/>
  <c r="AE295" i="34"/>
  <c r="AE298" i="34"/>
  <c r="AE301" i="34"/>
  <c r="AE302" i="34"/>
  <c r="AE311" i="34"/>
  <c r="AE323" i="34"/>
  <c r="AE356" i="34"/>
  <c r="AE364" i="34"/>
  <c r="AE389" i="34"/>
  <c r="AE411" i="34"/>
  <c r="AF35" i="34"/>
  <c r="AF47" i="34"/>
  <c r="AF66" i="34"/>
  <c r="AF87" i="34"/>
  <c r="AF95" i="34"/>
  <c r="AF112" i="34"/>
  <c r="AF116" i="34"/>
  <c r="AF132" i="34"/>
  <c r="AF178" i="34"/>
  <c r="AF196" i="34"/>
  <c r="AF209" i="34"/>
  <c r="AF223" i="34"/>
  <c r="AF264" i="34"/>
  <c r="AF274" i="34"/>
  <c r="AF277" i="34"/>
  <c r="AF291" i="34"/>
  <c r="AF295" i="34"/>
  <c r="AF298" i="34"/>
  <c r="AF301" i="34"/>
  <c r="AF302" i="34"/>
  <c r="AF311" i="34"/>
  <c r="AF323" i="34"/>
  <c r="AF356" i="34"/>
  <c r="AF364" i="34"/>
  <c r="AF389" i="34"/>
  <c r="AF411" i="34"/>
  <c r="AG35" i="34"/>
  <c r="AG47" i="34"/>
  <c r="AG66" i="34"/>
  <c r="AG87" i="34"/>
  <c r="AG95" i="34"/>
  <c r="AG112" i="34"/>
  <c r="AG116" i="34"/>
  <c r="AG132" i="34"/>
  <c r="AG178" i="34"/>
  <c r="AG196" i="34"/>
  <c r="AG209" i="34"/>
  <c r="AG223" i="34"/>
  <c r="AG264" i="34"/>
  <c r="AG274" i="34"/>
  <c r="AG277" i="34"/>
  <c r="AG291" i="34"/>
  <c r="AG295" i="34"/>
  <c r="AG298" i="34"/>
  <c r="AG301" i="34"/>
  <c r="AG302" i="34"/>
  <c r="AG311" i="34"/>
  <c r="AG323" i="34"/>
  <c r="AG356" i="34"/>
  <c r="AG364" i="34"/>
  <c r="AG389" i="34"/>
  <c r="AG411" i="34"/>
  <c r="D22" i="34"/>
  <c r="D81" i="34"/>
  <c r="D93" i="34"/>
  <c r="D125" i="34"/>
  <c r="D131" i="34"/>
  <c r="D138" i="34"/>
  <c r="D179" i="34"/>
  <c r="D211" i="34"/>
  <c r="D224" i="34"/>
  <c r="D258" i="34"/>
  <c r="D273" i="34"/>
  <c r="D328" i="34"/>
  <c r="D349" i="34"/>
  <c r="D376" i="34"/>
  <c r="D387" i="34"/>
  <c r="D393" i="34"/>
  <c r="D415" i="34"/>
  <c r="D428" i="34"/>
  <c r="D439" i="34"/>
  <c r="O22" i="34"/>
  <c r="O81" i="34"/>
  <c r="O93" i="34"/>
  <c r="O125" i="34"/>
  <c r="O131" i="34"/>
  <c r="O138" i="34"/>
  <c r="O179" i="34"/>
  <c r="O211" i="34"/>
  <c r="O224" i="34"/>
  <c r="O258" i="34"/>
  <c r="O273" i="34"/>
  <c r="O328" i="34"/>
  <c r="O349" i="34"/>
  <c r="O376" i="34"/>
  <c r="O387" i="34"/>
  <c r="O393" i="34"/>
  <c r="O415" i="34"/>
  <c r="O428" i="34"/>
  <c r="O439" i="34"/>
  <c r="P22" i="34"/>
  <c r="P81" i="34"/>
  <c r="P93" i="34"/>
  <c r="P125" i="34"/>
  <c r="P131" i="34"/>
  <c r="P138" i="34"/>
  <c r="P179" i="34"/>
  <c r="P211" i="34"/>
  <c r="P224" i="34"/>
  <c r="P258" i="34"/>
  <c r="P273" i="34"/>
  <c r="P328" i="34"/>
  <c r="P349" i="34"/>
  <c r="P376" i="34"/>
  <c r="P387" i="34"/>
  <c r="P393" i="34"/>
  <c r="P415" i="34"/>
  <c r="P428" i="34"/>
  <c r="P439" i="34"/>
  <c r="Q22" i="34"/>
  <c r="Q81" i="34"/>
  <c r="Q93" i="34"/>
  <c r="Q125" i="34"/>
  <c r="Q131" i="34"/>
  <c r="Q138" i="34"/>
  <c r="Q179" i="34"/>
  <c r="Q211" i="34"/>
  <c r="Q224" i="34"/>
  <c r="Q258" i="34"/>
  <c r="Q273" i="34"/>
  <c r="Q328" i="34"/>
  <c r="Q349" i="34"/>
  <c r="Q376" i="34"/>
  <c r="Q387" i="34"/>
  <c r="Q393" i="34"/>
  <c r="Q415" i="34"/>
  <c r="Q428" i="34"/>
  <c r="Q439" i="34"/>
  <c r="V22" i="34"/>
  <c r="V81" i="34"/>
  <c r="V93" i="34"/>
  <c r="V125" i="34"/>
  <c r="V131" i="34"/>
  <c r="V138" i="34"/>
  <c r="V179" i="34"/>
  <c r="V211" i="34"/>
  <c r="V224" i="34"/>
  <c r="V258" i="34"/>
  <c r="V273" i="34"/>
  <c r="V328" i="34"/>
  <c r="V349" i="34"/>
  <c r="V376" i="34"/>
  <c r="V387" i="34"/>
  <c r="V393" i="34"/>
  <c r="V415" i="34"/>
  <c r="V428" i="34"/>
  <c r="V439" i="34"/>
  <c r="W22" i="34"/>
  <c r="W81" i="34"/>
  <c r="W93" i="34"/>
  <c r="W125" i="34"/>
  <c r="W131" i="34"/>
  <c r="W138" i="34"/>
  <c r="W179" i="34"/>
  <c r="W211" i="34"/>
  <c r="W224" i="34"/>
  <c r="W258" i="34"/>
  <c r="W273" i="34"/>
  <c r="W328" i="34"/>
  <c r="W349" i="34"/>
  <c r="W376" i="34"/>
  <c r="W387" i="34"/>
  <c r="W393" i="34"/>
  <c r="W415" i="34"/>
  <c r="W428" i="34"/>
  <c r="W439" i="34"/>
  <c r="X22" i="34"/>
  <c r="X81" i="34"/>
  <c r="X93" i="34"/>
  <c r="X125" i="34"/>
  <c r="X131" i="34"/>
  <c r="X138" i="34"/>
  <c r="X179" i="34"/>
  <c r="X211" i="34"/>
  <c r="X224" i="34"/>
  <c r="X258" i="34"/>
  <c r="X273" i="34"/>
  <c r="X328" i="34"/>
  <c r="X349" i="34"/>
  <c r="X376" i="34"/>
  <c r="X387" i="34"/>
  <c r="X393" i="34"/>
  <c r="X415" i="34"/>
  <c r="X428" i="34"/>
  <c r="X439" i="34"/>
  <c r="Y22" i="34"/>
  <c r="Y81" i="34"/>
  <c r="Y93" i="34"/>
  <c r="Y125" i="34"/>
  <c r="Y131" i="34"/>
  <c r="Y138" i="34"/>
  <c r="Y179" i="34"/>
  <c r="Y211" i="34"/>
  <c r="Y224" i="34"/>
  <c r="Y258" i="34"/>
  <c r="Y273" i="34"/>
  <c r="Y328" i="34"/>
  <c r="Y349" i="34"/>
  <c r="Y376" i="34"/>
  <c r="Y387" i="34"/>
  <c r="Y393" i="34"/>
  <c r="Y415" i="34"/>
  <c r="Y428" i="34"/>
  <c r="Y439" i="34"/>
  <c r="Z22" i="34"/>
  <c r="Z81" i="34"/>
  <c r="Z93" i="34"/>
  <c r="Z125" i="34"/>
  <c r="Z131" i="34"/>
  <c r="Z138" i="34"/>
  <c r="Z179" i="34"/>
  <c r="Z211" i="34"/>
  <c r="Z224" i="34"/>
  <c r="Z258" i="34"/>
  <c r="Z273" i="34"/>
  <c r="Z328" i="34"/>
  <c r="Z349" i="34"/>
  <c r="Z376" i="34"/>
  <c r="Z387" i="34"/>
  <c r="Z393" i="34"/>
  <c r="Z415" i="34"/>
  <c r="Z428" i="34"/>
  <c r="Z439" i="34"/>
  <c r="AA22" i="34"/>
  <c r="AA81" i="34"/>
  <c r="AA93" i="34"/>
  <c r="AA125" i="34"/>
  <c r="AA131" i="34"/>
  <c r="AA138" i="34"/>
  <c r="AA179" i="34"/>
  <c r="AA211" i="34"/>
  <c r="AA224" i="34"/>
  <c r="AA258" i="34"/>
  <c r="AA273" i="34"/>
  <c r="AA328" i="34"/>
  <c r="AA349" i="34"/>
  <c r="AA376" i="34"/>
  <c r="AA387" i="34"/>
  <c r="AA393" i="34"/>
  <c r="AA415" i="34"/>
  <c r="AA428" i="34"/>
  <c r="AA439" i="34"/>
  <c r="AB22" i="34"/>
  <c r="AB81" i="34"/>
  <c r="AB93" i="34"/>
  <c r="AB125" i="34"/>
  <c r="AB131" i="34"/>
  <c r="AB138" i="34"/>
  <c r="AB179" i="34"/>
  <c r="AB211" i="34"/>
  <c r="AB224" i="34"/>
  <c r="AB258" i="34"/>
  <c r="AB273" i="34"/>
  <c r="AB328" i="34"/>
  <c r="AB349" i="34"/>
  <c r="AB376" i="34"/>
  <c r="AB387" i="34"/>
  <c r="AB393" i="34"/>
  <c r="AB415" i="34"/>
  <c r="AB428" i="34"/>
  <c r="AB439" i="34"/>
  <c r="AC22" i="34"/>
  <c r="AC81" i="34"/>
  <c r="AC93" i="34"/>
  <c r="AC125" i="34"/>
  <c r="AC131" i="34"/>
  <c r="AC138" i="34"/>
  <c r="AC179" i="34"/>
  <c r="AC211" i="34"/>
  <c r="AC224" i="34"/>
  <c r="AC258" i="34"/>
  <c r="AC273" i="34"/>
  <c r="AC328" i="34"/>
  <c r="AC349" i="34"/>
  <c r="AC376" i="34"/>
  <c r="AC387" i="34"/>
  <c r="AC393" i="34"/>
  <c r="AC415" i="34"/>
  <c r="AC428" i="34"/>
  <c r="AC439" i="34"/>
  <c r="AD22" i="34"/>
  <c r="AD81" i="34"/>
  <c r="AD93" i="34"/>
  <c r="AD125" i="34"/>
  <c r="AD131" i="34"/>
  <c r="AD138" i="34"/>
  <c r="AD179" i="34"/>
  <c r="AD211" i="34"/>
  <c r="AD224" i="34"/>
  <c r="AD258" i="34"/>
  <c r="AD273" i="34"/>
  <c r="AD328" i="34"/>
  <c r="AD349" i="34"/>
  <c r="AD376" i="34"/>
  <c r="AD387" i="34"/>
  <c r="AD393" i="34"/>
  <c r="AD415" i="34"/>
  <c r="AD428" i="34"/>
  <c r="AD439" i="34"/>
  <c r="AE22" i="34"/>
  <c r="AE81" i="34"/>
  <c r="AE93" i="34"/>
  <c r="AE125" i="34"/>
  <c r="AE131" i="34"/>
  <c r="AE138" i="34"/>
  <c r="AE179" i="34"/>
  <c r="AE211" i="34"/>
  <c r="AE224" i="34"/>
  <c r="AE258" i="34"/>
  <c r="AE273" i="34"/>
  <c r="AE328" i="34"/>
  <c r="AE349" i="34"/>
  <c r="AE376" i="34"/>
  <c r="AE387" i="34"/>
  <c r="AE393" i="34"/>
  <c r="AE415" i="34"/>
  <c r="AE428" i="34"/>
  <c r="AE439" i="34"/>
  <c r="AF22" i="34"/>
  <c r="AF81" i="34"/>
  <c r="AF93" i="34"/>
  <c r="AF125" i="34"/>
  <c r="AF131" i="34"/>
  <c r="AF138" i="34"/>
  <c r="AF179" i="34"/>
  <c r="AF211" i="34"/>
  <c r="AF224" i="34"/>
  <c r="AF258" i="34"/>
  <c r="AF273" i="34"/>
  <c r="AF328" i="34"/>
  <c r="AF349" i="34"/>
  <c r="AF376" i="34"/>
  <c r="AF387" i="34"/>
  <c r="AF393" i="34"/>
  <c r="AF415" i="34"/>
  <c r="AF428" i="34"/>
  <c r="AF439" i="34"/>
  <c r="AG22" i="34"/>
  <c r="AG81" i="34"/>
  <c r="AG93" i="34"/>
  <c r="AG125" i="34"/>
  <c r="AG131" i="34"/>
  <c r="AG138" i="34"/>
  <c r="AG179" i="34"/>
  <c r="AG211" i="34"/>
  <c r="AG224" i="34"/>
  <c r="AG258" i="34"/>
  <c r="AG273" i="34"/>
  <c r="AG328" i="34"/>
  <c r="AG349" i="34"/>
  <c r="AG376" i="34"/>
  <c r="AG387" i="34"/>
  <c r="AG393" i="34"/>
  <c r="AG415" i="34"/>
  <c r="AG428" i="34"/>
  <c r="AG439" i="34"/>
  <c r="D27" i="34"/>
  <c r="D60" i="34"/>
  <c r="D86" i="34"/>
  <c r="D117" i="34"/>
  <c r="D128" i="34"/>
  <c r="D134" i="34"/>
  <c r="D155" i="34"/>
  <c r="D167" i="34"/>
  <c r="D187" i="34"/>
  <c r="D216" i="34"/>
  <c r="D233" i="34"/>
  <c r="D241" i="34"/>
  <c r="D278" i="34"/>
  <c r="D314" i="34"/>
  <c r="D350" i="34"/>
  <c r="D355" i="34"/>
  <c r="D362" i="34"/>
  <c r="D366" i="34"/>
  <c r="D414" i="34"/>
  <c r="D418" i="34"/>
  <c r="D442" i="34"/>
  <c r="O27" i="34"/>
  <c r="O60" i="34"/>
  <c r="O86" i="34"/>
  <c r="O117" i="34"/>
  <c r="O128" i="34"/>
  <c r="O134" i="34"/>
  <c r="O155" i="34"/>
  <c r="O167" i="34"/>
  <c r="O187" i="34"/>
  <c r="O216" i="34"/>
  <c r="O233" i="34"/>
  <c r="O241" i="34"/>
  <c r="O278" i="34"/>
  <c r="O314" i="34"/>
  <c r="O350" i="34"/>
  <c r="O355" i="34"/>
  <c r="O362" i="34"/>
  <c r="O366" i="34"/>
  <c r="O414" i="34"/>
  <c r="O418" i="34"/>
  <c r="O442" i="34"/>
  <c r="P27" i="34"/>
  <c r="P60" i="34"/>
  <c r="P86" i="34"/>
  <c r="P117" i="34"/>
  <c r="P128" i="34"/>
  <c r="P134" i="34"/>
  <c r="P155" i="34"/>
  <c r="P167" i="34"/>
  <c r="P187" i="34"/>
  <c r="P216" i="34"/>
  <c r="P233" i="34"/>
  <c r="P241" i="34"/>
  <c r="P278" i="34"/>
  <c r="P314" i="34"/>
  <c r="P350" i="34"/>
  <c r="P355" i="34"/>
  <c r="P362" i="34"/>
  <c r="P366" i="34"/>
  <c r="P414" i="34"/>
  <c r="P418" i="34"/>
  <c r="P442" i="34"/>
  <c r="Q27" i="34"/>
  <c r="Q60" i="34"/>
  <c r="Q86" i="34"/>
  <c r="Q117" i="34"/>
  <c r="Q128" i="34"/>
  <c r="Q134" i="34"/>
  <c r="Q155" i="34"/>
  <c r="Q167" i="34"/>
  <c r="Q187" i="34"/>
  <c r="Q216" i="34"/>
  <c r="Q233" i="34"/>
  <c r="Q241" i="34"/>
  <c r="Q278" i="34"/>
  <c r="Q314" i="34"/>
  <c r="Q350" i="34"/>
  <c r="Q355" i="34"/>
  <c r="Q362" i="34"/>
  <c r="Q366" i="34"/>
  <c r="Q414" i="34"/>
  <c r="Q418" i="34"/>
  <c r="Q442" i="34"/>
  <c r="V27" i="34"/>
  <c r="V60" i="34"/>
  <c r="V86" i="34"/>
  <c r="V117" i="34"/>
  <c r="V128" i="34"/>
  <c r="V134" i="34"/>
  <c r="V155" i="34"/>
  <c r="V167" i="34"/>
  <c r="V187" i="34"/>
  <c r="V216" i="34"/>
  <c r="V233" i="34"/>
  <c r="V241" i="34"/>
  <c r="V278" i="34"/>
  <c r="V314" i="34"/>
  <c r="V350" i="34"/>
  <c r="V355" i="34"/>
  <c r="V362" i="34"/>
  <c r="V366" i="34"/>
  <c r="V414" i="34"/>
  <c r="V418" i="34"/>
  <c r="V442" i="34"/>
  <c r="W27" i="34"/>
  <c r="W60" i="34"/>
  <c r="W86" i="34"/>
  <c r="W117" i="34"/>
  <c r="W128" i="34"/>
  <c r="W134" i="34"/>
  <c r="W155" i="34"/>
  <c r="W167" i="34"/>
  <c r="W187" i="34"/>
  <c r="W216" i="34"/>
  <c r="W233" i="34"/>
  <c r="W241" i="34"/>
  <c r="W278" i="34"/>
  <c r="W314" i="34"/>
  <c r="W350" i="34"/>
  <c r="W355" i="34"/>
  <c r="W362" i="34"/>
  <c r="W366" i="34"/>
  <c r="W414" i="34"/>
  <c r="W418" i="34"/>
  <c r="W442" i="34"/>
  <c r="X27" i="34"/>
  <c r="X60" i="34"/>
  <c r="X86" i="34"/>
  <c r="X117" i="34"/>
  <c r="X128" i="34"/>
  <c r="X134" i="34"/>
  <c r="X155" i="34"/>
  <c r="X167" i="34"/>
  <c r="X187" i="34"/>
  <c r="X216" i="34"/>
  <c r="X233" i="34"/>
  <c r="X241" i="34"/>
  <c r="X278" i="34"/>
  <c r="X314" i="34"/>
  <c r="X350" i="34"/>
  <c r="X355" i="34"/>
  <c r="X362" i="34"/>
  <c r="X366" i="34"/>
  <c r="X414" i="34"/>
  <c r="X418" i="34"/>
  <c r="X442" i="34"/>
  <c r="Y27" i="34"/>
  <c r="Y60" i="34"/>
  <c r="Y86" i="34"/>
  <c r="Y117" i="34"/>
  <c r="Y128" i="34"/>
  <c r="Y134" i="34"/>
  <c r="Y155" i="34"/>
  <c r="Y167" i="34"/>
  <c r="Y187" i="34"/>
  <c r="Y216" i="34"/>
  <c r="Y233" i="34"/>
  <c r="Y241" i="34"/>
  <c r="Y278" i="34"/>
  <c r="Y314" i="34"/>
  <c r="Y350" i="34"/>
  <c r="Y355" i="34"/>
  <c r="Y362" i="34"/>
  <c r="Y366" i="34"/>
  <c r="Y414" i="34"/>
  <c r="Y418" i="34"/>
  <c r="Y442" i="34"/>
  <c r="Z27" i="34"/>
  <c r="Z60" i="34"/>
  <c r="Z86" i="34"/>
  <c r="Z117" i="34"/>
  <c r="Z128" i="34"/>
  <c r="Z134" i="34"/>
  <c r="Z155" i="34"/>
  <c r="Z167" i="34"/>
  <c r="Z187" i="34"/>
  <c r="Z216" i="34"/>
  <c r="Z233" i="34"/>
  <c r="Z241" i="34"/>
  <c r="Z278" i="34"/>
  <c r="Z314" i="34"/>
  <c r="Z350" i="34"/>
  <c r="Z355" i="34"/>
  <c r="Z362" i="34"/>
  <c r="Z366" i="34"/>
  <c r="Z414" i="34"/>
  <c r="Z418" i="34"/>
  <c r="Z442" i="34"/>
  <c r="AA27" i="34"/>
  <c r="AA60" i="34"/>
  <c r="AA86" i="34"/>
  <c r="AA117" i="34"/>
  <c r="AA128" i="34"/>
  <c r="AA134" i="34"/>
  <c r="AA155" i="34"/>
  <c r="AA167" i="34"/>
  <c r="AA187" i="34"/>
  <c r="AA216" i="34"/>
  <c r="AA233" i="34"/>
  <c r="AA241" i="34"/>
  <c r="AA278" i="34"/>
  <c r="AA314" i="34"/>
  <c r="AA350" i="34"/>
  <c r="AA355" i="34"/>
  <c r="AA362" i="34"/>
  <c r="AA366" i="34"/>
  <c r="AA414" i="34"/>
  <c r="AA418" i="34"/>
  <c r="AA442" i="34"/>
  <c r="AB27" i="34"/>
  <c r="AB60" i="34"/>
  <c r="AB86" i="34"/>
  <c r="AB117" i="34"/>
  <c r="AB128" i="34"/>
  <c r="AB134" i="34"/>
  <c r="AB155" i="34"/>
  <c r="AB167" i="34"/>
  <c r="AB187" i="34"/>
  <c r="AB216" i="34"/>
  <c r="AB233" i="34"/>
  <c r="AB241" i="34"/>
  <c r="AB278" i="34"/>
  <c r="AB314" i="34"/>
  <c r="AB350" i="34"/>
  <c r="AB355" i="34"/>
  <c r="AB362" i="34"/>
  <c r="AB366" i="34"/>
  <c r="AB414" i="34"/>
  <c r="AB418" i="34"/>
  <c r="AB442" i="34"/>
  <c r="AC27" i="34"/>
  <c r="AC60" i="34"/>
  <c r="AC86" i="34"/>
  <c r="AC117" i="34"/>
  <c r="AC128" i="34"/>
  <c r="AC134" i="34"/>
  <c r="AC155" i="34"/>
  <c r="AC167" i="34"/>
  <c r="AC187" i="34"/>
  <c r="AC216" i="34"/>
  <c r="AC233" i="34"/>
  <c r="AC241" i="34"/>
  <c r="AC278" i="34"/>
  <c r="AC314" i="34"/>
  <c r="AC350" i="34"/>
  <c r="AC355" i="34"/>
  <c r="AC362" i="34"/>
  <c r="AC366" i="34"/>
  <c r="AC414" i="34"/>
  <c r="AC418" i="34"/>
  <c r="AC442" i="34"/>
  <c r="AD27" i="34"/>
  <c r="AD60" i="34"/>
  <c r="AD86" i="34"/>
  <c r="AD117" i="34"/>
  <c r="AD128" i="34"/>
  <c r="AD134" i="34"/>
  <c r="AD155" i="34"/>
  <c r="AD167" i="34"/>
  <c r="AD187" i="34"/>
  <c r="AD216" i="34"/>
  <c r="AD233" i="34"/>
  <c r="AD241" i="34"/>
  <c r="AD278" i="34"/>
  <c r="AD314" i="34"/>
  <c r="AD350" i="34"/>
  <c r="AD355" i="34"/>
  <c r="AD362" i="34"/>
  <c r="AD366" i="34"/>
  <c r="AD414" i="34"/>
  <c r="AD418" i="34"/>
  <c r="AD442" i="34"/>
  <c r="AE27" i="34"/>
  <c r="AE60" i="34"/>
  <c r="AE86" i="34"/>
  <c r="AE117" i="34"/>
  <c r="AE128" i="34"/>
  <c r="AE134" i="34"/>
  <c r="AE155" i="34"/>
  <c r="AE167" i="34"/>
  <c r="AE187" i="34"/>
  <c r="AE216" i="34"/>
  <c r="AE233" i="34"/>
  <c r="AE241" i="34"/>
  <c r="AE278" i="34"/>
  <c r="AE314" i="34"/>
  <c r="AE350" i="34"/>
  <c r="AE355" i="34"/>
  <c r="AE362" i="34"/>
  <c r="AE366" i="34"/>
  <c r="AE414" i="34"/>
  <c r="AE418" i="34"/>
  <c r="AE442" i="34"/>
  <c r="AF27" i="34"/>
  <c r="AF60" i="34"/>
  <c r="AF86" i="34"/>
  <c r="AF117" i="34"/>
  <c r="AF128" i="34"/>
  <c r="AF134" i="34"/>
  <c r="AF155" i="34"/>
  <c r="AF167" i="34"/>
  <c r="AF187" i="34"/>
  <c r="AF216" i="34"/>
  <c r="AF233" i="34"/>
  <c r="AF241" i="34"/>
  <c r="AF278" i="34"/>
  <c r="AF314" i="34"/>
  <c r="AF350" i="34"/>
  <c r="AF355" i="34"/>
  <c r="AF362" i="34"/>
  <c r="AF366" i="34"/>
  <c r="AF414" i="34"/>
  <c r="AF418" i="34"/>
  <c r="AF442" i="34"/>
  <c r="AG27" i="34"/>
  <c r="AG60" i="34"/>
  <c r="AG86" i="34"/>
  <c r="AG117" i="34"/>
  <c r="AG128" i="34"/>
  <c r="AG134" i="34"/>
  <c r="AG155" i="34"/>
  <c r="AG167" i="34"/>
  <c r="AG187" i="34"/>
  <c r="AG216" i="34"/>
  <c r="AG233" i="34"/>
  <c r="AG241" i="34"/>
  <c r="AG278" i="34"/>
  <c r="AG314" i="34"/>
  <c r="AG350" i="34"/>
  <c r="AG355" i="34"/>
  <c r="AG362" i="34"/>
  <c r="AG366" i="34"/>
  <c r="AG414" i="34"/>
  <c r="AG418" i="34"/>
  <c r="AG442" i="34"/>
  <c r="D40" i="34"/>
  <c r="D67" i="34"/>
  <c r="D103" i="34"/>
  <c r="D124" i="34"/>
  <c r="D156" i="34"/>
  <c r="D194" i="34"/>
  <c r="D225" i="34"/>
  <c r="D248" i="34"/>
  <c r="D282" i="34"/>
  <c r="D292" i="34"/>
  <c r="D316" i="34"/>
  <c r="D341" i="34"/>
  <c r="D352" i="34"/>
  <c r="D378" i="34"/>
  <c r="D440" i="34"/>
  <c r="O40" i="34"/>
  <c r="O67" i="34"/>
  <c r="O103" i="34"/>
  <c r="O124" i="34"/>
  <c r="O156" i="34"/>
  <c r="O194" i="34"/>
  <c r="O225" i="34"/>
  <c r="O248" i="34"/>
  <c r="O282" i="34"/>
  <c r="O292" i="34"/>
  <c r="O316" i="34"/>
  <c r="O341" i="34"/>
  <c r="O352" i="34"/>
  <c r="O378" i="34"/>
  <c r="O440" i="34"/>
  <c r="P40" i="34"/>
  <c r="P67" i="34"/>
  <c r="P103" i="34"/>
  <c r="P124" i="34"/>
  <c r="P156" i="34"/>
  <c r="P194" i="34"/>
  <c r="P225" i="34"/>
  <c r="P248" i="34"/>
  <c r="P282" i="34"/>
  <c r="P292" i="34"/>
  <c r="P316" i="34"/>
  <c r="P341" i="34"/>
  <c r="P352" i="34"/>
  <c r="P378" i="34"/>
  <c r="P440" i="34"/>
  <c r="Q40" i="34"/>
  <c r="Q67" i="34"/>
  <c r="Q103" i="34"/>
  <c r="Q124" i="34"/>
  <c r="Q156" i="34"/>
  <c r="Q194" i="34"/>
  <c r="Q225" i="34"/>
  <c r="Q248" i="34"/>
  <c r="Q282" i="34"/>
  <c r="Q292" i="34"/>
  <c r="Q316" i="34"/>
  <c r="Q341" i="34"/>
  <c r="Q352" i="34"/>
  <c r="Q378" i="34"/>
  <c r="Q440" i="34"/>
  <c r="V40" i="34"/>
  <c r="V67" i="34"/>
  <c r="V103" i="34"/>
  <c r="V124" i="34"/>
  <c r="V156" i="34"/>
  <c r="V194" i="34"/>
  <c r="V225" i="34"/>
  <c r="V248" i="34"/>
  <c r="V282" i="34"/>
  <c r="V292" i="34"/>
  <c r="V316" i="34"/>
  <c r="V341" i="34"/>
  <c r="V352" i="34"/>
  <c r="V378" i="34"/>
  <c r="V440" i="34"/>
  <c r="W40" i="34"/>
  <c r="W67" i="34"/>
  <c r="W103" i="34"/>
  <c r="W124" i="34"/>
  <c r="W156" i="34"/>
  <c r="W194" i="34"/>
  <c r="W225" i="34"/>
  <c r="W248" i="34"/>
  <c r="W282" i="34"/>
  <c r="W292" i="34"/>
  <c r="W316" i="34"/>
  <c r="W341" i="34"/>
  <c r="W352" i="34"/>
  <c r="W378" i="34"/>
  <c r="W440" i="34"/>
  <c r="X40" i="34"/>
  <c r="X67" i="34"/>
  <c r="X103" i="34"/>
  <c r="X124" i="34"/>
  <c r="X156" i="34"/>
  <c r="X194" i="34"/>
  <c r="X225" i="34"/>
  <c r="X248" i="34"/>
  <c r="X282" i="34"/>
  <c r="X292" i="34"/>
  <c r="X316" i="34"/>
  <c r="X341" i="34"/>
  <c r="X352" i="34"/>
  <c r="X378" i="34"/>
  <c r="X440" i="34"/>
  <c r="Y40" i="34"/>
  <c r="Y67" i="34"/>
  <c r="Y103" i="34"/>
  <c r="Y124" i="34"/>
  <c r="Y156" i="34"/>
  <c r="Y194" i="34"/>
  <c r="Y225" i="34"/>
  <c r="Y248" i="34"/>
  <c r="Y282" i="34"/>
  <c r="Y292" i="34"/>
  <c r="Y316" i="34"/>
  <c r="Y341" i="34"/>
  <c r="Y352" i="34"/>
  <c r="Y378" i="34"/>
  <c r="Y440" i="34"/>
  <c r="Z40" i="34"/>
  <c r="Z67" i="34"/>
  <c r="Z103" i="34"/>
  <c r="Z124" i="34"/>
  <c r="Z156" i="34"/>
  <c r="Z194" i="34"/>
  <c r="Z225" i="34"/>
  <c r="Z248" i="34"/>
  <c r="Z282" i="34"/>
  <c r="Z292" i="34"/>
  <c r="Z316" i="34"/>
  <c r="Z341" i="34"/>
  <c r="Z352" i="34"/>
  <c r="Z378" i="34"/>
  <c r="Z440" i="34"/>
  <c r="AA40" i="34"/>
  <c r="AA67" i="34"/>
  <c r="AA103" i="34"/>
  <c r="AA124" i="34"/>
  <c r="AA156" i="34"/>
  <c r="AA194" i="34"/>
  <c r="AA225" i="34"/>
  <c r="AA248" i="34"/>
  <c r="AA282" i="34"/>
  <c r="AA292" i="34"/>
  <c r="AA316" i="34"/>
  <c r="AA341" i="34"/>
  <c r="AA352" i="34"/>
  <c r="AA378" i="34"/>
  <c r="AA440" i="34"/>
  <c r="AB40" i="34"/>
  <c r="AB67" i="34"/>
  <c r="AB103" i="34"/>
  <c r="AB124" i="34"/>
  <c r="AB156" i="34"/>
  <c r="AB194" i="34"/>
  <c r="AB225" i="34"/>
  <c r="AB248" i="34"/>
  <c r="AB282" i="34"/>
  <c r="AB292" i="34"/>
  <c r="AB316" i="34"/>
  <c r="AB341" i="34"/>
  <c r="AB352" i="34"/>
  <c r="AB378" i="34"/>
  <c r="AB440" i="34"/>
  <c r="AC40" i="34"/>
  <c r="AC67" i="34"/>
  <c r="AC103" i="34"/>
  <c r="AC124" i="34"/>
  <c r="AC156" i="34"/>
  <c r="AC194" i="34"/>
  <c r="AC225" i="34"/>
  <c r="AC248" i="34"/>
  <c r="AC282" i="34"/>
  <c r="AC292" i="34"/>
  <c r="AC316" i="34"/>
  <c r="AC341" i="34"/>
  <c r="AC352" i="34"/>
  <c r="AC378" i="34"/>
  <c r="AC440" i="34"/>
  <c r="AD40" i="34"/>
  <c r="AD67" i="34"/>
  <c r="AD103" i="34"/>
  <c r="AD124" i="34"/>
  <c r="AD156" i="34"/>
  <c r="AD194" i="34"/>
  <c r="AD225" i="34"/>
  <c r="AD248" i="34"/>
  <c r="AD282" i="34"/>
  <c r="AD292" i="34"/>
  <c r="AD316" i="34"/>
  <c r="AD341" i="34"/>
  <c r="AD352" i="34"/>
  <c r="AD378" i="34"/>
  <c r="AD440" i="34"/>
  <c r="AE40" i="34"/>
  <c r="AE67" i="34"/>
  <c r="AE103" i="34"/>
  <c r="AE124" i="34"/>
  <c r="AE156" i="34"/>
  <c r="AE194" i="34"/>
  <c r="AE225" i="34"/>
  <c r="AE248" i="34"/>
  <c r="AE282" i="34"/>
  <c r="AE292" i="34"/>
  <c r="AE316" i="34"/>
  <c r="AE341" i="34"/>
  <c r="AE352" i="34"/>
  <c r="AE378" i="34"/>
  <c r="AE440" i="34"/>
  <c r="AF40" i="34"/>
  <c r="AF67" i="34"/>
  <c r="AF103" i="34"/>
  <c r="AF124" i="34"/>
  <c r="AF156" i="34"/>
  <c r="AF194" i="34"/>
  <c r="AF225" i="34"/>
  <c r="AF248" i="34"/>
  <c r="AF282" i="34"/>
  <c r="AF292" i="34"/>
  <c r="AF316" i="34"/>
  <c r="AF341" i="34"/>
  <c r="AF352" i="34"/>
  <c r="AF378" i="34"/>
  <c r="AF440" i="34"/>
  <c r="AG40" i="34"/>
  <c r="AG67" i="34"/>
  <c r="AG103" i="34"/>
  <c r="AG124" i="34"/>
  <c r="AG156" i="34"/>
  <c r="AG194" i="34"/>
  <c r="AG225" i="34"/>
  <c r="AG248" i="34"/>
  <c r="AG282" i="34"/>
  <c r="AG292" i="34"/>
  <c r="AG316" i="34"/>
  <c r="AG341" i="34"/>
  <c r="AG352" i="34"/>
  <c r="AG378" i="34"/>
  <c r="AG440" i="34"/>
  <c r="D23" i="34"/>
  <c r="D39" i="34"/>
  <c r="D100" i="34"/>
  <c r="D115" i="34"/>
  <c r="D144" i="34"/>
  <c r="D181" i="34"/>
  <c r="D281" i="34"/>
  <c r="D293" i="34"/>
  <c r="D313" i="34"/>
  <c r="D317" i="34"/>
  <c r="D322" i="34"/>
  <c r="D330" i="34"/>
  <c r="D336" i="34"/>
  <c r="D380" i="34"/>
  <c r="D394" i="34"/>
  <c r="D420" i="34"/>
  <c r="D441" i="34"/>
  <c r="O23" i="34"/>
  <c r="O39" i="34"/>
  <c r="O100" i="34"/>
  <c r="O115" i="34"/>
  <c r="O144" i="34"/>
  <c r="O181" i="34"/>
  <c r="O281" i="34"/>
  <c r="O293" i="34"/>
  <c r="O313" i="34"/>
  <c r="O317" i="34"/>
  <c r="O322" i="34"/>
  <c r="O330" i="34"/>
  <c r="O336" i="34"/>
  <c r="O380" i="34"/>
  <c r="O394" i="34"/>
  <c r="O420" i="34"/>
  <c r="O441" i="34"/>
  <c r="P23" i="34"/>
  <c r="P39" i="34"/>
  <c r="P100" i="34"/>
  <c r="P115" i="34"/>
  <c r="P144" i="34"/>
  <c r="P181" i="34"/>
  <c r="P281" i="34"/>
  <c r="P293" i="34"/>
  <c r="P313" i="34"/>
  <c r="P317" i="34"/>
  <c r="P322" i="34"/>
  <c r="P330" i="34"/>
  <c r="P336" i="34"/>
  <c r="P380" i="34"/>
  <c r="P394" i="34"/>
  <c r="P420" i="34"/>
  <c r="P441" i="34"/>
  <c r="Q23" i="34"/>
  <c r="Q39" i="34"/>
  <c r="Q100" i="34"/>
  <c r="Q115" i="34"/>
  <c r="Q144" i="34"/>
  <c r="Q181" i="34"/>
  <c r="Q281" i="34"/>
  <c r="Q293" i="34"/>
  <c r="Q313" i="34"/>
  <c r="Q317" i="34"/>
  <c r="Q322" i="34"/>
  <c r="Q330" i="34"/>
  <c r="Q336" i="34"/>
  <c r="Q380" i="34"/>
  <c r="Q394" i="34"/>
  <c r="Q420" i="34"/>
  <c r="Q441" i="34"/>
  <c r="V23" i="34"/>
  <c r="V39" i="34"/>
  <c r="V100" i="34"/>
  <c r="V115" i="34"/>
  <c r="V144" i="34"/>
  <c r="V181" i="34"/>
  <c r="V281" i="34"/>
  <c r="V293" i="34"/>
  <c r="V313" i="34"/>
  <c r="V317" i="34"/>
  <c r="V322" i="34"/>
  <c r="V330" i="34"/>
  <c r="V336" i="34"/>
  <c r="V380" i="34"/>
  <c r="V394" i="34"/>
  <c r="V420" i="34"/>
  <c r="V441" i="34"/>
  <c r="W23" i="34"/>
  <c r="W39" i="34"/>
  <c r="W100" i="34"/>
  <c r="W115" i="34"/>
  <c r="W144" i="34"/>
  <c r="W181" i="34"/>
  <c r="W281" i="34"/>
  <c r="W293" i="34"/>
  <c r="W313" i="34"/>
  <c r="W317" i="34"/>
  <c r="W322" i="34"/>
  <c r="W330" i="34"/>
  <c r="W336" i="34"/>
  <c r="W380" i="34"/>
  <c r="W394" i="34"/>
  <c r="W420" i="34"/>
  <c r="W441" i="34"/>
  <c r="X23" i="34"/>
  <c r="X39" i="34"/>
  <c r="X100" i="34"/>
  <c r="X115" i="34"/>
  <c r="X144" i="34"/>
  <c r="X181" i="34"/>
  <c r="X281" i="34"/>
  <c r="X293" i="34"/>
  <c r="X313" i="34"/>
  <c r="X317" i="34"/>
  <c r="X322" i="34"/>
  <c r="X330" i="34"/>
  <c r="X336" i="34"/>
  <c r="X380" i="34"/>
  <c r="X394" i="34"/>
  <c r="X420" i="34"/>
  <c r="X441" i="34"/>
  <c r="Y23" i="34"/>
  <c r="Y39" i="34"/>
  <c r="Y100" i="34"/>
  <c r="Y115" i="34"/>
  <c r="Y144" i="34"/>
  <c r="Y181" i="34"/>
  <c r="Y281" i="34"/>
  <c r="Y293" i="34"/>
  <c r="Y313" i="34"/>
  <c r="Y317" i="34"/>
  <c r="Y322" i="34"/>
  <c r="Y330" i="34"/>
  <c r="Y336" i="34"/>
  <c r="Y380" i="34"/>
  <c r="Y394" i="34"/>
  <c r="Y420" i="34"/>
  <c r="Y441" i="34"/>
  <c r="Z23" i="34"/>
  <c r="Z39" i="34"/>
  <c r="Z100" i="34"/>
  <c r="Z115" i="34"/>
  <c r="Z144" i="34"/>
  <c r="Z181" i="34"/>
  <c r="Z281" i="34"/>
  <c r="Z293" i="34"/>
  <c r="Z313" i="34"/>
  <c r="Z317" i="34"/>
  <c r="Z322" i="34"/>
  <c r="Z330" i="34"/>
  <c r="Z336" i="34"/>
  <c r="Z380" i="34"/>
  <c r="Z394" i="34"/>
  <c r="Z420" i="34"/>
  <c r="Z441" i="34"/>
  <c r="AA23" i="34"/>
  <c r="AA39" i="34"/>
  <c r="AA100" i="34"/>
  <c r="AA115" i="34"/>
  <c r="AA144" i="34"/>
  <c r="AA181" i="34"/>
  <c r="AA281" i="34"/>
  <c r="AA293" i="34"/>
  <c r="AA313" i="34"/>
  <c r="AA317" i="34"/>
  <c r="AA322" i="34"/>
  <c r="AA330" i="34"/>
  <c r="AA336" i="34"/>
  <c r="AA380" i="34"/>
  <c r="AA394" i="34"/>
  <c r="AA420" i="34"/>
  <c r="AA441" i="34"/>
  <c r="AB23" i="34"/>
  <c r="AB39" i="34"/>
  <c r="AB100" i="34"/>
  <c r="AB115" i="34"/>
  <c r="AB144" i="34"/>
  <c r="AB181" i="34"/>
  <c r="AB281" i="34"/>
  <c r="AB293" i="34"/>
  <c r="AB313" i="34"/>
  <c r="AB317" i="34"/>
  <c r="AB322" i="34"/>
  <c r="AB330" i="34"/>
  <c r="AB336" i="34"/>
  <c r="AB380" i="34"/>
  <c r="AB394" i="34"/>
  <c r="AB420" i="34"/>
  <c r="AB441" i="34"/>
  <c r="AC23" i="34"/>
  <c r="AC39" i="34"/>
  <c r="AC100" i="34"/>
  <c r="AC115" i="34"/>
  <c r="AC144" i="34"/>
  <c r="AC181" i="34"/>
  <c r="AC281" i="34"/>
  <c r="AC293" i="34"/>
  <c r="AC313" i="34"/>
  <c r="AC317" i="34"/>
  <c r="AC322" i="34"/>
  <c r="AC330" i="34"/>
  <c r="AC336" i="34"/>
  <c r="AC380" i="34"/>
  <c r="AC394" i="34"/>
  <c r="AC420" i="34"/>
  <c r="AC441" i="34"/>
  <c r="AD23" i="34"/>
  <c r="AD39" i="34"/>
  <c r="AD100" i="34"/>
  <c r="AD115" i="34"/>
  <c r="AD144" i="34"/>
  <c r="AD181" i="34"/>
  <c r="AD281" i="34"/>
  <c r="AD293" i="34"/>
  <c r="AD313" i="34"/>
  <c r="AD317" i="34"/>
  <c r="AD322" i="34"/>
  <c r="AD330" i="34"/>
  <c r="AD336" i="34"/>
  <c r="AD380" i="34"/>
  <c r="AD394" i="34"/>
  <c r="AD420" i="34"/>
  <c r="AD441" i="34"/>
  <c r="AE23" i="34"/>
  <c r="AE39" i="34"/>
  <c r="AE100" i="34"/>
  <c r="AE115" i="34"/>
  <c r="AE144" i="34"/>
  <c r="AE181" i="34"/>
  <c r="AE281" i="34"/>
  <c r="AE293" i="34"/>
  <c r="AE313" i="34"/>
  <c r="AE317" i="34"/>
  <c r="AE322" i="34"/>
  <c r="AE330" i="34"/>
  <c r="AE336" i="34"/>
  <c r="AE380" i="34"/>
  <c r="AE394" i="34"/>
  <c r="AE420" i="34"/>
  <c r="AE441" i="34"/>
  <c r="AF23" i="34"/>
  <c r="AF39" i="34"/>
  <c r="AF100" i="34"/>
  <c r="AF115" i="34"/>
  <c r="AF144" i="34"/>
  <c r="AF181" i="34"/>
  <c r="AF281" i="34"/>
  <c r="AF293" i="34"/>
  <c r="AF313" i="34"/>
  <c r="AF317" i="34"/>
  <c r="AF322" i="34"/>
  <c r="AF330" i="34"/>
  <c r="AF336" i="34"/>
  <c r="AF380" i="34"/>
  <c r="AF394" i="34"/>
  <c r="AF420" i="34"/>
  <c r="AF441" i="34"/>
  <c r="AG23" i="34"/>
  <c r="AG39" i="34"/>
  <c r="AG100" i="34"/>
  <c r="AG115" i="34"/>
  <c r="AG144" i="34"/>
  <c r="AG181" i="34"/>
  <c r="AG281" i="34"/>
  <c r="AG293" i="34"/>
  <c r="AG313" i="34"/>
  <c r="AG317" i="34"/>
  <c r="AG322" i="34"/>
  <c r="AG330" i="34"/>
  <c r="AG336" i="34"/>
  <c r="AG380" i="34"/>
  <c r="AG394" i="34"/>
  <c r="AG420" i="34"/>
  <c r="AG441" i="34"/>
  <c r="D36" i="34"/>
  <c r="D108" i="34"/>
  <c r="D121" i="34"/>
  <c r="D140" i="34"/>
  <c r="D153" i="34"/>
  <c r="D180" i="34"/>
  <c r="D200" i="34"/>
  <c r="D217" i="34"/>
  <c r="D309" i="34"/>
  <c r="D361" i="34"/>
  <c r="D368" i="34"/>
  <c r="D388" i="34"/>
  <c r="D405" i="34"/>
  <c r="D417" i="34"/>
  <c r="O36" i="34"/>
  <c r="O108" i="34"/>
  <c r="O121" i="34"/>
  <c r="O140" i="34"/>
  <c r="O153" i="34"/>
  <c r="O180" i="34"/>
  <c r="O200" i="34"/>
  <c r="O217" i="34"/>
  <c r="O309" i="34"/>
  <c r="O361" i="34"/>
  <c r="O368" i="34"/>
  <c r="O388" i="34"/>
  <c r="O405" i="34"/>
  <c r="O417" i="34"/>
  <c r="P36" i="34"/>
  <c r="P108" i="34"/>
  <c r="P121" i="34"/>
  <c r="P140" i="34"/>
  <c r="P153" i="34"/>
  <c r="P180" i="34"/>
  <c r="P200" i="34"/>
  <c r="P217" i="34"/>
  <c r="P309" i="34"/>
  <c r="P361" i="34"/>
  <c r="P368" i="34"/>
  <c r="P388" i="34"/>
  <c r="P405" i="34"/>
  <c r="P417" i="34"/>
  <c r="Q36" i="34"/>
  <c r="Q108" i="34"/>
  <c r="Q121" i="34"/>
  <c r="Q140" i="34"/>
  <c r="Q153" i="34"/>
  <c r="Q180" i="34"/>
  <c r="Q200" i="34"/>
  <c r="Q217" i="34"/>
  <c r="Q309" i="34"/>
  <c r="Q361" i="34"/>
  <c r="Q368" i="34"/>
  <c r="Q388" i="34"/>
  <c r="Q405" i="34"/>
  <c r="Q417" i="34"/>
  <c r="V36" i="34"/>
  <c r="V108" i="34"/>
  <c r="V121" i="34"/>
  <c r="V140" i="34"/>
  <c r="V153" i="34"/>
  <c r="V180" i="34"/>
  <c r="V200" i="34"/>
  <c r="V217" i="34"/>
  <c r="V309" i="34"/>
  <c r="V361" i="34"/>
  <c r="V368" i="34"/>
  <c r="V388" i="34"/>
  <c r="V405" i="34"/>
  <c r="V417" i="34"/>
  <c r="W36" i="34"/>
  <c r="W108" i="34"/>
  <c r="W121" i="34"/>
  <c r="W140" i="34"/>
  <c r="W153" i="34"/>
  <c r="W180" i="34"/>
  <c r="W200" i="34"/>
  <c r="W217" i="34"/>
  <c r="W309" i="34"/>
  <c r="W361" i="34"/>
  <c r="W368" i="34"/>
  <c r="W388" i="34"/>
  <c r="W405" i="34"/>
  <c r="W417" i="34"/>
  <c r="X36" i="34"/>
  <c r="X108" i="34"/>
  <c r="X121" i="34"/>
  <c r="X140" i="34"/>
  <c r="X153" i="34"/>
  <c r="X180" i="34"/>
  <c r="X200" i="34"/>
  <c r="X217" i="34"/>
  <c r="X309" i="34"/>
  <c r="X361" i="34"/>
  <c r="X368" i="34"/>
  <c r="X388" i="34"/>
  <c r="X405" i="34"/>
  <c r="X417" i="34"/>
  <c r="Y36" i="34"/>
  <c r="Y108" i="34"/>
  <c r="Y121" i="34"/>
  <c r="Y140" i="34"/>
  <c r="Y153" i="34"/>
  <c r="Y180" i="34"/>
  <c r="Y200" i="34"/>
  <c r="Y217" i="34"/>
  <c r="Y309" i="34"/>
  <c r="Y361" i="34"/>
  <c r="Y368" i="34"/>
  <c r="Y388" i="34"/>
  <c r="Y405" i="34"/>
  <c r="Y417" i="34"/>
  <c r="Z36" i="34"/>
  <c r="Z108" i="34"/>
  <c r="Z121" i="34"/>
  <c r="Z140" i="34"/>
  <c r="Z153" i="34"/>
  <c r="Z180" i="34"/>
  <c r="Z200" i="34"/>
  <c r="Z217" i="34"/>
  <c r="Z309" i="34"/>
  <c r="Z361" i="34"/>
  <c r="Z368" i="34"/>
  <c r="Z388" i="34"/>
  <c r="Z405" i="34"/>
  <c r="Z417" i="34"/>
  <c r="AA36" i="34"/>
  <c r="AA108" i="34"/>
  <c r="AA121" i="34"/>
  <c r="AA140" i="34"/>
  <c r="AA153" i="34"/>
  <c r="AA180" i="34"/>
  <c r="AA200" i="34"/>
  <c r="AA217" i="34"/>
  <c r="AA309" i="34"/>
  <c r="AA361" i="34"/>
  <c r="AA368" i="34"/>
  <c r="AA388" i="34"/>
  <c r="AA405" i="34"/>
  <c r="AA417" i="34"/>
  <c r="AB36" i="34"/>
  <c r="AB108" i="34"/>
  <c r="AB121" i="34"/>
  <c r="AB140" i="34"/>
  <c r="AB153" i="34"/>
  <c r="AB180" i="34"/>
  <c r="AB200" i="34"/>
  <c r="AB217" i="34"/>
  <c r="AB309" i="34"/>
  <c r="AB361" i="34"/>
  <c r="AB368" i="34"/>
  <c r="AB388" i="34"/>
  <c r="AB405" i="34"/>
  <c r="AB417" i="34"/>
  <c r="AC36" i="34"/>
  <c r="AC108" i="34"/>
  <c r="AC121" i="34"/>
  <c r="AC140" i="34"/>
  <c r="AC153" i="34"/>
  <c r="AC180" i="34"/>
  <c r="AC200" i="34"/>
  <c r="AC217" i="34"/>
  <c r="AC309" i="34"/>
  <c r="AC361" i="34"/>
  <c r="AC368" i="34"/>
  <c r="AC388" i="34"/>
  <c r="AC405" i="34"/>
  <c r="AC417" i="34"/>
  <c r="AD36" i="34"/>
  <c r="AD108" i="34"/>
  <c r="AD121" i="34"/>
  <c r="AD140" i="34"/>
  <c r="AD153" i="34"/>
  <c r="AD180" i="34"/>
  <c r="AD200" i="34"/>
  <c r="AD217" i="34"/>
  <c r="AD309" i="34"/>
  <c r="AD361" i="34"/>
  <c r="AD368" i="34"/>
  <c r="AD388" i="34"/>
  <c r="AD405" i="34"/>
  <c r="AD417" i="34"/>
  <c r="AE36" i="34"/>
  <c r="AE108" i="34"/>
  <c r="AE121" i="34"/>
  <c r="AE140" i="34"/>
  <c r="AE153" i="34"/>
  <c r="AE180" i="34"/>
  <c r="AE200" i="34"/>
  <c r="AE217" i="34"/>
  <c r="AE309" i="34"/>
  <c r="AE361" i="34"/>
  <c r="AE368" i="34"/>
  <c r="AE388" i="34"/>
  <c r="AE405" i="34"/>
  <c r="AE417" i="34"/>
  <c r="AF36" i="34"/>
  <c r="AF108" i="34"/>
  <c r="AF121" i="34"/>
  <c r="AF140" i="34"/>
  <c r="AF153" i="34"/>
  <c r="AF180" i="34"/>
  <c r="AF200" i="34"/>
  <c r="AF217" i="34"/>
  <c r="AF309" i="34"/>
  <c r="AF361" i="34"/>
  <c r="AF368" i="34"/>
  <c r="AF388" i="34"/>
  <c r="AF405" i="34"/>
  <c r="AF417" i="34"/>
  <c r="AG36" i="34"/>
  <c r="AG108" i="34"/>
  <c r="AG121" i="34"/>
  <c r="AG140" i="34"/>
  <c r="AG153" i="34"/>
  <c r="AG180" i="34"/>
  <c r="AG200" i="34"/>
  <c r="AG217" i="34"/>
  <c r="AG309" i="34"/>
  <c r="AG361" i="34"/>
  <c r="AG368" i="34"/>
  <c r="AG388" i="34"/>
  <c r="AG405" i="34"/>
  <c r="AG417" i="34"/>
  <c r="D61" i="34"/>
  <c r="D78" i="34"/>
  <c r="D126" i="34"/>
  <c r="D157" i="34"/>
  <c r="D173" i="34"/>
  <c r="D193" i="34"/>
  <c r="D229" i="34"/>
  <c r="D242" i="34"/>
  <c r="D247" i="34"/>
  <c r="D280" i="34"/>
  <c r="D307" i="34"/>
  <c r="D332" i="34"/>
  <c r="D375" i="34"/>
  <c r="D401" i="34"/>
  <c r="D427" i="34"/>
  <c r="O61" i="34"/>
  <c r="O78" i="34"/>
  <c r="O126" i="34"/>
  <c r="O157" i="34"/>
  <c r="O173" i="34"/>
  <c r="O193" i="34"/>
  <c r="O229" i="34"/>
  <c r="O242" i="34"/>
  <c r="O247" i="34"/>
  <c r="O280" i="34"/>
  <c r="O307" i="34"/>
  <c r="O332" i="34"/>
  <c r="O375" i="34"/>
  <c r="O401" i="34"/>
  <c r="O427" i="34"/>
  <c r="P61" i="34"/>
  <c r="P78" i="34"/>
  <c r="P126" i="34"/>
  <c r="P157" i="34"/>
  <c r="P173" i="34"/>
  <c r="P193" i="34"/>
  <c r="P229" i="34"/>
  <c r="P242" i="34"/>
  <c r="P247" i="34"/>
  <c r="P280" i="34"/>
  <c r="P307" i="34"/>
  <c r="P332" i="34"/>
  <c r="P375" i="34"/>
  <c r="P401" i="34"/>
  <c r="P427" i="34"/>
  <c r="Q61" i="34"/>
  <c r="Q78" i="34"/>
  <c r="Q126" i="34"/>
  <c r="Q157" i="34"/>
  <c r="Q173" i="34"/>
  <c r="Q193" i="34"/>
  <c r="Q229" i="34"/>
  <c r="Q242" i="34"/>
  <c r="Q247" i="34"/>
  <c r="Q280" i="34"/>
  <c r="Q307" i="34"/>
  <c r="Q332" i="34"/>
  <c r="Q375" i="34"/>
  <c r="Q401" i="34"/>
  <c r="Q427" i="34"/>
  <c r="V61" i="34"/>
  <c r="V78" i="34"/>
  <c r="V126" i="34"/>
  <c r="V157" i="34"/>
  <c r="V173" i="34"/>
  <c r="V193" i="34"/>
  <c r="V229" i="34"/>
  <c r="V242" i="34"/>
  <c r="V247" i="34"/>
  <c r="V280" i="34"/>
  <c r="V307" i="34"/>
  <c r="V332" i="34"/>
  <c r="V375" i="34"/>
  <c r="V401" i="34"/>
  <c r="V427" i="34"/>
  <c r="W61" i="34"/>
  <c r="W78" i="34"/>
  <c r="W126" i="34"/>
  <c r="W157" i="34"/>
  <c r="W173" i="34"/>
  <c r="W193" i="34"/>
  <c r="W229" i="34"/>
  <c r="W242" i="34"/>
  <c r="W247" i="34"/>
  <c r="W280" i="34"/>
  <c r="W307" i="34"/>
  <c r="W332" i="34"/>
  <c r="W375" i="34"/>
  <c r="W401" i="34"/>
  <c r="W427" i="34"/>
  <c r="X61" i="34"/>
  <c r="X78" i="34"/>
  <c r="X126" i="34"/>
  <c r="X157" i="34"/>
  <c r="X173" i="34"/>
  <c r="X193" i="34"/>
  <c r="X229" i="34"/>
  <c r="X242" i="34"/>
  <c r="X247" i="34"/>
  <c r="X280" i="34"/>
  <c r="X307" i="34"/>
  <c r="X332" i="34"/>
  <c r="X375" i="34"/>
  <c r="X401" i="34"/>
  <c r="X427" i="34"/>
  <c r="Y61" i="34"/>
  <c r="Y78" i="34"/>
  <c r="Y126" i="34"/>
  <c r="Y157" i="34"/>
  <c r="Y173" i="34"/>
  <c r="Y193" i="34"/>
  <c r="Y229" i="34"/>
  <c r="Y242" i="34"/>
  <c r="Y247" i="34"/>
  <c r="Y280" i="34"/>
  <c r="Y307" i="34"/>
  <c r="Y332" i="34"/>
  <c r="Y375" i="34"/>
  <c r="Y401" i="34"/>
  <c r="Y427" i="34"/>
  <c r="Z61" i="34"/>
  <c r="Z78" i="34"/>
  <c r="Z126" i="34"/>
  <c r="Z157" i="34"/>
  <c r="Z173" i="34"/>
  <c r="Z193" i="34"/>
  <c r="Z229" i="34"/>
  <c r="Z242" i="34"/>
  <c r="Z247" i="34"/>
  <c r="Z280" i="34"/>
  <c r="Z307" i="34"/>
  <c r="Z332" i="34"/>
  <c r="Z375" i="34"/>
  <c r="Z401" i="34"/>
  <c r="Z427" i="34"/>
  <c r="AA61" i="34"/>
  <c r="AA78" i="34"/>
  <c r="AA126" i="34"/>
  <c r="AA157" i="34"/>
  <c r="AA173" i="34"/>
  <c r="AA193" i="34"/>
  <c r="AA229" i="34"/>
  <c r="AA242" i="34"/>
  <c r="AA247" i="34"/>
  <c r="AA280" i="34"/>
  <c r="AA307" i="34"/>
  <c r="AA332" i="34"/>
  <c r="AA375" i="34"/>
  <c r="AA401" i="34"/>
  <c r="AA427" i="34"/>
  <c r="AB61" i="34"/>
  <c r="AB78" i="34"/>
  <c r="AB126" i="34"/>
  <c r="AB157" i="34"/>
  <c r="AB173" i="34"/>
  <c r="AB193" i="34"/>
  <c r="AB229" i="34"/>
  <c r="AB242" i="34"/>
  <c r="AB247" i="34"/>
  <c r="AB280" i="34"/>
  <c r="AB307" i="34"/>
  <c r="AB332" i="34"/>
  <c r="AB375" i="34"/>
  <c r="AB401" i="34"/>
  <c r="AB427" i="34"/>
  <c r="AC61" i="34"/>
  <c r="AC78" i="34"/>
  <c r="AC126" i="34"/>
  <c r="AC157" i="34"/>
  <c r="AC173" i="34"/>
  <c r="AC193" i="34"/>
  <c r="AC229" i="34"/>
  <c r="AC242" i="34"/>
  <c r="AC247" i="34"/>
  <c r="AC280" i="34"/>
  <c r="AC307" i="34"/>
  <c r="AC332" i="34"/>
  <c r="AC375" i="34"/>
  <c r="AC401" i="34"/>
  <c r="AC427" i="34"/>
  <c r="AD61" i="34"/>
  <c r="AD78" i="34"/>
  <c r="AD126" i="34"/>
  <c r="AD157" i="34"/>
  <c r="AD173" i="34"/>
  <c r="AD193" i="34"/>
  <c r="AD229" i="34"/>
  <c r="AD242" i="34"/>
  <c r="AD247" i="34"/>
  <c r="AD280" i="34"/>
  <c r="AD307" i="34"/>
  <c r="AD332" i="34"/>
  <c r="AD375" i="34"/>
  <c r="AD401" i="34"/>
  <c r="AD427" i="34"/>
  <c r="AE61" i="34"/>
  <c r="AE78" i="34"/>
  <c r="AE126" i="34"/>
  <c r="AE157" i="34"/>
  <c r="AE173" i="34"/>
  <c r="AE193" i="34"/>
  <c r="AE229" i="34"/>
  <c r="AE242" i="34"/>
  <c r="AE247" i="34"/>
  <c r="AE280" i="34"/>
  <c r="AE307" i="34"/>
  <c r="AE332" i="34"/>
  <c r="AE375" i="34"/>
  <c r="AE401" i="34"/>
  <c r="AE427" i="34"/>
  <c r="AF61" i="34"/>
  <c r="AF78" i="34"/>
  <c r="AF126" i="34"/>
  <c r="AF157" i="34"/>
  <c r="AF173" i="34"/>
  <c r="AF193" i="34"/>
  <c r="AF229" i="34"/>
  <c r="AF242" i="34"/>
  <c r="AF247" i="34"/>
  <c r="AF280" i="34"/>
  <c r="AF307" i="34"/>
  <c r="AF332" i="34"/>
  <c r="AF375" i="34"/>
  <c r="AF401" i="34"/>
  <c r="AF427" i="34"/>
  <c r="AG61" i="34"/>
  <c r="AG78" i="34"/>
  <c r="AG126" i="34"/>
  <c r="AG157" i="34"/>
  <c r="AG173" i="34"/>
  <c r="AG193" i="34"/>
  <c r="AG229" i="34"/>
  <c r="AG242" i="34"/>
  <c r="AG247" i="34"/>
  <c r="AG280" i="34"/>
  <c r="AG307" i="34"/>
  <c r="AG332" i="34"/>
  <c r="AG375" i="34"/>
  <c r="AG401" i="34"/>
  <c r="AG427" i="34"/>
  <c r="D34" i="34"/>
  <c r="D41" i="34"/>
  <c r="D58" i="34"/>
  <c r="D65" i="34"/>
  <c r="D69" i="34"/>
  <c r="D70" i="34"/>
  <c r="D73" i="34"/>
  <c r="D77" i="34"/>
  <c r="D82" i="34"/>
  <c r="D83" i="34"/>
  <c r="D102" i="34"/>
  <c r="D130" i="34"/>
  <c r="D148" i="34"/>
  <c r="D191" i="34"/>
  <c r="D206" i="34"/>
  <c r="D221" i="34"/>
  <c r="D222" i="34"/>
  <c r="D226" i="34"/>
  <c r="D231" i="34"/>
  <c r="D239" i="34"/>
  <c r="D240" i="34"/>
  <c r="D243" i="34"/>
  <c r="D251" i="34"/>
  <c r="D252" i="34"/>
  <c r="D268" i="34"/>
  <c r="D305" i="34"/>
  <c r="D315" i="34"/>
  <c r="D324" i="34"/>
  <c r="D325" i="34"/>
  <c r="D327" i="34"/>
  <c r="D329" i="34"/>
  <c r="D337" i="34"/>
  <c r="D353" i="34"/>
  <c r="D370" i="34"/>
  <c r="D381" i="34"/>
  <c r="D392" i="34"/>
  <c r="D395" i="34"/>
  <c r="D403" i="34"/>
  <c r="D410" i="34"/>
  <c r="D413" i="34"/>
  <c r="D416" i="34"/>
  <c r="O34" i="34"/>
  <c r="O41" i="34"/>
  <c r="O58" i="34"/>
  <c r="O65" i="34"/>
  <c r="O69" i="34"/>
  <c r="O70" i="34"/>
  <c r="O73" i="34"/>
  <c r="O77" i="34"/>
  <c r="O82" i="34"/>
  <c r="O83" i="34"/>
  <c r="O102" i="34"/>
  <c r="O130" i="34"/>
  <c r="O148" i="34"/>
  <c r="O191" i="34"/>
  <c r="O206" i="34"/>
  <c r="O221" i="34"/>
  <c r="O222" i="34"/>
  <c r="O226" i="34"/>
  <c r="O231" i="34"/>
  <c r="O239" i="34"/>
  <c r="O240" i="34"/>
  <c r="O243" i="34"/>
  <c r="O251" i="34"/>
  <c r="O252" i="34"/>
  <c r="O268" i="34"/>
  <c r="O305" i="34"/>
  <c r="O315" i="34"/>
  <c r="O324" i="34"/>
  <c r="O325" i="34"/>
  <c r="O327" i="34"/>
  <c r="O329" i="34"/>
  <c r="O337" i="34"/>
  <c r="O353" i="34"/>
  <c r="O370" i="34"/>
  <c r="O381" i="34"/>
  <c r="O392" i="34"/>
  <c r="O395" i="34"/>
  <c r="O403" i="34"/>
  <c r="O410" i="34"/>
  <c r="O413" i="34"/>
  <c r="O416" i="34"/>
  <c r="P34" i="34"/>
  <c r="P41" i="34"/>
  <c r="P58" i="34"/>
  <c r="P65" i="34"/>
  <c r="P69" i="34"/>
  <c r="P70" i="34"/>
  <c r="P73" i="34"/>
  <c r="P77" i="34"/>
  <c r="P82" i="34"/>
  <c r="P83" i="34"/>
  <c r="P102" i="34"/>
  <c r="P130" i="34"/>
  <c r="P148" i="34"/>
  <c r="P191" i="34"/>
  <c r="P206" i="34"/>
  <c r="P221" i="34"/>
  <c r="P222" i="34"/>
  <c r="P226" i="34"/>
  <c r="P231" i="34"/>
  <c r="P239" i="34"/>
  <c r="P240" i="34"/>
  <c r="P243" i="34"/>
  <c r="P251" i="34"/>
  <c r="P252" i="34"/>
  <c r="P268" i="34"/>
  <c r="P305" i="34"/>
  <c r="P315" i="34"/>
  <c r="P324" i="34"/>
  <c r="P325" i="34"/>
  <c r="P327" i="34"/>
  <c r="P329" i="34"/>
  <c r="P337" i="34"/>
  <c r="P353" i="34"/>
  <c r="P370" i="34"/>
  <c r="P381" i="34"/>
  <c r="P392" i="34"/>
  <c r="P395" i="34"/>
  <c r="P403" i="34"/>
  <c r="P410" i="34"/>
  <c r="P413" i="34"/>
  <c r="P416" i="34"/>
  <c r="Q34" i="34"/>
  <c r="Q41" i="34"/>
  <c r="Q58" i="34"/>
  <c r="Q65" i="34"/>
  <c r="Q69" i="34"/>
  <c r="Q70" i="34"/>
  <c r="Q73" i="34"/>
  <c r="Q77" i="34"/>
  <c r="Q82" i="34"/>
  <c r="Q83" i="34"/>
  <c r="Q102" i="34"/>
  <c r="Q130" i="34"/>
  <c r="Q148" i="34"/>
  <c r="Q191" i="34"/>
  <c r="Q206" i="34"/>
  <c r="Q221" i="34"/>
  <c r="Q222" i="34"/>
  <c r="Q226" i="34"/>
  <c r="Q231" i="34"/>
  <c r="Q239" i="34"/>
  <c r="Q240" i="34"/>
  <c r="Q243" i="34"/>
  <c r="Q251" i="34"/>
  <c r="Q252" i="34"/>
  <c r="Q268" i="34"/>
  <c r="Q305" i="34"/>
  <c r="Q315" i="34"/>
  <c r="Q324" i="34"/>
  <c r="Q325" i="34"/>
  <c r="Q327" i="34"/>
  <c r="Q329" i="34"/>
  <c r="Q337" i="34"/>
  <c r="Q353" i="34"/>
  <c r="Q370" i="34"/>
  <c r="Q381" i="34"/>
  <c r="Q392" i="34"/>
  <c r="Q395" i="34"/>
  <c r="Q403" i="34"/>
  <c r="Q410" i="34"/>
  <c r="Q413" i="34"/>
  <c r="Q416" i="34"/>
  <c r="V34" i="34"/>
  <c r="V41" i="34"/>
  <c r="V58" i="34"/>
  <c r="V65" i="34"/>
  <c r="V69" i="34"/>
  <c r="V70" i="34"/>
  <c r="V73" i="34"/>
  <c r="V77" i="34"/>
  <c r="V82" i="34"/>
  <c r="V83" i="34"/>
  <c r="V102" i="34"/>
  <c r="V130" i="34"/>
  <c r="V148" i="34"/>
  <c r="V191" i="34"/>
  <c r="V206" i="34"/>
  <c r="V221" i="34"/>
  <c r="V222" i="34"/>
  <c r="V226" i="34"/>
  <c r="V231" i="34"/>
  <c r="V239" i="34"/>
  <c r="V240" i="34"/>
  <c r="V243" i="34"/>
  <c r="V251" i="34"/>
  <c r="V252" i="34"/>
  <c r="V268" i="34"/>
  <c r="V305" i="34"/>
  <c r="V315" i="34"/>
  <c r="V324" i="34"/>
  <c r="V325" i="34"/>
  <c r="V327" i="34"/>
  <c r="V329" i="34"/>
  <c r="V337" i="34"/>
  <c r="V353" i="34"/>
  <c r="V370" i="34"/>
  <c r="V381" i="34"/>
  <c r="V392" i="34"/>
  <c r="V395" i="34"/>
  <c r="V403" i="34"/>
  <c r="V410" i="34"/>
  <c r="V413" i="34"/>
  <c r="V416" i="34"/>
  <c r="W34" i="34"/>
  <c r="W41" i="34"/>
  <c r="W58" i="34"/>
  <c r="W65" i="34"/>
  <c r="W69" i="34"/>
  <c r="W70" i="34"/>
  <c r="W73" i="34"/>
  <c r="W77" i="34"/>
  <c r="W82" i="34"/>
  <c r="W83" i="34"/>
  <c r="W102" i="34"/>
  <c r="W130" i="34"/>
  <c r="W148" i="34"/>
  <c r="W191" i="34"/>
  <c r="W206" i="34"/>
  <c r="W221" i="34"/>
  <c r="W222" i="34"/>
  <c r="W226" i="34"/>
  <c r="W231" i="34"/>
  <c r="W239" i="34"/>
  <c r="W240" i="34"/>
  <c r="W243" i="34"/>
  <c r="W251" i="34"/>
  <c r="W252" i="34"/>
  <c r="W268" i="34"/>
  <c r="W305" i="34"/>
  <c r="W315" i="34"/>
  <c r="W324" i="34"/>
  <c r="W325" i="34"/>
  <c r="W327" i="34"/>
  <c r="W329" i="34"/>
  <c r="W337" i="34"/>
  <c r="W353" i="34"/>
  <c r="W370" i="34"/>
  <c r="W381" i="34"/>
  <c r="W392" i="34"/>
  <c r="W395" i="34"/>
  <c r="W403" i="34"/>
  <c r="W410" i="34"/>
  <c r="W413" i="34"/>
  <c r="W416" i="34"/>
  <c r="X34" i="34"/>
  <c r="X41" i="34"/>
  <c r="X58" i="34"/>
  <c r="X65" i="34"/>
  <c r="X69" i="34"/>
  <c r="X70" i="34"/>
  <c r="X73" i="34"/>
  <c r="X77" i="34"/>
  <c r="X82" i="34"/>
  <c r="X83" i="34"/>
  <c r="X102" i="34"/>
  <c r="X130" i="34"/>
  <c r="X148" i="34"/>
  <c r="X191" i="34"/>
  <c r="X206" i="34"/>
  <c r="X221" i="34"/>
  <c r="X222" i="34"/>
  <c r="X226" i="34"/>
  <c r="X231" i="34"/>
  <c r="X239" i="34"/>
  <c r="X240" i="34"/>
  <c r="X243" i="34"/>
  <c r="X251" i="34"/>
  <c r="X252" i="34"/>
  <c r="X268" i="34"/>
  <c r="X305" i="34"/>
  <c r="X315" i="34"/>
  <c r="X324" i="34"/>
  <c r="X325" i="34"/>
  <c r="X327" i="34"/>
  <c r="X329" i="34"/>
  <c r="X337" i="34"/>
  <c r="X353" i="34"/>
  <c r="X370" i="34"/>
  <c r="X381" i="34"/>
  <c r="X392" i="34"/>
  <c r="X395" i="34"/>
  <c r="X403" i="34"/>
  <c r="X410" i="34"/>
  <c r="X413" i="34"/>
  <c r="X416" i="34"/>
  <c r="Y34" i="34"/>
  <c r="Y41" i="34"/>
  <c r="Y58" i="34"/>
  <c r="Y65" i="34"/>
  <c r="Y69" i="34"/>
  <c r="Y70" i="34"/>
  <c r="Y73" i="34"/>
  <c r="Y77" i="34"/>
  <c r="Y82" i="34"/>
  <c r="Y83" i="34"/>
  <c r="Y102" i="34"/>
  <c r="Y130" i="34"/>
  <c r="Y148" i="34"/>
  <c r="Y191" i="34"/>
  <c r="Y206" i="34"/>
  <c r="Y221" i="34"/>
  <c r="Y222" i="34"/>
  <c r="Y226" i="34"/>
  <c r="Y231" i="34"/>
  <c r="Y239" i="34"/>
  <c r="Y240" i="34"/>
  <c r="Y243" i="34"/>
  <c r="Y251" i="34"/>
  <c r="Y252" i="34"/>
  <c r="Y268" i="34"/>
  <c r="Y305" i="34"/>
  <c r="Y315" i="34"/>
  <c r="Y324" i="34"/>
  <c r="Y325" i="34"/>
  <c r="Y327" i="34"/>
  <c r="Y329" i="34"/>
  <c r="Y337" i="34"/>
  <c r="Y353" i="34"/>
  <c r="Y370" i="34"/>
  <c r="Y381" i="34"/>
  <c r="Y392" i="34"/>
  <c r="Y395" i="34"/>
  <c r="Y403" i="34"/>
  <c r="Y410" i="34"/>
  <c r="Y413" i="34"/>
  <c r="Y416" i="34"/>
  <c r="Z34" i="34"/>
  <c r="Z41" i="34"/>
  <c r="Z58" i="34"/>
  <c r="Z65" i="34"/>
  <c r="Z69" i="34"/>
  <c r="Z70" i="34"/>
  <c r="Z73" i="34"/>
  <c r="Z77" i="34"/>
  <c r="Z82" i="34"/>
  <c r="Z83" i="34"/>
  <c r="Z102" i="34"/>
  <c r="Z130" i="34"/>
  <c r="Z148" i="34"/>
  <c r="Z191" i="34"/>
  <c r="Z206" i="34"/>
  <c r="Z221" i="34"/>
  <c r="Z222" i="34"/>
  <c r="Z226" i="34"/>
  <c r="Z231" i="34"/>
  <c r="Z239" i="34"/>
  <c r="Z240" i="34"/>
  <c r="Z243" i="34"/>
  <c r="Z251" i="34"/>
  <c r="Z252" i="34"/>
  <c r="Z268" i="34"/>
  <c r="Z305" i="34"/>
  <c r="Z315" i="34"/>
  <c r="Z324" i="34"/>
  <c r="Z325" i="34"/>
  <c r="Z327" i="34"/>
  <c r="Z329" i="34"/>
  <c r="Z337" i="34"/>
  <c r="Z353" i="34"/>
  <c r="Z370" i="34"/>
  <c r="Z381" i="34"/>
  <c r="Z392" i="34"/>
  <c r="Z395" i="34"/>
  <c r="Z403" i="34"/>
  <c r="Z410" i="34"/>
  <c r="Z413" i="34"/>
  <c r="Z416" i="34"/>
  <c r="AA34" i="34"/>
  <c r="AA41" i="34"/>
  <c r="AA58" i="34"/>
  <c r="AA65" i="34"/>
  <c r="AA69" i="34"/>
  <c r="AA70" i="34"/>
  <c r="AA73" i="34"/>
  <c r="AA77" i="34"/>
  <c r="AA82" i="34"/>
  <c r="AA83" i="34"/>
  <c r="AA102" i="34"/>
  <c r="AA130" i="34"/>
  <c r="AA148" i="34"/>
  <c r="AA191" i="34"/>
  <c r="AA206" i="34"/>
  <c r="AA221" i="34"/>
  <c r="AA222" i="34"/>
  <c r="AA226" i="34"/>
  <c r="AA231" i="34"/>
  <c r="AA239" i="34"/>
  <c r="AA240" i="34"/>
  <c r="AA243" i="34"/>
  <c r="AA251" i="34"/>
  <c r="AA252" i="34"/>
  <c r="AA268" i="34"/>
  <c r="AA305" i="34"/>
  <c r="AA315" i="34"/>
  <c r="AA324" i="34"/>
  <c r="AA325" i="34"/>
  <c r="AA327" i="34"/>
  <c r="AA329" i="34"/>
  <c r="AA337" i="34"/>
  <c r="AA353" i="34"/>
  <c r="AA370" i="34"/>
  <c r="AA381" i="34"/>
  <c r="AA392" i="34"/>
  <c r="AA395" i="34"/>
  <c r="AA403" i="34"/>
  <c r="AA410" i="34"/>
  <c r="AA413" i="34"/>
  <c r="AA416" i="34"/>
  <c r="AB34" i="34"/>
  <c r="AB41" i="34"/>
  <c r="AB58" i="34"/>
  <c r="AB65" i="34"/>
  <c r="AB69" i="34"/>
  <c r="AB70" i="34"/>
  <c r="AB73" i="34"/>
  <c r="AB77" i="34"/>
  <c r="AB82" i="34"/>
  <c r="AB83" i="34"/>
  <c r="AB102" i="34"/>
  <c r="AB130" i="34"/>
  <c r="AB148" i="34"/>
  <c r="AB191" i="34"/>
  <c r="AB206" i="34"/>
  <c r="AB221" i="34"/>
  <c r="AB222" i="34"/>
  <c r="AB226" i="34"/>
  <c r="AB231" i="34"/>
  <c r="AB239" i="34"/>
  <c r="AB240" i="34"/>
  <c r="AB243" i="34"/>
  <c r="AB251" i="34"/>
  <c r="AB252" i="34"/>
  <c r="AB268" i="34"/>
  <c r="AB305" i="34"/>
  <c r="AB315" i="34"/>
  <c r="AB324" i="34"/>
  <c r="AB325" i="34"/>
  <c r="AB327" i="34"/>
  <c r="AB329" i="34"/>
  <c r="AB337" i="34"/>
  <c r="AB353" i="34"/>
  <c r="AB370" i="34"/>
  <c r="AB381" i="34"/>
  <c r="AB392" i="34"/>
  <c r="AB395" i="34"/>
  <c r="AB403" i="34"/>
  <c r="AB410" i="34"/>
  <c r="AB413" i="34"/>
  <c r="AB416" i="34"/>
  <c r="AC34" i="34"/>
  <c r="AC41" i="34"/>
  <c r="AC58" i="34"/>
  <c r="AC65" i="34"/>
  <c r="AC69" i="34"/>
  <c r="AC70" i="34"/>
  <c r="AC73" i="34"/>
  <c r="AC77" i="34"/>
  <c r="AC82" i="34"/>
  <c r="AC83" i="34"/>
  <c r="AC102" i="34"/>
  <c r="AC130" i="34"/>
  <c r="AC148" i="34"/>
  <c r="AC191" i="34"/>
  <c r="AC206" i="34"/>
  <c r="AC221" i="34"/>
  <c r="AC222" i="34"/>
  <c r="AC226" i="34"/>
  <c r="AC231" i="34"/>
  <c r="AC239" i="34"/>
  <c r="AC240" i="34"/>
  <c r="AC243" i="34"/>
  <c r="AC251" i="34"/>
  <c r="AC252" i="34"/>
  <c r="AC268" i="34"/>
  <c r="AC305" i="34"/>
  <c r="AC315" i="34"/>
  <c r="AC324" i="34"/>
  <c r="AC325" i="34"/>
  <c r="AC327" i="34"/>
  <c r="AC329" i="34"/>
  <c r="AC337" i="34"/>
  <c r="AC353" i="34"/>
  <c r="AC370" i="34"/>
  <c r="AC381" i="34"/>
  <c r="AC392" i="34"/>
  <c r="AC395" i="34"/>
  <c r="AC403" i="34"/>
  <c r="AC410" i="34"/>
  <c r="AC413" i="34"/>
  <c r="AC416" i="34"/>
  <c r="AD34" i="34"/>
  <c r="AD41" i="34"/>
  <c r="AD58" i="34"/>
  <c r="AD65" i="34"/>
  <c r="AD69" i="34"/>
  <c r="AD70" i="34"/>
  <c r="AD73" i="34"/>
  <c r="AD77" i="34"/>
  <c r="AD82" i="34"/>
  <c r="AD83" i="34"/>
  <c r="AD102" i="34"/>
  <c r="AD130" i="34"/>
  <c r="AD148" i="34"/>
  <c r="AD191" i="34"/>
  <c r="AD206" i="34"/>
  <c r="AD221" i="34"/>
  <c r="AD222" i="34"/>
  <c r="AD226" i="34"/>
  <c r="AD231" i="34"/>
  <c r="AD239" i="34"/>
  <c r="AD240" i="34"/>
  <c r="AD243" i="34"/>
  <c r="AD251" i="34"/>
  <c r="AD252" i="34"/>
  <c r="AD268" i="34"/>
  <c r="AD305" i="34"/>
  <c r="AD315" i="34"/>
  <c r="AD324" i="34"/>
  <c r="AD325" i="34"/>
  <c r="AD327" i="34"/>
  <c r="AD329" i="34"/>
  <c r="AD337" i="34"/>
  <c r="AD353" i="34"/>
  <c r="AD370" i="34"/>
  <c r="AD381" i="34"/>
  <c r="AD392" i="34"/>
  <c r="AD395" i="34"/>
  <c r="AD403" i="34"/>
  <c r="AD410" i="34"/>
  <c r="AD413" i="34"/>
  <c r="AD416" i="34"/>
  <c r="AE34" i="34"/>
  <c r="AE41" i="34"/>
  <c r="AE58" i="34"/>
  <c r="AE65" i="34"/>
  <c r="AE69" i="34"/>
  <c r="AE70" i="34"/>
  <c r="AE73" i="34"/>
  <c r="AE77" i="34"/>
  <c r="AE82" i="34"/>
  <c r="AE83" i="34"/>
  <c r="AE102" i="34"/>
  <c r="AE130" i="34"/>
  <c r="AE148" i="34"/>
  <c r="AE191" i="34"/>
  <c r="AE206" i="34"/>
  <c r="AE221" i="34"/>
  <c r="AE222" i="34"/>
  <c r="AE226" i="34"/>
  <c r="AE231" i="34"/>
  <c r="AE239" i="34"/>
  <c r="AE240" i="34"/>
  <c r="AE243" i="34"/>
  <c r="AE251" i="34"/>
  <c r="AE252" i="34"/>
  <c r="AE268" i="34"/>
  <c r="AE305" i="34"/>
  <c r="AE315" i="34"/>
  <c r="AE324" i="34"/>
  <c r="AE325" i="34"/>
  <c r="AE327" i="34"/>
  <c r="AE329" i="34"/>
  <c r="AE337" i="34"/>
  <c r="AE353" i="34"/>
  <c r="AE370" i="34"/>
  <c r="AE381" i="34"/>
  <c r="AE392" i="34"/>
  <c r="AE395" i="34"/>
  <c r="AE403" i="34"/>
  <c r="AE410" i="34"/>
  <c r="AE413" i="34"/>
  <c r="AE416" i="34"/>
  <c r="AF34" i="34"/>
  <c r="AF41" i="34"/>
  <c r="AF58" i="34"/>
  <c r="AF65" i="34"/>
  <c r="AF69" i="34"/>
  <c r="AF70" i="34"/>
  <c r="AF73" i="34"/>
  <c r="AF77" i="34"/>
  <c r="AF82" i="34"/>
  <c r="AF83" i="34"/>
  <c r="AF102" i="34"/>
  <c r="AF130" i="34"/>
  <c r="AF148" i="34"/>
  <c r="AF191" i="34"/>
  <c r="AF206" i="34"/>
  <c r="AF221" i="34"/>
  <c r="AF222" i="34"/>
  <c r="AF226" i="34"/>
  <c r="AF231" i="34"/>
  <c r="AF239" i="34"/>
  <c r="AF240" i="34"/>
  <c r="AF243" i="34"/>
  <c r="AF251" i="34"/>
  <c r="AF252" i="34"/>
  <c r="AF268" i="34"/>
  <c r="AF305" i="34"/>
  <c r="AF315" i="34"/>
  <c r="AF324" i="34"/>
  <c r="AF325" i="34"/>
  <c r="AF327" i="34"/>
  <c r="AF329" i="34"/>
  <c r="AF337" i="34"/>
  <c r="AF353" i="34"/>
  <c r="AF370" i="34"/>
  <c r="AF381" i="34"/>
  <c r="AF392" i="34"/>
  <c r="AF395" i="34"/>
  <c r="AF403" i="34"/>
  <c r="AF410" i="34"/>
  <c r="AF413" i="34"/>
  <c r="AF416" i="34"/>
  <c r="AG34" i="34"/>
  <c r="AG41" i="34"/>
  <c r="AG58" i="34"/>
  <c r="AG65" i="34"/>
  <c r="AG69" i="34"/>
  <c r="AG70" i="34"/>
  <c r="AG73" i="34"/>
  <c r="AG77" i="34"/>
  <c r="AG82" i="34"/>
  <c r="AG83" i="34"/>
  <c r="AG102" i="34"/>
  <c r="AG130" i="34"/>
  <c r="AG148" i="34"/>
  <c r="AG191" i="34"/>
  <c r="AG206" i="34"/>
  <c r="AG221" i="34"/>
  <c r="AG222" i="34"/>
  <c r="AG226" i="34"/>
  <c r="AG231" i="34"/>
  <c r="AG239" i="34"/>
  <c r="AG240" i="34"/>
  <c r="AG243" i="34"/>
  <c r="AG251" i="34"/>
  <c r="AG252" i="34"/>
  <c r="AG268" i="34"/>
  <c r="AG305" i="34"/>
  <c r="AG315" i="34"/>
  <c r="AG324" i="34"/>
  <c r="AG325" i="34"/>
  <c r="AG327" i="34"/>
  <c r="AG329" i="34"/>
  <c r="AG337" i="34"/>
  <c r="AG353" i="34"/>
  <c r="AG370" i="34"/>
  <c r="AG381" i="34"/>
  <c r="AG392" i="34"/>
  <c r="AG395" i="34"/>
  <c r="AG403" i="34"/>
  <c r="AG410" i="34"/>
  <c r="AG413" i="34"/>
  <c r="AG416" i="34"/>
  <c r="D104" i="34"/>
  <c r="D202" i="34"/>
  <c r="D296" i="34"/>
  <c r="D340" i="34"/>
  <c r="D390" i="34"/>
  <c r="D436" i="34"/>
  <c r="O104" i="34"/>
  <c r="O202" i="34"/>
  <c r="O296" i="34"/>
  <c r="O340" i="34"/>
  <c r="O390" i="34"/>
  <c r="O436" i="34"/>
  <c r="P104" i="34"/>
  <c r="P202" i="34"/>
  <c r="P296" i="34"/>
  <c r="P340" i="34"/>
  <c r="P390" i="34"/>
  <c r="P436" i="34"/>
  <c r="Q104" i="34"/>
  <c r="Q202" i="34"/>
  <c r="Q296" i="34"/>
  <c r="Q340" i="34"/>
  <c r="Q390" i="34"/>
  <c r="Q436" i="34"/>
  <c r="V104" i="34"/>
  <c r="V202" i="34"/>
  <c r="V296" i="34"/>
  <c r="V340" i="34"/>
  <c r="V390" i="34"/>
  <c r="V436" i="34"/>
  <c r="W104" i="34"/>
  <c r="W202" i="34"/>
  <c r="W296" i="34"/>
  <c r="W340" i="34"/>
  <c r="W390" i="34"/>
  <c r="W436" i="34"/>
  <c r="X104" i="34"/>
  <c r="X202" i="34"/>
  <c r="X296" i="34"/>
  <c r="X340" i="34"/>
  <c r="X390" i="34"/>
  <c r="X436" i="34"/>
  <c r="Y104" i="34"/>
  <c r="Y202" i="34"/>
  <c r="Y296" i="34"/>
  <c r="Y340" i="34"/>
  <c r="Y390" i="34"/>
  <c r="Y436" i="34"/>
  <c r="Z104" i="34"/>
  <c r="Z202" i="34"/>
  <c r="Z296" i="34"/>
  <c r="Z340" i="34"/>
  <c r="Z390" i="34"/>
  <c r="Z436" i="34"/>
  <c r="AA104" i="34"/>
  <c r="AA202" i="34"/>
  <c r="AA296" i="34"/>
  <c r="AA340" i="34"/>
  <c r="AA390" i="34"/>
  <c r="AA436" i="34"/>
  <c r="AB104" i="34"/>
  <c r="AB202" i="34"/>
  <c r="AB296" i="34"/>
  <c r="AB340" i="34"/>
  <c r="AB390" i="34"/>
  <c r="AB436" i="34"/>
  <c r="AC104" i="34"/>
  <c r="AC202" i="34"/>
  <c r="AC296" i="34"/>
  <c r="AC340" i="34"/>
  <c r="AC390" i="34"/>
  <c r="AC436" i="34"/>
  <c r="AD104" i="34"/>
  <c r="AD202" i="34"/>
  <c r="AD296" i="34"/>
  <c r="AD340" i="34"/>
  <c r="AD390" i="34"/>
  <c r="AD436" i="34"/>
  <c r="AE104" i="34"/>
  <c r="AE202" i="34"/>
  <c r="AE296" i="34"/>
  <c r="AE340" i="34"/>
  <c r="AE390" i="34"/>
  <c r="AE436" i="34"/>
  <c r="AF104" i="34"/>
  <c r="AF202" i="34"/>
  <c r="AF296" i="34"/>
  <c r="AF340" i="34"/>
  <c r="AF390" i="34"/>
  <c r="AF436" i="34"/>
  <c r="AG104" i="34"/>
  <c r="AG202" i="34"/>
  <c r="AG296" i="34"/>
  <c r="AG340" i="34"/>
  <c r="AG390" i="34"/>
  <c r="AG436" i="34"/>
  <c r="D20" i="34"/>
  <c r="D29" i="34"/>
  <c r="D33" i="34"/>
  <c r="D38" i="34"/>
  <c r="D46" i="34"/>
  <c r="D48" i="34"/>
  <c r="D53" i="34"/>
  <c r="D75" i="34"/>
  <c r="D92" i="34"/>
  <c r="D97" i="34"/>
  <c r="D98" i="34"/>
  <c r="D110" i="34"/>
  <c r="D111" i="34"/>
  <c r="D120" i="34"/>
  <c r="D129" i="34"/>
  <c r="D145" i="34"/>
  <c r="D164" i="34"/>
  <c r="D171" i="34"/>
  <c r="D184" i="34"/>
  <c r="D185" i="34"/>
  <c r="D214" i="34"/>
  <c r="D228" i="34"/>
  <c r="D250" i="34"/>
  <c r="D266" i="34"/>
  <c r="D284" i="34"/>
  <c r="D343" i="34"/>
  <c r="D357" i="34"/>
  <c r="D360" i="34"/>
  <c r="D363" i="34"/>
  <c r="D379" i="34"/>
  <c r="D383" i="34"/>
  <c r="D386" i="34"/>
  <c r="D398" i="34"/>
  <c r="D406" i="34"/>
  <c r="D412" i="34"/>
  <c r="D419" i="34"/>
  <c r="D423" i="34"/>
  <c r="D425" i="34"/>
  <c r="D438" i="34"/>
  <c r="O20" i="34"/>
  <c r="O29" i="34"/>
  <c r="O33" i="34"/>
  <c r="O38" i="34"/>
  <c r="O46" i="34"/>
  <c r="O48" i="34"/>
  <c r="O53" i="34"/>
  <c r="O75" i="34"/>
  <c r="O92" i="34"/>
  <c r="O97" i="34"/>
  <c r="O98" i="34"/>
  <c r="O110" i="34"/>
  <c r="O111" i="34"/>
  <c r="O120" i="34"/>
  <c r="O129" i="34"/>
  <c r="O145" i="34"/>
  <c r="O164" i="34"/>
  <c r="O171" i="34"/>
  <c r="O184" i="34"/>
  <c r="O185" i="34"/>
  <c r="O214" i="34"/>
  <c r="O228" i="34"/>
  <c r="O250" i="34"/>
  <c r="O266" i="34"/>
  <c r="O284" i="34"/>
  <c r="O343" i="34"/>
  <c r="O357" i="34"/>
  <c r="O360" i="34"/>
  <c r="O363" i="34"/>
  <c r="O379" i="34"/>
  <c r="O383" i="34"/>
  <c r="O386" i="34"/>
  <c r="O398" i="34"/>
  <c r="O406" i="34"/>
  <c r="O412" i="34"/>
  <c r="O419" i="34"/>
  <c r="O423" i="34"/>
  <c r="O425" i="34"/>
  <c r="O438" i="34"/>
  <c r="P20" i="34"/>
  <c r="P29" i="34"/>
  <c r="P33" i="34"/>
  <c r="P38" i="34"/>
  <c r="P46" i="34"/>
  <c r="P48" i="34"/>
  <c r="P53" i="34"/>
  <c r="P75" i="34"/>
  <c r="P92" i="34"/>
  <c r="P97" i="34"/>
  <c r="P98" i="34"/>
  <c r="P110" i="34"/>
  <c r="P111" i="34"/>
  <c r="P120" i="34"/>
  <c r="P129" i="34"/>
  <c r="P145" i="34"/>
  <c r="P164" i="34"/>
  <c r="P171" i="34"/>
  <c r="P184" i="34"/>
  <c r="P185" i="34"/>
  <c r="P214" i="34"/>
  <c r="P228" i="34"/>
  <c r="P250" i="34"/>
  <c r="P266" i="34"/>
  <c r="P284" i="34"/>
  <c r="P343" i="34"/>
  <c r="P357" i="34"/>
  <c r="P360" i="34"/>
  <c r="P363" i="34"/>
  <c r="P379" i="34"/>
  <c r="P383" i="34"/>
  <c r="P386" i="34"/>
  <c r="P398" i="34"/>
  <c r="P406" i="34"/>
  <c r="P412" i="34"/>
  <c r="P419" i="34"/>
  <c r="P423" i="34"/>
  <c r="P425" i="34"/>
  <c r="P438" i="34"/>
  <c r="Q20" i="34"/>
  <c r="Q29" i="34"/>
  <c r="Q33" i="34"/>
  <c r="Q38" i="34"/>
  <c r="Q46" i="34"/>
  <c r="Q48" i="34"/>
  <c r="Q53" i="34"/>
  <c r="Q75" i="34"/>
  <c r="Q92" i="34"/>
  <c r="Q97" i="34"/>
  <c r="Q98" i="34"/>
  <c r="Q110" i="34"/>
  <c r="Q111" i="34"/>
  <c r="Q120" i="34"/>
  <c r="Q129" i="34"/>
  <c r="Q145" i="34"/>
  <c r="Q164" i="34"/>
  <c r="Q171" i="34"/>
  <c r="Q184" i="34"/>
  <c r="Q185" i="34"/>
  <c r="Q214" i="34"/>
  <c r="Q228" i="34"/>
  <c r="Q250" i="34"/>
  <c r="Q266" i="34"/>
  <c r="Q284" i="34"/>
  <c r="Q343" i="34"/>
  <c r="Q357" i="34"/>
  <c r="Q360" i="34"/>
  <c r="Q363" i="34"/>
  <c r="Q379" i="34"/>
  <c r="Q383" i="34"/>
  <c r="Q386" i="34"/>
  <c r="Q398" i="34"/>
  <c r="Q406" i="34"/>
  <c r="Q412" i="34"/>
  <c r="Q419" i="34"/>
  <c r="Q423" i="34"/>
  <c r="Q425" i="34"/>
  <c r="Q438" i="34"/>
  <c r="V20" i="34"/>
  <c r="V29" i="34"/>
  <c r="V33" i="34"/>
  <c r="V38" i="34"/>
  <c r="V46" i="34"/>
  <c r="V48" i="34"/>
  <c r="V53" i="34"/>
  <c r="V75" i="34"/>
  <c r="V92" i="34"/>
  <c r="V97" i="34"/>
  <c r="V98" i="34"/>
  <c r="V110" i="34"/>
  <c r="V111" i="34"/>
  <c r="V120" i="34"/>
  <c r="V129" i="34"/>
  <c r="V145" i="34"/>
  <c r="V164" i="34"/>
  <c r="V171" i="34"/>
  <c r="V184" i="34"/>
  <c r="V185" i="34"/>
  <c r="V214" i="34"/>
  <c r="V228" i="34"/>
  <c r="V250" i="34"/>
  <c r="V266" i="34"/>
  <c r="V284" i="34"/>
  <c r="V343" i="34"/>
  <c r="V357" i="34"/>
  <c r="V360" i="34"/>
  <c r="V363" i="34"/>
  <c r="V379" i="34"/>
  <c r="V383" i="34"/>
  <c r="V386" i="34"/>
  <c r="V398" i="34"/>
  <c r="V406" i="34"/>
  <c r="V412" i="34"/>
  <c r="V419" i="34"/>
  <c r="V423" i="34"/>
  <c r="V425" i="34"/>
  <c r="V438" i="34"/>
  <c r="W20" i="34"/>
  <c r="W29" i="34"/>
  <c r="W33" i="34"/>
  <c r="W38" i="34"/>
  <c r="W46" i="34"/>
  <c r="W48" i="34"/>
  <c r="W53" i="34"/>
  <c r="W75" i="34"/>
  <c r="W92" i="34"/>
  <c r="W97" i="34"/>
  <c r="W98" i="34"/>
  <c r="W110" i="34"/>
  <c r="W111" i="34"/>
  <c r="W120" i="34"/>
  <c r="W129" i="34"/>
  <c r="W145" i="34"/>
  <c r="W164" i="34"/>
  <c r="W171" i="34"/>
  <c r="W184" i="34"/>
  <c r="W185" i="34"/>
  <c r="W214" i="34"/>
  <c r="W228" i="34"/>
  <c r="W250" i="34"/>
  <c r="W266" i="34"/>
  <c r="W284" i="34"/>
  <c r="W343" i="34"/>
  <c r="W357" i="34"/>
  <c r="W360" i="34"/>
  <c r="W363" i="34"/>
  <c r="W379" i="34"/>
  <c r="W383" i="34"/>
  <c r="W386" i="34"/>
  <c r="W398" i="34"/>
  <c r="W406" i="34"/>
  <c r="W412" i="34"/>
  <c r="W419" i="34"/>
  <c r="W423" i="34"/>
  <c r="W425" i="34"/>
  <c r="W438" i="34"/>
  <c r="X20" i="34"/>
  <c r="X29" i="34"/>
  <c r="X33" i="34"/>
  <c r="X38" i="34"/>
  <c r="X46" i="34"/>
  <c r="X48" i="34"/>
  <c r="X53" i="34"/>
  <c r="X75" i="34"/>
  <c r="X92" i="34"/>
  <c r="X97" i="34"/>
  <c r="X98" i="34"/>
  <c r="X110" i="34"/>
  <c r="X111" i="34"/>
  <c r="X120" i="34"/>
  <c r="X129" i="34"/>
  <c r="X145" i="34"/>
  <c r="X164" i="34"/>
  <c r="X171" i="34"/>
  <c r="X184" i="34"/>
  <c r="X185" i="34"/>
  <c r="X214" i="34"/>
  <c r="X228" i="34"/>
  <c r="X250" i="34"/>
  <c r="X266" i="34"/>
  <c r="X284" i="34"/>
  <c r="X343" i="34"/>
  <c r="X357" i="34"/>
  <c r="X360" i="34"/>
  <c r="X363" i="34"/>
  <c r="X379" i="34"/>
  <c r="X383" i="34"/>
  <c r="X386" i="34"/>
  <c r="X398" i="34"/>
  <c r="X406" i="34"/>
  <c r="X412" i="34"/>
  <c r="X419" i="34"/>
  <c r="X423" i="34"/>
  <c r="X425" i="34"/>
  <c r="X438" i="34"/>
  <c r="Y20" i="34"/>
  <c r="Y29" i="34"/>
  <c r="Y33" i="34"/>
  <c r="Y38" i="34"/>
  <c r="Y46" i="34"/>
  <c r="Y48" i="34"/>
  <c r="Y53" i="34"/>
  <c r="Y75" i="34"/>
  <c r="Y92" i="34"/>
  <c r="Y97" i="34"/>
  <c r="Y98" i="34"/>
  <c r="Y110" i="34"/>
  <c r="Y111" i="34"/>
  <c r="Y120" i="34"/>
  <c r="Y129" i="34"/>
  <c r="Y145" i="34"/>
  <c r="Y164" i="34"/>
  <c r="Y171" i="34"/>
  <c r="Y184" i="34"/>
  <c r="Y185" i="34"/>
  <c r="Y214" i="34"/>
  <c r="Y228" i="34"/>
  <c r="Y250" i="34"/>
  <c r="Y266" i="34"/>
  <c r="Y284" i="34"/>
  <c r="Y343" i="34"/>
  <c r="Y357" i="34"/>
  <c r="Y360" i="34"/>
  <c r="Y363" i="34"/>
  <c r="Y379" i="34"/>
  <c r="Y383" i="34"/>
  <c r="Y386" i="34"/>
  <c r="Y398" i="34"/>
  <c r="Y406" i="34"/>
  <c r="Y412" i="34"/>
  <c r="Y419" i="34"/>
  <c r="Y423" i="34"/>
  <c r="Y425" i="34"/>
  <c r="Y438" i="34"/>
  <c r="Z20" i="34"/>
  <c r="Z29" i="34"/>
  <c r="Z33" i="34"/>
  <c r="Z38" i="34"/>
  <c r="Z46" i="34"/>
  <c r="Z48" i="34"/>
  <c r="Z53" i="34"/>
  <c r="Z75" i="34"/>
  <c r="Z92" i="34"/>
  <c r="Z97" i="34"/>
  <c r="Z98" i="34"/>
  <c r="Z110" i="34"/>
  <c r="Z111" i="34"/>
  <c r="Z120" i="34"/>
  <c r="Z129" i="34"/>
  <c r="Z145" i="34"/>
  <c r="Z164" i="34"/>
  <c r="Z171" i="34"/>
  <c r="Z184" i="34"/>
  <c r="Z185" i="34"/>
  <c r="Z214" i="34"/>
  <c r="Z228" i="34"/>
  <c r="Z250" i="34"/>
  <c r="Z266" i="34"/>
  <c r="Z284" i="34"/>
  <c r="Z343" i="34"/>
  <c r="Z357" i="34"/>
  <c r="Z360" i="34"/>
  <c r="Z363" i="34"/>
  <c r="Z379" i="34"/>
  <c r="Z383" i="34"/>
  <c r="Z386" i="34"/>
  <c r="Z398" i="34"/>
  <c r="Z406" i="34"/>
  <c r="Z412" i="34"/>
  <c r="Z419" i="34"/>
  <c r="Z423" i="34"/>
  <c r="Z425" i="34"/>
  <c r="Z438" i="34"/>
  <c r="AA20" i="34"/>
  <c r="AA29" i="34"/>
  <c r="AA33" i="34"/>
  <c r="AA38" i="34"/>
  <c r="AA46" i="34"/>
  <c r="AA48" i="34"/>
  <c r="AA53" i="34"/>
  <c r="AA75" i="34"/>
  <c r="AA92" i="34"/>
  <c r="AA97" i="34"/>
  <c r="AA98" i="34"/>
  <c r="AA110" i="34"/>
  <c r="AA111" i="34"/>
  <c r="AA120" i="34"/>
  <c r="AA129" i="34"/>
  <c r="AA145" i="34"/>
  <c r="AA164" i="34"/>
  <c r="AA171" i="34"/>
  <c r="AA184" i="34"/>
  <c r="AA185" i="34"/>
  <c r="AA214" i="34"/>
  <c r="AA228" i="34"/>
  <c r="AA250" i="34"/>
  <c r="AA266" i="34"/>
  <c r="AA284" i="34"/>
  <c r="AA343" i="34"/>
  <c r="AA357" i="34"/>
  <c r="AA360" i="34"/>
  <c r="AA363" i="34"/>
  <c r="AA379" i="34"/>
  <c r="AA383" i="34"/>
  <c r="AA386" i="34"/>
  <c r="AA398" i="34"/>
  <c r="AA406" i="34"/>
  <c r="AA412" i="34"/>
  <c r="AA419" i="34"/>
  <c r="AA423" i="34"/>
  <c r="AA425" i="34"/>
  <c r="AA438" i="34"/>
  <c r="AB20" i="34"/>
  <c r="AB29" i="34"/>
  <c r="AB33" i="34"/>
  <c r="AB38" i="34"/>
  <c r="AB46" i="34"/>
  <c r="AB48" i="34"/>
  <c r="AB53" i="34"/>
  <c r="AB75" i="34"/>
  <c r="AB92" i="34"/>
  <c r="AB97" i="34"/>
  <c r="AB98" i="34"/>
  <c r="AB110" i="34"/>
  <c r="AB111" i="34"/>
  <c r="AB120" i="34"/>
  <c r="AB129" i="34"/>
  <c r="AB145" i="34"/>
  <c r="AB164" i="34"/>
  <c r="AB171" i="34"/>
  <c r="AB184" i="34"/>
  <c r="AB185" i="34"/>
  <c r="AB214" i="34"/>
  <c r="AB228" i="34"/>
  <c r="AB250" i="34"/>
  <c r="AB266" i="34"/>
  <c r="AB284" i="34"/>
  <c r="AB343" i="34"/>
  <c r="AB357" i="34"/>
  <c r="AB360" i="34"/>
  <c r="AB363" i="34"/>
  <c r="AB379" i="34"/>
  <c r="AB383" i="34"/>
  <c r="AB386" i="34"/>
  <c r="AB398" i="34"/>
  <c r="AB406" i="34"/>
  <c r="AB412" i="34"/>
  <c r="AB419" i="34"/>
  <c r="AB423" i="34"/>
  <c r="AB425" i="34"/>
  <c r="AB438" i="34"/>
  <c r="AC20" i="34"/>
  <c r="AC29" i="34"/>
  <c r="AC33" i="34"/>
  <c r="AC38" i="34"/>
  <c r="AC46" i="34"/>
  <c r="AC48" i="34"/>
  <c r="AC53" i="34"/>
  <c r="AC75" i="34"/>
  <c r="AC92" i="34"/>
  <c r="AC97" i="34"/>
  <c r="AC98" i="34"/>
  <c r="AC110" i="34"/>
  <c r="AC111" i="34"/>
  <c r="AC120" i="34"/>
  <c r="AC129" i="34"/>
  <c r="AC145" i="34"/>
  <c r="AC164" i="34"/>
  <c r="AC171" i="34"/>
  <c r="AC184" i="34"/>
  <c r="AC185" i="34"/>
  <c r="AC214" i="34"/>
  <c r="AC228" i="34"/>
  <c r="AC250" i="34"/>
  <c r="AC266" i="34"/>
  <c r="AC284" i="34"/>
  <c r="AC343" i="34"/>
  <c r="AC357" i="34"/>
  <c r="AC360" i="34"/>
  <c r="AC363" i="34"/>
  <c r="AC379" i="34"/>
  <c r="AC383" i="34"/>
  <c r="AC386" i="34"/>
  <c r="AC398" i="34"/>
  <c r="AC406" i="34"/>
  <c r="AC412" i="34"/>
  <c r="AC419" i="34"/>
  <c r="AC423" i="34"/>
  <c r="AC425" i="34"/>
  <c r="AC438" i="34"/>
  <c r="AD20" i="34"/>
  <c r="AD29" i="34"/>
  <c r="AD33" i="34"/>
  <c r="AD38" i="34"/>
  <c r="AD46" i="34"/>
  <c r="AD48" i="34"/>
  <c r="AD53" i="34"/>
  <c r="AD75" i="34"/>
  <c r="AD92" i="34"/>
  <c r="AD97" i="34"/>
  <c r="AD98" i="34"/>
  <c r="AD110" i="34"/>
  <c r="AD111" i="34"/>
  <c r="AD120" i="34"/>
  <c r="AD129" i="34"/>
  <c r="AD145" i="34"/>
  <c r="AD164" i="34"/>
  <c r="AD171" i="34"/>
  <c r="AD184" i="34"/>
  <c r="AD185" i="34"/>
  <c r="AD214" i="34"/>
  <c r="AD228" i="34"/>
  <c r="AD250" i="34"/>
  <c r="AD266" i="34"/>
  <c r="AD284" i="34"/>
  <c r="AD343" i="34"/>
  <c r="AD357" i="34"/>
  <c r="AD360" i="34"/>
  <c r="AD363" i="34"/>
  <c r="AD379" i="34"/>
  <c r="AD383" i="34"/>
  <c r="AD386" i="34"/>
  <c r="AD398" i="34"/>
  <c r="AD406" i="34"/>
  <c r="AD412" i="34"/>
  <c r="AD419" i="34"/>
  <c r="AD423" i="34"/>
  <c r="AD425" i="34"/>
  <c r="AD438" i="34"/>
  <c r="AE20" i="34"/>
  <c r="AE29" i="34"/>
  <c r="AE33" i="34"/>
  <c r="AE38" i="34"/>
  <c r="AE46" i="34"/>
  <c r="AE48" i="34"/>
  <c r="AE53" i="34"/>
  <c r="AE75" i="34"/>
  <c r="AE92" i="34"/>
  <c r="AE97" i="34"/>
  <c r="AE98" i="34"/>
  <c r="AE110" i="34"/>
  <c r="AE111" i="34"/>
  <c r="AE120" i="34"/>
  <c r="AE129" i="34"/>
  <c r="AE145" i="34"/>
  <c r="AE164" i="34"/>
  <c r="AE171" i="34"/>
  <c r="AE184" i="34"/>
  <c r="AE185" i="34"/>
  <c r="AE214" i="34"/>
  <c r="AE228" i="34"/>
  <c r="AE250" i="34"/>
  <c r="AE266" i="34"/>
  <c r="AE284" i="34"/>
  <c r="AE343" i="34"/>
  <c r="AE357" i="34"/>
  <c r="AE360" i="34"/>
  <c r="AE363" i="34"/>
  <c r="AE379" i="34"/>
  <c r="AE383" i="34"/>
  <c r="AE386" i="34"/>
  <c r="AE398" i="34"/>
  <c r="AE406" i="34"/>
  <c r="AE412" i="34"/>
  <c r="AE419" i="34"/>
  <c r="AE423" i="34"/>
  <c r="AE425" i="34"/>
  <c r="AE438" i="34"/>
  <c r="AF20" i="34"/>
  <c r="AF29" i="34"/>
  <c r="AF33" i="34"/>
  <c r="AF38" i="34"/>
  <c r="AF46" i="34"/>
  <c r="AF48" i="34"/>
  <c r="AF53" i="34"/>
  <c r="AF75" i="34"/>
  <c r="AF92" i="34"/>
  <c r="AF97" i="34"/>
  <c r="AF98" i="34"/>
  <c r="AF110" i="34"/>
  <c r="AF111" i="34"/>
  <c r="AF120" i="34"/>
  <c r="AF129" i="34"/>
  <c r="AF145" i="34"/>
  <c r="AF164" i="34"/>
  <c r="AF171" i="34"/>
  <c r="AF184" i="34"/>
  <c r="AF185" i="34"/>
  <c r="AF214" i="34"/>
  <c r="AF228" i="34"/>
  <c r="AF250" i="34"/>
  <c r="AF266" i="34"/>
  <c r="AF284" i="34"/>
  <c r="AF343" i="34"/>
  <c r="AF357" i="34"/>
  <c r="AF360" i="34"/>
  <c r="AF363" i="34"/>
  <c r="AF379" i="34"/>
  <c r="AF383" i="34"/>
  <c r="AF386" i="34"/>
  <c r="AF398" i="34"/>
  <c r="AF406" i="34"/>
  <c r="AF412" i="34"/>
  <c r="AF419" i="34"/>
  <c r="AF423" i="34"/>
  <c r="AF425" i="34"/>
  <c r="AF438" i="34"/>
  <c r="AG20" i="34"/>
  <c r="AG29" i="34"/>
  <c r="AG33" i="34"/>
  <c r="AG38" i="34"/>
  <c r="AG46" i="34"/>
  <c r="AG48" i="34"/>
  <c r="AG53" i="34"/>
  <c r="AG75" i="34"/>
  <c r="AG92" i="34"/>
  <c r="AG97" i="34"/>
  <c r="AG98" i="34"/>
  <c r="AG110" i="34"/>
  <c r="AG111" i="34"/>
  <c r="AG120" i="34"/>
  <c r="AG129" i="34"/>
  <c r="AG145" i="34"/>
  <c r="AG164" i="34"/>
  <c r="AG171" i="34"/>
  <c r="AG184" i="34"/>
  <c r="AG185" i="34"/>
  <c r="AG214" i="34"/>
  <c r="AG228" i="34"/>
  <c r="AG250" i="34"/>
  <c r="AG266" i="34"/>
  <c r="AG284" i="34"/>
  <c r="AG343" i="34"/>
  <c r="AG357" i="34"/>
  <c r="AG360" i="34"/>
  <c r="AG363" i="34"/>
  <c r="AG379" i="34"/>
  <c r="AG383" i="34"/>
  <c r="AG386" i="34"/>
  <c r="AG398" i="34"/>
  <c r="AG406" i="34"/>
  <c r="AG412" i="34"/>
  <c r="AG419" i="34"/>
  <c r="AG423" i="34"/>
  <c r="AG425" i="34"/>
  <c r="AG438" i="34"/>
  <c r="D17" i="34"/>
  <c r="D55" i="34"/>
  <c r="D91" i="34"/>
  <c r="D107" i="34"/>
  <c r="D113" i="34"/>
  <c r="D197" i="34"/>
  <c r="D213" i="34"/>
  <c r="D227" i="34"/>
  <c r="D246" i="34"/>
  <c r="D270" i="34"/>
  <c r="D312" i="34"/>
  <c r="D333" i="34"/>
  <c r="D338" i="34"/>
  <c r="D365" i="34"/>
  <c r="D385" i="34"/>
  <c r="D400" i="34"/>
  <c r="D426" i="34"/>
  <c r="D443" i="34"/>
  <c r="I17" i="34"/>
  <c r="M17" i="34"/>
  <c r="N17" i="34"/>
  <c r="O17" i="34"/>
  <c r="O55" i="34"/>
  <c r="O91" i="34"/>
  <c r="O107" i="34"/>
  <c r="O113" i="34"/>
  <c r="O197" i="34"/>
  <c r="O213" i="34"/>
  <c r="O227" i="34"/>
  <c r="O246" i="34"/>
  <c r="O270" i="34"/>
  <c r="O312" i="34"/>
  <c r="O333" i="34"/>
  <c r="O338" i="34"/>
  <c r="O365" i="34"/>
  <c r="O385" i="34"/>
  <c r="O400" i="34"/>
  <c r="O426" i="34"/>
  <c r="O443" i="34"/>
  <c r="P17" i="34"/>
  <c r="P55" i="34"/>
  <c r="P91" i="34"/>
  <c r="P107" i="34"/>
  <c r="P113" i="34"/>
  <c r="P197" i="34"/>
  <c r="P213" i="34"/>
  <c r="P227" i="34"/>
  <c r="P246" i="34"/>
  <c r="P270" i="34"/>
  <c r="P312" i="34"/>
  <c r="P333" i="34"/>
  <c r="P338" i="34"/>
  <c r="P365" i="34"/>
  <c r="P385" i="34"/>
  <c r="P400" i="34"/>
  <c r="P426" i="34"/>
  <c r="P443" i="34"/>
  <c r="Q17" i="34"/>
  <c r="Q55" i="34"/>
  <c r="Q91" i="34"/>
  <c r="Q107" i="34"/>
  <c r="Q113" i="34"/>
  <c r="Q197" i="34"/>
  <c r="Q213" i="34"/>
  <c r="Q227" i="34"/>
  <c r="Q246" i="34"/>
  <c r="Q270" i="34"/>
  <c r="Q312" i="34"/>
  <c r="Q333" i="34"/>
  <c r="Q338" i="34"/>
  <c r="Q365" i="34"/>
  <c r="Q385" i="34"/>
  <c r="Q400" i="34"/>
  <c r="Q426" i="34"/>
  <c r="Q443" i="34"/>
  <c r="V17" i="34"/>
  <c r="V55" i="34"/>
  <c r="V91" i="34"/>
  <c r="V107" i="34"/>
  <c r="V113" i="34"/>
  <c r="V197" i="34"/>
  <c r="V213" i="34"/>
  <c r="V227" i="34"/>
  <c r="V246" i="34"/>
  <c r="V270" i="34"/>
  <c r="V312" i="34"/>
  <c r="V333" i="34"/>
  <c r="V338" i="34"/>
  <c r="V365" i="34"/>
  <c r="V385" i="34"/>
  <c r="V400" i="34"/>
  <c r="V426" i="34"/>
  <c r="V443" i="34"/>
  <c r="W17" i="34"/>
  <c r="W55" i="34"/>
  <c r="W91" i="34"/>
  <c r="W107" i="34"/>
  <c r="W113" i="34"/>
  <c r="W197" i="34"/>
  <c r="W213" i="34"/>
  <c r="W227" i="34"/>
  <c r="W246" i="34"/>
  <c r="W270" i="34"/>
  <c r="W312" i="34"/>
  <c r="W333" i="34"/>
  <c r="W338" i="34"/>
  <c r="W365" i="34"/>
  <c r="W385" i="34"/>
  <c r="W400" i="34"/>
  <c r="W426" i="34"/>
  <c r="W443" i="34"/>
  <c r="X17" i="34"/>
  <c r="X55" i="34"/>
  <c r="X91" i="34"/>
  <c r="X107" i="34"/>
  <c r="X113" i="34"/>
  <c r="X197" i="34"/>
  <c r="X213" i="34"/>
  <c r="X227" i="34"/>
  <c r="X246" i="34"/>
  <c r="X270" i="34"/>
  <c r="X312" i="34"/>
  <c r="X333" i="34"/>
  <c r="X338" i="34"/>
  <c r="X365" i="34"/>
  <c r="X385" i="34"/>
  <c r="X400" i="34"/>
  <c r="X426" i="34"/>
  <c r="X443" i="34"/>
  <c r="Y17" i="34"/>
  <c r="Y55" i="34"/>
  <c r="Y91" i="34"/>
  <c r="Y107" i="34"/>
  <c r="Y113" i="34"/>
  <c r="Y197" i="34"/>
  <c r="Y213" i="34"/>
  <c r="Y227" i="34"/>
  <c r="Y246" i="34"/>
  <c r="Y270" i="34"/>
  <c r="Y312" i="34"/>
  <c r="Y333" i="34"/>
  <c r="Y338" i="34"/>
  <c r="Y365" i="34"/>
  <c r="Y385" i="34"/>
  <c r="Y400" i="34"/>
  <c r="Y426" i="34"/>
  <c r="Y443" i="34"/>
  <c r="Z17" i="34"/>
  <c r="Z55" i="34"/>
  <c r="Z91" i="34"/>
  <c r="Z107" i="34"/>
  <c r="Z113" i="34"/>
  <c r="Z197" i="34"/>
  <c r="Z213" i="34"/>
  <c r="Z227" i="34"/>
  <c r="Z246" i="34"/>
  <c r="Z270" i="34"/>
  <c r="Z312" i="34"/>
  <c r="Z333" i="34"/>
  <c r="Z338" i="34"/>
  <c r="Z365" i="34"/>
  <c r="Z385" i="34"/>
  <c r="Z400" i="34"/>
  <c r="Z426" i="34"/>
  <c r="Z443" i="34"/>
  <c r="AA17" i="34"/>
  <c r="AA55" i="34"/>
  <c r="AA91" i="34"/>
  <c r="AA107" i="34"/>
  <c r="AA113" i="34"/>
  <c r="AA197" i="34"/>
  <c r="AA213" i="34"/>
  <c r="AA227" i="34"/>
  <c r="AA246" i="34"/>
  <c r="AA270" i="34"/>
  <c r="AA312" i="34"/>
  <c r="AA333" i="34"/>
  <c r="AA338" i="34"/>
  <c r="AA365" i="34"/>
  <c r="AA385" i="34"/>
  <c r="AA400" i="34"/>
  <c r="AA426" i="34"/>
  <c r="AA443" i="34"/>
  <c r="AB17" i="34"/>
  <c r="AB55" i="34"/>
  <c r="AB91" i="34"/>
  <c r="AB107" i="34"/>
  <c r="AB113" i="34"/>
  <c r="AB197" i="34"/>
  <c r="AB213" i="34"/>
  <c r="AB227" i="34"/>
  <c r="AB246" i="34"/>
  <c r="AB270" i="34"/>
  <c r="AB312" i="34"/>
  <c r="AB333" i="34"/>
  <c r="AB338" i="34"/>
  <c r="AB365" i="34"/>
  <c r="AB385" i="34"/>
  <c r="AB400" i="34"/>
  <c r="AB426" i="34"/>
  <c r="AB443" i="34"/>
  <c r="AC17" i="34"/>
  <c r="AC55" i="34"/>
  <c r="AC91" i="34"/>
  <c r="AC107" i="34"/>
  <c r="AC113" i="34"/>
  <c r="AC197" i="34"/>
  <c r="AC213" i="34"/>
  <c r="AC227" i="34"/>
  <c r="AC246" i="34"/>
  <c r="AC270" i="34"/>
  <c r="AC312" i="34"/>
  <c r="AC333" i="34"/>
  <c r="AC338" i="34"/>
  <c r="AC365" i="34"/>
  <c r="AC385" i="34"/>
  <c r="AC400" i="34"/>
  <c r="AC426" i="34"/>
  <c r="AC443" i="34"/>
  <c r="AD17" i="34"/>
  <c r="AD55" i="34"/>
  <c r="AD91" i="34"/>
  <c r="AD107" i="34"/>
  <c r="AD113" i="34"/>
  <c r="AD197" i="34"/>
  <c r="AD213" i="34"/>
  <c r="AD227" i="34"/>
  <c r="AD246" i="34"/>
  <c r="AD270" i="34"/>
  <c r="AD312" i="34"/>
  <c r="AD333" i="34"/>
  <c r="AD338" i="34"/>
  <c r="AD365" i="34"/>
  <c r="AD385" i="34"/>
  <c r="AD400" i="34"/>
  <c r="AD426" i="34"/>
  <c r="AD443" i="34"/>
  <c r="AE17" i="34"/>
  <c r="AE55" i="34"/>
  <c r="AE91" i="34"/>
  <c r="AE107" i="34"/>
  <c r="AE113" i="34"/>
  <c r="AE197" i="34"/>
  <c r="AE213" i="34"/>
  <c r="AE227" i="34"/>
  <c r="AE246" i="34"/>
  <c r="AE270" i="34"/>
  <c r="AE312" i="34"/>
  <c r="AE333" i="34"/>
  <c r="AE338" i="34"/>
  <c r="AE365" i="34"/>
  <c r="AE385" i="34"/>
  <c r="AE400" i="34"/>
  <c r="AE426" i="34"/>
  <c r="AE443" i="34"/>
  <c r="AF17" i="34"/>
  <c r="AF55" i="34"/>
  <c r="AF91" i="34"/>
  <c r="AF107" i="34"/>
  <c r="AF113" i="34"/>
  <c r="AF197" i="34"/>
  <c r="AF213" i="34"/>
  <c r="AF227" i="34"/>
  <c r="AF246" i="34"/>
  <c r="AF270" i="34"/>
  <c r="AF312" i="34"/>
  <c r="AF333" i="34"/>
  <c r="AF338" i="34"/>
  <c r="AF365" i="34"/>
  <c r="AF385" i="34"/>
  <c r="AF400" i="34"/>
  <c r="AF426" i="34"/>
  <c r="AF443" i="34"/>
  <c r="AG17" i="34"/>
  <c r="AG55" i="34"/>
  <c r="AG91" i="34"/>
  <c r="AG107" i="34"/>
  <c r="AG113" i="34"/>
  <c r="AG197" i="34"/>
  <c r="AG213" i="34"/>
  <c r="AG227" i="34"/>
  <c r="AG246" i="34"/>
  <c r="AG270" i="34"/>
  <c r="AG312" i="34"/>
  <c r="AG333" i="34"/>
  <c r="AG338" i="34"/>
  <c r="AG365" i="34"/>
  <c r="AG385" i="34"/>
  <c r="AG400" i="34"/>
  <c r="AG426" i="34"/>
  <c r="AG443" i="34"/>
  <c r="D31" i="34"/>
  <c r="D37" i="34"/>
  <c r="D54" i="34"/>
  <c r="D59" i="34"/>
  <c r="D62" i="34"/>
  <c r="D76" i="34"/>
  <c r="D101" i="34"/>
  <c r="D137" i="34"/>
  <c r="D143" i="34"/>
  <c r="D186" i="34"/>
  <c r="D238" i="34"/>
  <c r="D304" i="34"/>
  <c r="D320" i="34"/>
  <c r="D334" i="34"/>
  <c r="D346" i="34"/>
  <c r="D354" i="34"/>
  <c r="D371" i="34"/>
  <c r="D397" i="34"/>
  <c r="D402" i="34"/>
  <c r="D422" i="34"/>
  <c r="D424" i="34"/>
  <c r="D429" i="34"/>
  <c r="D432" i="34"/>
  <c r="O31" i="34"/>
  <c r="O37" i="34"/>
  <c r="O54" i="34"/>
  <c r="O59" i="34"/>
  <c r="O62" i="34"/>
  <c r="O76" i="34"/>
  <c r="O101" i="34"/>
  <c r="O137" i="34"/>
  <c r="O143" i="34"/>
  <c r="O186" i="34"/>
  <c r="O238" i="34"/>
  <c r="O304" i="34"/>
  <c r="O320" i="34"/>
  <c r="O334" i="34"/>
  <c r="O346" i="34"/>
  <c r="O354" i="34"/>
  <c r="O371" i="34"/>
  <c r="O397" i="34"/>
  <c r="O402" i="34"/>
  <c r="O422" i="34"/>
  <c r="O424" i="34"/>
  <c r="O429" i="34"/>
  <c r="O432" i="34"/>
  <c r="P31" i="34"/>
  <c r="P37" i="34"/>
  <c r="P54" i="34"/>
  <c r="P59" i="34"/>
  <c r="P62" i="34"/>
  <c r="P76" i="34"/>
  <c r="P101" i="34"/>
  <c r="P137" i="34"/>
  <c r="P143" i="34"/>
  <c r="P186" i="34"/>
  <c r="P238" i="34"/>
  <c r="P304" i="34"/>
  <c r="P320" i="34"/>
  <c r="P334" i="34"/>
  <c r="P346" i="34"/>
  <c r="P354" i="34"/>
  <c r="P371" i="34"/>
  <c r="P397" i="34"/>
  <c r="P402" i="34"/>
  <c r="P422" i="34"/>
  <c r="P424" i="34"/>
  <c r="P429" i="34"/>
  <c r="P432" i="34"/>
  <c r="Q31" i="34"/>
  <c r="Q37" i="34"/>
  <c r="Q54" i="34"/>
  <c r="Q59" i="34"/>
  <c r="Q62" i="34"/>
  <c r="Q76" i="34"/>
  <c r="Q101" i="34"/>
  <c r="Q137" i="34"/>
  <c r="Q143" i="34"/>
  <c r="Q186" i="34"/>
  <c r="Q238" i="34"/>
  <c r="Q304" i="34"/>
  <c r="Q320" i="34"/>
  <c r="Q334" i="34"/>
  <c r="Q346" i="34"/>
  <c r="Q354" i="34"/>
  <c r="Q371" i="34"/>
  <c r="Q397" i="34"/>
  <c r="Q402" i="34"/>
  <c r="Q422" i="34"/>
  <c r="Q424" i="34"/>
  <c r="Q429" i="34"/>
  <c r="Q432" i="34"/>
  <c r="V31" i="34"/>
  <c r="V37" i="34"/>
  <c r="V54" i="34"/>
  <c r="V59" i="34"/>
  <c r="V62" i="34"/>
  <c r="V76" i="34"/>
  <c r="V101" i="34"/>
  <c r="V137" i="34"/>
  <c r="V143" i="34"/>
  <c r="V186" i="34"/>
  <c r="V238" i="34"/>
  <c r="V304" i="34"/>
  <c r="V320" i="34"/>
  <c r="V334" i="34"/>
  <c r="V346" i="34"/>
  <c r="V354" i="34"/>
  <c r="V371" i="34"/>
  <c r="V397" i="34"/>
  <c r="V402" i="34"/>
  <c r="V422" i="34"/>
  <c r="V424" i="34"/>
  <c r="V429" i="34"/>
  <c r="V432" i="34"/>
  <c r="W31" i="34"/>
  <c r="W37" i="34"/>
  <c r="W54" i="34"/>
  <c r="W59" i="34"/>
  <c r="W62" i="34"/>
  <c r="W76" i="34"/>
  <c r="W101" i="34"/>
  <c r="W137" i="34"/>
  <c r="W143" i="34"/>
  <c r="W186" i="34"/>
  <c r="W238" i="34"/>
  <c r="W304" i="34"/>
  <c r="W320" i="34"/>
  <c r="W334" i="34"/>
  <c r="W346" i="34"/>
  <c r="W354" i="34"/>
  <c r="W371" i="34"/>
  <c r="W397" i="34"/>
  <c r="W402" i="34"/>
  <c r="W422" i="34"/>
  <c r="W424" i="34"/>
  <c r="W429" i="34"/>
  <c r="W432" i="34"/>
  <c r="X31" i="34"/>
  <c r="X37" i="34"/>
  <c r="X54" i="34"/>
  <c r="X59" i="34"/>
  <c r="X62" i="34"/>
  <c r="X76" i="34"/>
  <c r="X101" i="34"/>
  <c r="X137" i="34"/>
  <c r="X143" i="34"/>
  <c r="X186" i="34"/>
  <c r="X238" i="34"/>
  <c r="X304" i="34"/>
  <c r="X320" i="34"/>
  <c r="X334" i="34"/>
  <c r="X346" i="34"/>
  <c r="X354" i="34"/>
  <c r="X371" i="34"/>
  <c r="X397" i="34"/>
  <c r="X402" i="34"/>
  <c r="X422" i="34"/>
  <c r="X424" i="34"/>
  <c r="X429" i="34"/>
  <c r="X432" i="34"/>
  <c r="Y31" i="34"/>
  <c r="Y37" i="34"/>
  <c r="Y54" i="34"/>
  <c r="Y59" i="34"/>
  <c r="Y62" i="34"/>
  <c r="Y76" i="34"/>
  <c r="Y101" i="34"/>
  <c r="Y137" i="34"/>
  <c r="Y143" i="34"/>
  <c r="Y186" i="34"/>
  <c r="Y238" i="34"/>
  <c r="Y304" i="34"/>
  <c r="Y320" i="34"/>
  <c r="Y334" i="34"/>
  <c r="Y346" i="34"/>
  <c r="Y354" i="34"/>
  <c r="Y371" i="34"/>
  <c r="Y397" i="34"/>
  <c r="Y402" i="34"/>
  <c r="Y422" i="34"/>
  <c r="Y424" i="34"/>
  <c r="Y429" i="34"/>
  <c r="Y432" i="34"/>
  <c r="Z31" i="34"/>
  <c r="Z37" i="34"/>
  <c r="Z54" i="34"/>
  <c r="Z59" i="34"/>
  <c r="Z62" i="34"/>
  <c r="Z76" i="34"/>
  <c r="Z101" i="34"/>
  <c r="Z137" i="34"/>
  <c r="Z143" i="34"/>
  <c r="Z186" i="34"/>
  <c r="Z238" i="34"/>
  <c r="Z304" i="34"/>
  <c r="Z320" i="34"/>
  <c r="Z334" i="34"/>
  <c r="Z346" i="34"/>
  <c r="Z354" i="34"/>
  <c r="Z371" i="34"/>
  <c r="Z397" i="34"/>
  <c r="Z402" i="34"/>
  <c r="Z422" i="34"/>
  <c r="Z424" i="34"/>
  <c r="Z429" i="34"/>
  <c r="Z432" i="34"/>
  <c r="AA31" i="34"/>
  <c r="AA37" i="34"/>
  <c r="AA54" i="34"/>
  <c r="AA59" i="34"/>
  <c r="AA62" i="34"/>
  <c r="AA76" i="34"/>
  <c r="AA101" i="34"/>
  <c r="AA137" i="34"/>
  <c r="AA143" i="34"/>
  <c r="AA186" i="34"/>
  <c r="AA238" i="34"/>
  <c r="AA304" i="34"/>
  <c r="AA320" i="34"/>
  <c r="AA334" i="34"/>
  <c r="AA346" i="34"/>
  <c r="AA354" i="34"/>
  <c r="AA371" i="34"/>
  <c r="AA397" i="34"/>
  <c r="AA402" i="34"/>
  <c r="AA422" i="34"/>
  <c r="AA424" i="34"/>
  <c r="AA429" i="34"/>
  <c r="AA432" i="34"/>
  <c r="AB31" i="34"/>
  <c r="AB37" i="34"/>
  <c r="AB54" i="34"/>
  <c r="AB59" i="34"/>
  <c r="AB62" i="34"/>
  <c r="AB76" i="34"/>
  <c r="AB101" i="34"/>
  <c r="AB137" i="34"/>
  <c r="AB143" i="34"/>
  <c r="AB186" i="34"/>
  <c r="AB238" i="34"/>
  <c r="AB304" i="34"/>
  <c r="AB320" i="34"/>
  <c r="AB334" i="34"/>
  <c r="AB346" i="34"/>
  <c r="AB354" i="34"/>
  <c r="AB371" i="34"/>
  <c r="AB397" i="34"/>
  <c r="AB402" i="34"/>
  <c r="AB422" i="34"/>
  <c r="AB424" i="34"/>
  <c r="AB429" i="34"/>
  <c r="AB432" i="34"/>
  <c r="AC31" i="34"/>
  <c r="AC37" i="34"/>
  <c r="AC54" i="34"/>
  <c r="AC59" i="34"/>
  <c r="AC62" i="34"/>
  <c r="AC76" i="34"/>
  <c r="AC101" i="34"/>
  <c r="AC137" i="34"/>
  <c r="AC143" i="34"/>
  <c r="AC186" i="34"/>
  <c r="AC238" i="34"/>
  <c r="AC304" i="34"/>
  <c r="AC320" i="34"/>
  <c r="AC334" i="34"/>
  <c r="AC346" i="34"/>
  <c r="AC354" i="34"/>
  <c r="AC371" i="34"/>
  <c r="AC397" i="34"/>
  <c r="AC402" i="34"/>
  <c r="AC422" i="34"/>
  <c r="AC424" i="34"/>
  <c r="AC429" i="34"/>
  <c r="AC432" i="34"/>
  <c r="AD31" i="34"/>
  <c r="AD37" i="34"/>
  <c r="AD54" i="34"/>
  <c r="AD59" i="34"/>
  <c r="AD62" i="34"/>
  <c r="AD76" i="34"/>
  <c r="AD101" i="34"/>
  <c r="AD137" i="34"/>
  <c r="AD143" i="34"/>
  <c r="AD186" i="34"/>
  <c r="AD238" i="34"/>
  <c r="AD304" i="34"/>
  <c r="AD320" i="34"/>
  <c r="AD334" i="34"/>
  <c r="AD346" i="34"/>
  <c r="AD354" i="34"/>
  <c r="AD371" i="34"/>
  <c r="AD397" i="34"/>
  <c r="AD402" i="34"/>
  <c r="AD422" i="34"/>
  <c r="AD424" i="34"/>
  <c r="AD429" i="34"/>
  <c r="AD432" i="34"/>
  <c r="AE31" i="34"/>
  <c r="AE37" i="34"/>
  <c r="AE54" i="34"/>
  <c r="AE59" i="34"/>
  <c r="AE62" i="34"/>
  <c r="AE76" i="34"/>
  <c r="AE101" i="34"/>
  <c r="AE137" i="34"/>
  <c r="AE143" i="34"/>
  <c r="AE186" i="34"/>
  <c r="AE238" i="34"/>
  <c r="AE304" i="34"/>
  <c r="AE320" i="34"/>
  <c r="AE334" i="34"/>
  <c r="AE346" i="34"/>
  <c r="AE354" i="34"/>
  <c r="AE371" i="34"/>
  <c r="AE397" i="34"/>
  <c r="AE402" i="34"/>
  <c r="AE422" i="34"/>
  <c r="AE424" i="34"/>
  <c r="AE429" i="34"/>
  <c r="AE432" i="34"/>
  <c r="AF31" i="34"/>
  <c r="AF37" i="34"/>
  <c r="AF54" i="34"/>
  <c r="AF59" i="34"/>
  <c r="AF62" i="34"/>
  <c r="AF76" i="34"/>
  <c r="AF101" i="34"/>
  <c r="AF137" i="34"/>
  <c r="AF143" i="34"/>
  <c r="AF186" i="34"/>
  <c r="AF238" i="34"/>
  <c r="AF304" i="34"/>
  <c r="AF320" i="34"/>
  <c r="AF334" i="34"/>
  <c r="AF346" i="34"/>
  <c r="AF354" i="34"/>
  <c r="AF371" i="34"/>
  <c r="AF397" i="34"/>
  <c r="AF402" i="34"/>
  <c r="AF422" i="34"/>
  <c r="AF424" i="34"/>
  <c r="AF429" i="34"/>
  <c r="AF432" i="34"/>
  <c r="AG31" i="34"/>
  <c r="AG37" i="34"/>
  <c r="AG54" i="34"/>
  <c r="AG59" i="34"/>
  <c r="AG62" i="34"/>
  <c r="AG76" i="34"/>
  <c r="AG101" i="34"/>
  <c r="AG137" i="34"/>
  <c r="AG143" i="34"/>
  <c r="AG186" i="34"/>
  <c r="AG238" i="34"/>
  <c r="AG304" i="34"/>
  <c r="AG320" i="34"/>
  <c r="AG334" i="34"/>
  <c r="AG346" i="34"/>
  <c r="AG354" i="34"/>
  <c r="AG371" i="34"/>
  <c r="AG397" i="34"/>
  <c r="AG402" i="34"/>
  <c r="AG422" i="34"/>
  <c r="AG424" i="34"/>
  <c r="AG429" i="34"/>
  <c r="AG432" i="34"/>
  <c r="M58" i="59"/>
  <c r="I58" i="59"/>
  <c r="N58" i="59"/>
  <c r="S58" i="59"/>
  <c r="S57" i="59" s="1"/>
  <c r="S56" i="59" s="1"/>
  <c r="M57" i="59"/>
  <c r="I57" i="59"/>
  <c r="N57" i="59"/>
  <c r="M56" i="59"/>
  <c r="I56" i="59"/>
  <c r="N56" i="59"/>
  <c r="M55" i="59"/>
  <c r="I55" i="59"/>
  <c r="N55" i="59"/>
  <c r="M54" i="59"/>
  <c r="I54" i="59"/>
  <c r="N54" i="59"/>
  <c r="M53" i="59"/>
  <c r="I53" i="59"/>
  <c r="N53" i="59"/>
  <c r="M52" i="59"/>
  <c r="I52" i="59"/>
  <c r="N52" i="59"/>
  <c r="M51" i="59"/>
  <c r="I51" i="59"/>
  <c r="N51" i="59"/>
  <c r="M50" i="59"/>
  <c r="I50" i="59"/>
  <c r="N50" i="59"/>
  <c r="M49" i="59"/>
  <c r="I49" i="59"/>
  <c r="N49" i="59"/>
  <c r="M48" i="59"/>
  <c r="I48" i="59"/>
  <c r="N48" i="59"/>
  <c r="M47" i="59"/>
  <c r="I47" i="59"/>
  <c r="N47" i="59"/>
  <c r="M46" i="59"/>
  <c r="I46" i="59"/>
  <c r="N46" i="59"/>
  <c r="M45" i="59"/>
  <c r="I45" i="59"/>
  <c r="N45" i="59"/>
  <c r="M44" i="59"/>
  <c r="I44" i="59"/>
  <c r="N44" i="59"/>
  <c r="M43" i="59"/>
  <c r="I43" i="59"/>
  <c r="N43" i="59"/>
  <c r="M42" i="59"/>
  <c r="I42" i="59"/>
  <c r="N42" i="59"/>
  <c r="M41" i="59"/>
  <c r="I41" i="59"/>
  <c r="N41" i="59"/>
  <c r="M40" i="59"/>
  <c r="I40" i="59"/>
  <c r="N40" i="59"/>
  <c r="M39" i="59"/>
  <c r="I39" i="59"/>
  <c r="N39" i="59"/>
  <c r="M38" i="59"/>
  <c r="I38" i="59"/>
  <c r="N38" i="59"/>
  <c r="M37" i="59"/>
  <c r="I37" i="59"/>
  <c r="N37" i="59"/>
  <c r="M36" i="59"/>
  <c r="I36" i="59"/>
  <c r="N36" i="59"/>
  <c r="M35" i="59"/>
  <c r="I35" i="59"/>
  <c r="N35" i="59"/>
  <c r="M34" i="59"/>
  <c r="I34" i="59"/>
  <c r="N34" i="59"/>
  <c r="M33" i="59"/>
  <c r="I33" i="59"/>
  <c r="N33" i="59"/>
  <c r="M32" i="59"/>
  <c r="I32" i="59"/>
  <c r="N32" i="59"/>
  <c r="M31" i="59"/>
  <c r="I31" i="59"/>
  <c r="N31" i="59"/>
  <c r="M30" i="59"/>
  <c r="I30" i="59"/>
  <c r="N30" i="59"/>
  <c r="M29" i="59"/>
  <c r="I29" i="59"/>
  <c r="N29" i="59"/>
  <c r="M28" i="59"/>
  <c r="I28" i="59"/>
  <c r="N28" i="59"/>
  <c r="M27" i="59"/>
  <c r="I27" i="59"/>
  <c r="N27" i="59"/>
  <c r="M26" i="59"/>
  <c r="I26" i="59"/>
  <c r="N26" i="59"/>
  <c r="M25" i="59"/>
  <c r="I25" i="59"/>
  <c r="N25" i="59"/>
  <c r="M24" i="59"/>
  <c r="I24" i="59"/>
  <c r="N24" i="59"/>
  <c r="M23" i="59"/>
  <c r="I23" i="59"/>
  <c r="N23" i="59"/>
  <c r="M22" i="59"/>
  <c r="I22" i="59"/>
  <c r="N22" i="59"/>
  <c r="M21" i="59"/>
  <c r="I21" i="59"/>
  <c r="N21" i="59"/>
  <c r="M20" i="59"/>
  <c r="I20" i="59"/>
  <c r="N20" i="59"/>
  <c r="M19" i="59"/>
  <c r="I19" i="59"/>
  <c r="N19" i="59"/>
  <c r="M18" i="59"/>
  <c r="I18" i="59"/>
  <c r="N18" i="59"/>
  <c r="M17" i="59"/>
  <c r="I17" i="59"/>
  <c r="N17" i="59"/>
  <c r="R58" i="59"/>
  <c r="T58" i="59" s="1"/>
  <c r="D17" i="59"/>
  <c r="O17" i="59"/>
  <c r="P17" i="59"/>
  <c r="Q17" i="59"/>
  <c r="V17" i="59"/>
  <c r="W17" i="59"/>
  <c r="X17" i="59"/>
  <c r="Y17" i="59"/>
  <c r="Z17" i="59"/>
  <c r="AA17" i="59"/>
  <c r="AB17" i="59"/>
  <c r="AC17" i="59"/>
  <c r="AD17" i="59"/>
  <c r="AE17" i="59"/>
  <c r="AF17" i="59"/>
  <c r="AG17" i="59"/>
  <c r="D18" i="59"/>
  <c r="O18" i="59"/>
  <c r="P18" i="59"/>
  <c r="Q18" i="59"/>
  <c r="V18" i="59"/>
  <c r="W18" i="59"/>
  <c r="X18" i="59"/>
  <c r="Y18" i="59"/>
  <c r="Z18" i="59"/>
  <c r="AA18" i="59"/>
  <c r="AB18" i="59"/>
  <c r="AC18" i="59"/>
  <c r="AD18" i="59"/>
  <c r="AE18" i="59"/>
  <c r="AF18" i="59"/>
  <c r="AG18" i="59"/>
  <c r="D19" i="59"/>
  <c r="O19" i="59"/>
  <c r="P19" i="59"/>
  <c r="Q19" i="59"/>
  <c r="V19" i="59"/>
  <c r="W19" i="59"/>
  <c r="X19" i="59"/>
  <c r="Y19" i="59"/>
  <c r="Z19" i="59"/>
  <c r="AA19" i="59"/>
  <c r="AB19" i="59"/>
  <c r="AC19" i="59"/>
  <c r="AD19" i="59"/>
  <c r="AE19" i="59"/>
  <c r="AF19" i="59"/>
  <c r="AG19" i="59"/>
  <c r="D20" i="59"/>
  <c r="O20" i="59"/>
  <c r="P20" i="59"/>
  <c r="Q20" i="59"/>
  <c r="V20" i="59"/>
  <c r="W20" i="59"/>
  <c r="X20" i="59"/>
  <c r="Y20" i="59"/>
  <c r="Z20" i="59"/>
  <c r="AA20" i="59"/>
  <c r="AB20" i="59"/>
  <c r="AC20" i="59"/>
  <c r="AD20" i="59"/>
  <c r="AE20" i="59"/>
  <c r="AF20" i="59"/>
  <c r="AG20" i="59"/>
  <c r="D21" i="59"/>
  <c r="O21" i="59"/>
  <c r="P21" i="59"/>
  <c r="Q21" i="59"/>
  <c r="V21" i="59"/>
  <c r="W21" i="59"/>
  <c r="X21" i="59"/>
  <c r="Y21" i="59"/>
  <c r="Z21" i="59"/>
  <c r="AA21" i="59"/>
  <c r="AB21" i="59"/>
  <c r="AC21" i="59"/>
  <c r="AD21" i="59"/>
  <c r="AE21" i="59"/>
  <c r="AF21" i="59"/>
  <c r="AG21" i="59"/>
  <c r="D22" i="59"/>
  <c r="O22" i="59"/>
  <c r="P22" i="59"/>
  <c r="Q22" i="59"/>
  <c r="V22" i="59"/>
  <c r="W22" i="59"/>
  <c r="X22" i="59"/>
  <c r="Y22" i="59"/>
  <c r="Z22" i="59"/>
  <c r="AA22" i="59"/>
  <c r="AB22" i="59"/>
  <c r="AC22" i="59"/>
  <c r="AD22" i="59"/>
  <c r="AE22" i="59"/>
  <c r="AF22" i="59"/>
  <c r="AG22" i="59"/>
  <c r="D23" i="59"/>
  <c r="O23" i="59"/>
  <c r="P23" i="59"/>
  <c r="Q23" i="59"/>
  <c r="V23" i="59"/>
  <c r="W23" i="59"/>
  <c r="X23" i="59"/>
  <c r="Y23" i="59"/>
  <c r="Z23" i="59"/>
  <c r="AA23" i="59"/>
  <c r="AB23" i="59"/>
  <c r="AC23" i="59"/>
  <c r="AD23" i="59"/>
  <c r="AE23" i="59"/>
  <c r="AF23" i="59"/>
  <c r="AG23" i="59"/>
  <c r="D24" i="59"/>
  <c r="O24" i="59"/>
  <c r="P24" i="59"/>
  <c r="Q24" i="59"/>
  <c r="V24" i="59"/>
  <c r="W24" i="59"/>
  <c r="X24" i="59"/>
  <c r="Y24" i="59"/>
  <c r="Z24" i="59"/>
  <c r="AA24" i="59"/>
  <c r="AB24" i="59"/>
  <c r="AC24" i="59"/>
  <c r="AD24" i="59"/>
  <c r="AE24" i="59"/>
  <c r="AF24" i="59"/>
  <c r="AG24" i="59"/>
  <c r="D25" i="59"/>
  <c r="O25" i="59"/>
  <c r="P25" i="59"/>
  <c r="Q25" i="59"/>
  <c r="V25" i="59"/>
  <c r="W25" i="59"/>
  <c r="X25" i="59"/>
  <c r="Y25" i="59"/>
  <c r="Z25" i="59"/>
  <c r="AA25" i="59"/>
  <c r="AB25" i="59"/>
  <c r="AC25" i="59"/>
  <c r="AD25" i="59"/>
  <c r="AE25" i="59"/>
  <c r="AF25" i="59"/>
  <c r="AG25" i="59"/>
  <c r="D26" i="59"/>
  <c r="O26" i="59"/>
  <c r="P26" i="59"/>
  <c r="Q26" i="59"/>
  <c r="V26" i="59"/>
  <c r="W26" i="59"/>
  <c r="X26" i="59"/>
  <c r="Y26" i="59"/>
  <c r="Z26" i="59"/>
  <c r="AA26" i="59"/>
  <c r="AB26" i="59"/>
  <c r="AC26" i="59"/>
  <c r="AD26" i="59"/>
  <c r="AE26" i="59"/>
  <c r="AF26" i="59"/>
  <c r="AG26" i="59"/>
  <c r="D27" i="59"/>
  <c r="O27" i="59"/>
  <c r="P27" i="59"/>
  <c r="Q27" i="59"/>
  <c r="V27" i="59"/>
  <c r="W27" i="59"/>
  <c r="X27" i="59"/>
  <c r="Y27" i="59"/>
  <c r="Z27" i="59"/>
  <c r="AA27" i="59"/>
  <c r="AB27" i="59"/>
  <c r="AC27" i="59"/>
  <c r="AD27" i="59"/>
  <c r="AE27" i="59"/>
  <c r="AF27" i="59"/>
  <c r="AG27" i="59"/>
  <c r="D28" i="59"/>
  <c r="O28" i="59"/>
  <c r="P28" i="59"/>
  <c r="Q28" i="59"/>
  <c r="V28" i="59"/>
  <c r="W28" i="59"/>
  <c r="X28" i="59"/>
  <c r="Y28" i="59"/>
  <c r="Z28" i="59"/>
  <c r="AA28" i="59"/>
  <c r="AB28" i="59"/>
  <c r="AC28" i="59"/>
  <c r="AD28" i="59"/>
  <c r="AE28" i="59"/>
  <c r="AF28" i="59"/>
  <c r="AG28" i="59"/>
  <c r="D29" i="59"/>
  <c r="O29" i="59"/>
  <c r="P29" i="59"/>
  <c r="Q29" i="59"/>
  <c r="V29" i="59"/>
  <c r="W29" i="59"/>
  <c r="X29" i="59"/>
  <c r="Y29" i="59"/>
  <c r="Z29" i="59"/>
  <c r="AA29" i="59"/>
  <c r="AB29" i="59"/>
  <c r="AC29" i="59"/>
  <c r="AD29" i="59"/>
  <c r="AE29" i="59"/>
  <c r="AF29" i="59"/>
  <c r="AG29" i="59"/>
  <c r="D30" i="59"/>
  <c r="O30" i="59"/>
  <c r="P30" i="59"/>
  <c r="Q30" i="59"/>
  <c r="V30" i="59"/>
  <c r="W30" i="59"/>
  <c r="X30" i="59"/>
  <c r="Y30" i="59"/>
  <c r="Z30" i="59"/>
  <c r="AA30" i="59"/>
  <c r="AB30" i="59"/>
  <c r="AC30" i="59"/>
  <c r="AD30" i="59"/>
  <c r="AE30" i="59"/>
  <c r="AF30" i="59"/>
  <c r="AG30" i="59"/>
  <c r="D31" i="59"/>
  <c r="O31" i="59"/>
  <c r="P31" i="59"/>
  <c r="Q31" i="59"/>
  <c r="V31" i="59"/>
  <c r="W31" i="59"/>
  <c r="X31" i="59"/>
  <c r="Y31" i="59"/>
  <c r="Z31" i="59"/>
  <c r="AA31" i="59"/>
  <c r="AB31" i="59"/>
  <c r="AC31" i="59"/>
  <c r="AD31" i="59"/>
  <c r="AE31" i="59"/>
  <c r="AF31" i="59"/>
  <c r="AG31" i="59"/>
  <c r="D32" i="59"/>
  <c r="O32" i="59"/>
  <c r="P32" i="59"/>
  <c r="Q32" i="59"/>
  <c r="V32" i="59"/>
  <c r="W32" i="59"/>
  <c r="X32" i="59"/>
  <c r="Y32" i="59"/>
  <c r="Z32" i="59"/>
  <c r="AA32" i="59"/>
  <c r="AB32" i="59"/>
  <c r="AC32" i="59"/>
  <c r="AD32" i="59"/>
  <c r="AE32" i="59"/>
  <c r="AF32" i="59"/>
  <c r="AG32" i="59"/>
  <c r="D33" i="59"/>
  <c r="O33" i="59"/>
  <c r="P33" i="59"/>
  <c r="Q33" i="59"/>
  <c r="V33" i="59"/>
  <c r="W33" i="59"/>
  <c r="X33" i="59"/>
  <c r="Y33" i="59"/>
  <c r="Z33" i="59"/>
  <c r="AA33" i="59"/>
  <c r="AB33" i="59"/>
  <c r="AC33" i="59"/>
  <c r="AD33" i="59"/>
  <c r="AE33" i="59"/>
  <c r="AF33" i="59"/>
  <c r="AG33" i="59"/>
  <c r="D34" i="59"/>
  <c r="O34" i="59"/>
  <c r="P34" i="59"/>
  <c r="Q34" i="59"/>
  <c r="V34" i="59"/>
  <c r="W34" i="59"/>
  <c r="X34" i="59"/>
  <c r="Y34" i="59"/>
  <c r="Z34" i="59"/>
  <c r="AA34" i="59"/>
  <c r="AB34" i="59"/>
  <c r="AC34" i="59"/>
  <c r="AD34" i="59"/>
  <c r="AE34" i="59"/>
  <c r="AF34" i="59"/>
  <c r="AG34" i="59"/>
  <c r="D35" i="59"/>
  <c r="O35" i="59"/>
  <c r="P35" i="59"/>
  <c r="Q35" i="59"/>
  <c r="V35" i="59"/>
  <c r="W35" i="59"/>
  <c r="X35" i="59"/>
  <c r="Y35" i="59"/>
  <c r="Z35" i="59"/>
  <c r="AA35" i="59"/>
  <c r="AB35" i="59"/>
  <c r="AC35" i="59"/>
  <c r="AD35" i="59"/>
  <c r="AE35" i="59"/>
  <c r="AF35" i="59"/>
  <c r="AG35" i="59"/>
  <c r="D36" i="59"/>
  <c r="O36" i="59"/>
  <c r="P36" i="59"/>
  <c r="Q36" i="59"/>
  <c r="V36" i="59"/>
  <c r="W36" i="59"/>
  <c r="X36" i="59"/>
  <c r="Y36" i="59"/>
  <c r="Z36" i="59"/>
  <c r="AA36" i="59"/>
  <c r="AB36" i="59"/>
  <c r="AC36" i="59"/>
  <c r="AD36" i="59"/>
  <c r="AE36" i="59"/>
  <c r="AF36" i="59"/>
  <c r="AG36" i="59"/>
  <c r="D37" i="59"/>
  <c r="O37" i="59"/>
  <c r="P37" i="59"/>
  <c r="Q37" i="59"/>
  <c r="V37" i="59"/>
  <c r="W37" i="59"/>
  <c r="X37" i="59"/>
  <c r="Y37" i="59"/>
  <c r="Z37" i="59"/>
  <c r="AA37" i="59"/>
  <c r="AB37" i="59"/>
  <c r="AC37" i="59"/>
  <c r="AD37" i="59"/>
  <c r="AE37" i="59"/>
  <c r="AF37" i="59"/>
  <c r="AG37" i="59"/>
  <c r="D38" i="59"/>
  <c r="O38" i="59"/>
  <c r="P38" i="59"/>
  <c r="Q38" i="59"/>
  <c r="V38" i="59"/>
  <c r="W38" i="59"/>
  <c r="X38" i="59"/>
  <c r="Y38" i="59"/>
  <c r="Z38" i="59"/>
  <c r="AA38" i="59"/>
  <c r="AB38" i="59"/>
  <c r="AC38" i="59"/>
  <c r="AD38" i="59"/>
  <c r="AE38" i="59"/>
  <c r="AF38" i="59"/>
  <c r="AG38" i="59"/>
  <c r="D39" i="59"/>
  <c r="O39" i="59"/>
  <c r="P39" i="59"/>
  <c r="Q39" i="59"/>
  <c r="V39" i="59"/>
  <c r="W39" i="59"/>
  <c r="X39" i="59"/>
  <c r="Y39" i="59"/>
  <c r="Z39" i="59"/>
  <c r="AA39" i="59"/>
  <c r="AB39" i="59"/>
  <c r="AC39" i="59"/>
  <c r="AD39" i="59"/>
  <c r="AE39" i="59"/>
  <c r="AF39" i="59"/>
  <c r="AG39" i="59"/>
  <c r="D40" i="59"/>
  <c r="O40" i="59"/>
  <c r="P40" i="59"/>
  <c r="Q40" i="59"/>
  <c r="V40" i="59"/>
  <c r="W40" i="59"/>
  <c r="X40" i="59"/>
  <c r="Y40" i="59"/>
  <c r="Z40" i="59"/>
  <c r="AA40" i="59"/>
  <c r="AB40" i="59"/>
  <c r="AC40" i="59"/>
  <c r="AD40" i="59"/>
  <c r="AE40" i="59"/>
  <c r="AF40" i="59"/>
  <c r="AG40" i="59"/>
  <c r="D41" i="59"/>
  <c r="O41" i="59"/>
  <c r="P41" i="59"/>
  <c r="Q41" i="59"/>
  <c r="V41" i="59"/>
  <c r="W41" i="59"/>
  <c r="X41" i="59"/>
  <c r="Y41" i="59"/>
  <c r="Z41" i="59"/>
  <c r="AA41" i="59"/>
  <c r="AB41" i="59"/>
  <c r="AC41" i="59"/>
  <c r="AD41" i="59"/>
  <c r="AE41" i="59"/>
  <c r="AF41" i="59"/>
  <c r="AG41" i="59"/>
  <c r="D42" i="59"/>
  <c r="O42" i="59"/>
  <c r="P42" i="59"/>
  <c r="Q42" i="59"/>
  <c r="V42" i="59"/>
  <c r="W42" i="59"/>
  <c r="X42" i="59"/>
  <c r="Y42" i="59"/>
  <c r="Z42" i="59"/>
  <c r="AA42" i="59"/>
  <c r="AB42" i="59"/>
  <c r="AC42" i="59"/>
  <c r="AD42" i="59"/>
  <c r="AE42" i="59"/>
  <c r="AF42" i="59"/>
  <c r="AG42" i="59"/>
  <c r="D43" i="59"/>
  <c r="O43" i="59"/>
  <c r="P43" i="59"/>
  <c r="Q43" i="59"/>
  <c r="V43" i="59"/>
  <c r="W43" i="59"/>
  <c r="X43" i="59"/>
  <c r="Y43" i="59"/>
  <c r="Z43" i="59"/>
  <c r="AA43" i="59"/>
  <c r="AB43" i="59"/>
  <c r="AC43" i="59"/>
  <c r="AD43" i="59"/>
  <c r="AE43" i="59"/>
  <c r="AF43" i="59"/>
  <c r="AG43" i="59"/>
  <c r="D44" i="59"/>
  <c r="O44" i="59"/>
  <c r="P44" i="59"/>
  <c r="Q44" i="59"/>
  <c r="V44" i="59"/>
  <c r="W44" i="59"/>
  <c r="X44" i="59"/>
  <c r="Y44" i="59"/>
  <c r="Z44" i="59"/>
  <c r="AA44" i="59"/>
  <c r="AB44" i="59"/>
  <c r="AC44" i="59"/>
  <c r="AD44" i="59"/>
  <c r="AE44" i="59"/>
  <c r="AF44" i="59"/>
  <c r="AG44" i="59"/>
  <c r="D45" i="59"/>
  <c r="O45" i="59"/>
  <c r="P45" i="59"/>
  <c r="Q45" i="59"/>
  <c r="V45" i="59"/>
  <c r="W45" i="59"/>
  <c r="X45" i="59"/>
  <c r="Y45" i="59"/>
  <c r="Z45" i="59"/>
  <c r="AA45" i="59"/>
  <c r="AB45" i="59"/>
  <c r="AC45" i="59"/>
  <c r="AD45" i="59"/>
  <c r="AE45" i="59"/>
  <c r="AF45" i="59"/>
  <c r="AG45" i="59"/>
  <c r="D46" i="59"/>
  <c r="O46" i="59"/>
  <c r="P46" i="59"/>
  <c r="Q46" i="59"/>
  <c r="V46" i="59"/>
  <c r="W46" i="59"/>
  <c r="X46" i="59"/>
  <c r="Y46" i="59"/>
  <c r="Z46" i="59"/>
  <c r="AA46" i="59"/>
  <c r="AB46" i="59"/>
  <c r="AC46" i="59"/>
  <c r="AD46" i="59"/>
  <c r="AE46" i="59"/>
  <c r="AF46" i="59"/>
  <c r="AG46" i="59"/>
  <c r="D47" i="59"/>
  <c r="O47" i="59"/>
  <c r="P47" i="59"/>
  <c r="Q47" i="59"/>
  <c r="V47" i="59"/>
  <c r="W47" i="59"/>
  <c r="X47" i="59"/>
  <c r="Y47" i="59"/>
  <c r="Z47" i="59"/>
  <c r="AA47" i="59"/>
  <c r="AB47" i="59"/>
  <c r="AC47" i="59"/>
  <c r="AD47" i="59"/>
  <c r="AE47" i="59"/>
  <c r="AF47" i="59"/>
  <c r="AG47" i="59"/>
  <c r="D48" i="59"/>
  <c r="O48" i="59"/>
  <c r="P48" i="59"/>
  <c r="Q48" i="59"/>
  <c r="V48" i="59"/>
  <c r="W48" i="59"/>
  <c r="X48" i="59"/>
  <c r="Y48" i="59"/>
  <c r="Z48" i="59"/>
  <c r="AA48" i="59"/>
  <c r="AB48" i="59"/>
  <c r="AC48" i="59"/>
  <c r="AD48" i="59"/>
  <c r="AE48" i="59"/>
  <c r="AF48" i="59"/>
  <c r="AG48" i="59"/>
  <c r="D49" i="59"/>
  <c r="O49" i="59"/>
  <c r="P49" i="59"/>
  <c r="Q49" i="59"/>
  <c r="V49" i="59"/>
  <c r="W49" i="59"/>
  <c r="X49" i="59"/>
  <c r="Y49" i="59"/>
  <c r="Z49" i="59"/>
  <c r="AA49" i="59"/>
  <c r="AB49" i="59"/>
  <c r="AC49" i="59"/>
  <c r="AD49" i="59"/>
  <c r="AE49" i="59"/>
  <c r="AF49" i="59"/>
  <c r="AG49" i="59"/>
  <c r="D50" i="59"/>
  <c r="O50" i="59"/>
  <c r="P50" i="59"/>
  <c r="Q50" i="59"/>
  <c r="V50" i="59"/>
  <c r="W50" i="59"/>
  <c r="X50" i="59"/>
  <c r="Y50" i="59"/>
  <c r="Z50" i="59"/>
  <c r="AA50" i="59"/>
  <c r="AB50" i="59"/>
  <c r="AC50" i="59"/>
  <c r="AD50" i="59"/>
  <c r="AE50" i="59"/>
  <c r="AF50" i="59"/>
  <c r="AG50" i="59"/>
  <c r="D51" i="59"/>
  <c r="O51" i="59"/>
  <c r="P51" i="59"/>
  <c r="Q51" i="59"/>
  <c r="V51" i="59"/>
  <c r="W51" i="59"/>
  <c r="X51" i="59"/>
  <c r="Y51" i="59"/>
  <c r="Z51" i="59"/>
  <c r="AA51" i="59"/>
  <c r="AB51" i="59"/>
  <c r="AC51" i="59"/>
  <c r="AD51" i="59"/>
  <c r="AE51" i="59"/>
  <c r="AF51" i="59"/>
  <c r="AG51" i="59"/>
  <c r="D52" i="59"/>
  <c r="O52" i="59"/>
  <c r="P52" i="59"/>
  <c r="Q52" i="59"/>
  <c r="V52" i="59"/>
  <c r="W52" i="59"/>
  <c r="X52" i="59"/>
  <c r="Y52" i="59"/>
  <c r="Z52" i="59"/>
  <c r="AA52" i="59"/>
  <c r="AB52" i="59"/>
  <c r="AC52" i="59"/>
  <c r="AD52" i="59"/>
  <c r="AE52" i="59"/>
  <c r="AF52" i="59"/>
  <c r="AG52" i="59"/>
  <c r="D53" i="59"/>
  <c r="O53" i="59"/>
  <c r="P53" i="59"/>
  <c r="Q53" i="59"/>
  <c r="V53" i="59"/>
  <c r="W53" i="59"/>
  <c r="X53" i="59"/>
  <c r="Y53" i="59"/>
  <c r="Z53" i="59"/>
  <c r="AA53" i="59"/>
  <c r="AB53" i="59"/>
  <c r="AC53" i="59"/>
  <c r="AD53" i="59"/>
  <c r="AE53" i="59"/>
  <c r="AF53" i="59"/>
  <c r="AG53" i="59"/>
  <c r="D54" i="59"/>
  <c r="O54" i="59"/>
  <c r="P54" i="59"/>
  <c r="Q54" i="59"/>
  <c r="V54" i="59"/>
  <c r="W54" i="59"/>
  <c r="X54" i="59"/>
  <c r="Y54" i="59"/>
  <c r="Z54" i="59"/>
  <c r="AA54" i="59"/>
  <c r="AB54" i="59"/>
  <c r="AC54" i="59"/>
  <c r="AD54" i="59"/>
  <c r="AE54" i="59"/>
  <c r="AF54" i="59"/>
  <c r="AG54" i="59"/>
  <c r="D55" i="59"/>
  <c r="O55" i="59"/>
  <c r="P55" i="59"/>
  <c r="Q55" i="59"/>
  <c r="V55" i="59"/>
  <c r="W55" i="59"/>
  <c r="X55" i="59"/>
  <c r="Y55" i="59"/>
  <c r="Z55" i="59"/>
  <c r="AA55" i="59"/>
  <c r="AB55" i="59"/>
  <c r="AC55" i="59"/>
  <c r="AD55" i="59"/>
  <c r="AE55" i="59"/>
  <c r="AF55" i="59"/>
  <c r="AG55" i="59"/>
  <c r="D56" i="59"/>
  <c r="O56" i="59"/>
  <c r="P56" i="59"/>
  <c r="Q56" i="59"/>
  <c r="V56" i="59"/>
  <c r="W56" i="59"/>
  <c r="X56" i="59"/>
  <c r="Y56" i="59"/>
  <c r="Z56" i="59"/>
  <c r="AA56" i="59"/>
  <c r="AB56" i="59"/>
  <c r="AC56" i="59"/>
  <c r="AD56" i="59"/>
  <c r="AE56" i="59"/>
  <c r="AF56" i="59"/>
  <c r="AG56" i="59"/>
  <c r="D57" i="59"/>
  <c r="O57" i="59"/>
  <c r="P57" i="59"/>
  <c r="Q57" i="59"/>
  <c r="V57" i="59"/>
  <c r="W57" i="59"/>
  <c r="X57" i="59"/>
  <c r="Y57" i="59"/>
  <c r="Z57" i="59"/>
  <c r="AA57" i="59"/>
  <c r="AB57" i="59"/>
  <c r="AC57" i="59"/>
  <c r="AD57" i="59"/>
  <c r="AE57" i="59"/>
  <c r="AF57" i="59"/>
  <c r="AG57" i="59"/>
  <c r="D58" i="59"/>
  <c r="O58" i="59"/>
  <c r="P58" i="59"/>
  <c r="Q58" i="59"/>
  <c r="V58" i="59"/>
  <c r="W58" i="59"/>
  <c r="X58" i="59"/>
  <c r="Y58" i="59"/>
  <c r="Z58" i="59"/>
  <c r="AA58" i="59"/>
  <c r="AB58" i="59"/>
  <c r="AC58" i="59"/>
  <c r="AD58" i="59"/>
  <c r="AE58" i="59"/>
  <c r="AF58" i="59"/>
  <c r="AG58" i="59"/>
  <c r="M25" i="47"/>
  <c r="I25" i="47"/>
  <c r="N25" i="47"/>
  <c r="S25" i="47"/>
  <c r="S24" i="47" s="1"/>
  <c r="M24" i="47"/>
  <c r="I24" i="47"/>
  <c r="N24" i="47"/>
  <c r="M23" i="47"/>
  <c r="I23" i="47"/>
  <c r="N23" i="47"/>
  <c r="M22" i="47"/>
  <c r="I22" i="47"/>
  <c r="N22" i="47"/>
  <c r="M21" i="47"/>
  <c r="I21" i="47"/>
  <c r="N21" i="47"/>
  <c r="M20" i="47"/>
  <c r="I20" i="47"/>
  <c r="N20" i="47"/>
  <c r="M19" i="47"/>
  <c r="I19" i="47"/>
  <c r="N19" i="47"/>
  <c r="M18" i="47"/>
  <c r="I18" i="47"/>
  <c r="N18" i="47"/>
  <c r="M17" i="47"/>
  <c r="I17" i="47"/>
  <c r="N17" i="47"/>
  <c r="R25" i="47"/>
  <c r="T25" i="47" s="1"/>
  <c r="D17" i="47"/>
  <c r="O17" i="47"/>
  <c r="P17" i="47"/>
  <c r="Q17" i="47"/>
  <c r="V17" i="47"/>
  <c r="W17" i="47"/>
  <c r="X17" i="47"/>
  <c r="Y17" i="47"/>
  <c r="Z17" i="47"/>
  <c r="AA17" i="47"/>
  <c r="AB17" i="47"/>
  <c r="AC17" i="47"/>
  <c r="AD17" i="47"/>
  <c r="AE17" i="47"/>
  <c r="AF17" i="47"/>
  <c r="AG17" i="47"/>
  <c r="D18" i="47"/>
  <c r="O18" i="47"/>
  <c r="P18" i="47"/>
  <c r="Q18" i="47"/>
  <c r="V18" i="47"/>
  <c r="W18" i="47"/>
  <c r="X18" i="47"/>
  <c r="Y18" i="47"/>
  <c r="Z18" i="47"/>
  <c r="AA18" i="47"/>
  <c r="AB18" i="47"/>
  <c r="AC18" i="47"/>
  <c r="AD18" i="47"/>
  <c r="AE18" i="47"/>
  <c r="AF18" i="47"/>
  <c r="AG18" i="47"/>
  <c r="D19" i="47"/>
  <c r="O19" i="47"/>
  <c r="P19" i="47"/>
  <c r="Q19" i="47"/>
  <c r="V19" i="47"/>
  <c r="W19" i="47"/>
  <c r="X19" i="47"/>
  <c r="Y19" i="47"/>
  <c r="Z19" i="47"/>
  <c r="AA19" i="47"/>
  <c r="AB19" i="47"/>
  <c r="AC19" i="47"/>
  <c r="AD19" i="47"/>
  <c r="AE19" i="47"/>
  <c r="AF19" i="47"/>
  <c r="AG19" i="47"/>
  <c r="D20" i="47"/>
  <c r="O20" i="47"/>
  <c r="P20" i="47"/>
  <c r="Q20" i="47"/>
  <c r="V20" i="47"/>
  <c r="W20" i="47"/>
  <c r="X20" i="47"/>
  <c r="Y20" i="47"/>
  <c r="Z20" i="47"/>
  <c r="AA20" i="47"/>
  <c r="AB20" i="47"/>
  <c r="AC20" i="47"/>
  <c r="AD20" i="47"/>
  <c r="AE20" i="47"/>
  <c r="AF20" i="47"/>
  <c r="AG20" i="47"/>
  <c r="D21" i="47"/>
  <c r="O21" i="47"/>
  <c r="P21" i="47"/>
  <c r="Q21" i="47"/>
  <c r="V21" i="47"/>
  <c r="W21" i="47"/>
  <c r="X21" i="47"/>
  <c r="Y21" i="47"/>
  <c r="Z21" i="47"/>
  <c r="AA21" i="47"/>
  <c r="AB21" i="47"/>
  <c r="AC21" i="47"/>
  <c r="AD21" i="47"/>
  <c r="AE21" i="47"/>
  <c r="AF21" i="47"/>
  <c r="AG21" i="47"/>
  <c r="D22" i="47"/>
  <c r="O22" i="47"/>
  <c r="P22" i="47"/>
  <c r="Q22" i="47"/>
  <c r="V22" i="47"/>
  <c r="W22" i="47"/>
  <c r="X22" i="47"/>
  <c r="Y22" i="47"/>
  <c r="Z22" i="47"/>
  <c r="AA22" i="47"/>
  <c r="AB22" i="47"/>
  <c r="AC22" i="47"/>
  <c r="AD22" i="47"/>
  <c r="AE22" i="47"/>
  <c r="AF22" i="47"/>
  <c r="AG22" i="47"/>
  <c r="D23" i="47"/>
  <c r="O23" i="47"/>
  <c r="P23" i="47"/>
  <c r="Q23" i="47"/>
  <c r="V23" i="47"/>
  <c r="W23" i="47"/>
  <c r="X23" i="47"/>
  <c r="Y23" i="47"/>
  <c r="Z23" i="47"/>
  <c r="AA23" i="47"/>
  <c r="AB23" i="47"/>
  <c r="AC23" i="47"/>
  <c r="AD23" i="47"/>
  <c r="AE23" i="47"/>
  <c r="AF23" i="47"/>
  <c r="AG23" i="47"/>
  <c r="D24" i="47"/>
  <c r="O24" i="47"/>
  <c r="P24" i="47"/>
  <c r="Q24" i="47"/>
  <c r="V24" i="47"/>
  <c r="W24" i="47"/>
  <c r="X24" i="47"/>
  <c r="Y24" i="47"/>
  <c r="Z24" i="47"/>
  <c r="AA24" i="47"/>
  <c r="AB24" i="47"/>
  <c r="AC24" i="47"/>
  <c r="AD24" i="47"/>
  <c r="AE24" i="47"/>
  <c r="AF24" i="47"/>
  <c r="AG24" i="47"/>
  <c r="D25" i="47"/>
  <c r="O25" i="47"/>
  <c r="P25" i="47"/>
  <c r="Q25" i="47"/>
  <c r="V25" i="47"/>
  <c r="W25" i="47"/>
  <c r="X25" i="47"/>
  <c r="Y25" i="47"/>
  <c r="Z25" i="47"/>
  <c r="AA25" i="47"/>
  <c r="AB25" i="47"/>
  <c r="AC25" i="47"/>
  <c r="AD25" i="47"/>
  <c r="AE25" i="47"/>
  <c r="AF25" i="47"/>
  <c r="AG25" i="47"/>
  <c r="M39" i="49"/>
  <c r="I39" i="49"/>
  <c r="N39" i="49"/>
  <c r="S39" i="49"/>
  <c r="M38" i="49"/>
  <c r="I38" i="49"/>
  <c r="N38" i="49"/>
  <c r="S38" i="49"/>
  <c r="M37" i="49"/>
  <c r="I37" i="49"/>
  <c r="N37" i="49"/>
  <c r="M36" i="49"/>
  <c r="I36" i="49"/>
  <c r="N36" i="49"/>
  <c r="M35" i="49"/>
  <c r="I35" i="49"/>
  <c r="N35" i="49"/>
  <c r="M34" i="49"/>
  <c r="I34" i="49"/>
  <c r="N34" i="49"/>
  <c r="M33" i="49"/>
  <c r="I33" i="49"/>
  <c r="N33" i="49"/>
  <c r="M32" i="49"/>
  <c r="I32" i="49"/>
  <c r="N32" i="49"/>
  <c r="M31" i="49"/>
  <c r="I31" i="49"/>
  <c r="N31" i="49"/>
  <c r="M30" i="49"/>
  <c r="I30" i="49"/>
  <c r="N30" i="49"/>
  <c r="M29" i="49"/>
  <c r="I29" i="49"/>
  <c r="N29" i="49"/>
  <c r="M28" i="49"/>
  <c r="I28" i="49"/>
  <c r="N28" i="49"/>
  <c r="M27" i="49"/>
  <c r="I27" i="49"/>
  <c r="N27" i="49"/>
  <c r="M26" i="49"/>
  <c r="I26" i="49"/>
  <c r="N26" i="49"/>
  <c r="M25" i="49"/>
  <c r="I25" i="49"/>
  <c r="N25" i="49"/>
  <c r="M24" i="49"/>
  <c r="I24" i="49"/>
  <c r="N24" i="49"/>
  <c r="M23" i="49"/>
  <c r="I23" i="49"/>
  <c r="N23" i="49"/>
  <c r="M22" i="49"/>
  <c r="I22" i="49"/>
  <c r="N22" i="49"/>
  <c r="M21" i="49"/>
  <c r="I21" i="49"/>
  <c r="N21" i="49"/>
  <c r="M20" i="49"/>
  <c r="I20" i="49"/>
  <c r="N20" i="49"/>
  <c r="M19" i="49"/>
  <c r="I19" i="49"/>
  <c r="N19" i="49"/>
  <c r="M18" i="49"/>
  <c r="I18" i="49"/>
  <c r="N18" i="49"/>
  <c r="M17" i="49"/>
  <c r="I17" i="49"/>
  <c r="N17" i="49"/>
  <c r="R39" i="49"/>
  <c r="T39" i="49" s="1"/>
  <c r="D17" i="49"/>
  <c r="O17" i="49"/>
  <c r="P17" i="49"/>
  <c r="Q17" i="49"/>
  <c r="V17" i="49"/>
  <c r="W17" i="49"/>
  <c r="X17" i="49"/>
  <c r="Y17" i="49"/>
  <c r="Z17" i="49"/>
  <c r="AA17" i="49"/>
  <c r="AB17" i="49"/>
  <c r="AC17" i="49"/>
  <c r="AD17" i="49"/>
  <c r="AE17" i="49"/>
  <c r="AF17" i="49"/>
  <c r="AG17" i="49"/>
  <c r="D18" i="49"/>
  <c r="O18" i="49"/>
  <c r="P18" i="49"/>
  <c r="Q18" i="49"/>
  <c r="V18" i="49"/>
  <c r="W18" i="49"/>
  <c r="X18" i="49"/>
  <c r="Y18" i="49"/>
  <c r="Z18" i="49"/>
  <c r="AA18" i="49"/>
  <c r="AB18" i="49"/>
  <c r="AC18" i="49"/>
  <c r="AD18" i="49"/>
  <c r="AE18" i="49"/>
  <c r="AF18" i="49"/>
  <c r="AG18" i="49"/>
  <c r="D19" i="49"/>
  <c r="O19" i="49"/>
  <c r="P19" i="49"/>
  <c r="Q19" i="49"/>
  <c r="V19" i="49"/>
  <c r="W19" i="49"/>
  <c r="X19" i="49"/>
  <c r="Y19" i="49"/>
  <c r="Z19" i="49"/>
  <c r="AA19" i="49"/>
  <c r="AB19" i="49"/>
  <c r="AC19" i="49"/>
  <c r="AD19" i="49"/>
  <c r="AE19" i="49"/>
  <c r="AF19" i="49"/>
  <c r="AG19" i="49"/>
  <c r="D20" i="49"/>
  <c r="O20" i="49"/>
  <c r="P20" i="49"/>
  <c r="Q20" i="49"/>
  <c r="V20" i="49"/>
  <c r="W20" i="49"/>
  <c r="X20" i="49"/>
  <c r="Y20" i="49"/>
  <c r="Z20" i="49"/>
  <c r="AA20" i="49"/>
  <c r="AB20" i="49"/>
  <c r="AC20" i="49"/>
  <c r="AD20" i="49"/>
  <c r="AE20" i="49"/>
  <c r="AF20" i="49"/>
  <c r="AG20" i="49"/>
  <c r="D21" i="49"/>
  <c r="O21" i="49"/>
  <c r="P21" i="49"/>
  <c r="Q21" i="49"/>
  <c r="V21" i="49"/>
  <c r="W21" i="49"/>
  <c r="X21" i="49"/>
  <c r="Y21" i="49"/>
  <c r="Z21" i="49"/>
  <c r="AA21" i="49"/>
  <c r="AB21" i="49"/>
  <c r="AC21" i="49"/>
  <c r="AD21" i="49"/>
  <c r="AE21" i="49"/>
  <c r="AF21" i="49"/>
  <c r="AG21" i="49"/>
  <c r="D22" i="49"/>
  <c r="O22" i="49"/>
  <c r="P22" i="49"/>
  <c r="Q22" i="49"/>
  <c r="V22" i="49"/>
  <c r="W22" i="49"/>
  <c r="X22" i="49"/>
  <c r="Y22" i="49"/>
  <c r="Z22" i="49"/>
  <c r="AA22" i="49"/>
  <c r="AB22" i="49"/>
  <c r="AC22" i="49"/>
  <c r="AD22" i="49"/>
  <c r="AE22" i="49"/>
  <c r="AF22" i="49"/>
  <c r="AG22" i="49"/>
  <c r="D23" i="49"/>
  <c r="O23" i="49"/>
  <c r="P23" i="49"/>
  <c r="Q23" i="49"/>
  <c r="V23" i="49"/>
  <c r="W23" i="49"/>
  <c r="X23" i="49"/>
  <c r="Y23" i="49"/>
  <c r="Z23" i="49"/>
  <c r="AA23" i="49"/>
  <c r="AB23" i="49"/>
  <c r="AC23" i="49"/>
  <c r="AD23" i="49"/>
  <c r="AE23" i="49"/>
  <c r="AF23" i="49"/>
  <c r="AG23" i="49"/>
  <c r="D24" i="49"/>
  <c r="O24" i="49"/>
  <c r="P24" i="49"/>
  <c r="Q24" i="49"/>
  <c r="V24" i="49"/>
  <c r="W24" i="49"/>
  <c r="X24" i="49"/>
  <c r="Y24" i="49"/>
  <c r="Z24" i="49"/>
  <c r="AA24" i="49"/>
  <c r="AB24" i="49"/>
  <c r="AC24" i="49"/>
  <c r="AD24" i="49"/>
  <c r="AE24" i="49"/>
  <c r="AF24" i="49"/>
  <c r="AG24" i="49"/>
  <c r="D25" i="49"/>
  <c r="O25" i="49"/>
  <c r="P25" i="49"/>
  <c r="Q25" i="49"/>
  <c r="V25" i="49"/>
  <c r="W25" i="49"/>
  <c r="X25" i="49"/>
  <c r="Y25" i="49"/>
  <c r="Z25" i="49"/>
  <c r="AA25" i="49"/>
  <c r="AB25" i="49"/>
  <c r="AC25" i="49"/>
  <c r="AD25" i="49"/>
  <c r="AE25" i="49"/>
  <c r="AF25" i="49"/>
  <c r="AG25" i="49"/>
  <c r="D26" i="49"/>
  <c r="O26" i="49"/>
  <c r="P26" i="49"/>
  <c r="Q26" i="49"/>
  <c r="V26" i="49"/>
  <c r="W26" i="49"/>
  <c r="X26" i="49"/>
  <c r="Y26" i="49"/>
  <c r="Z26" i="49"/>
  <c r="AA26" i="49"/>
  <c r="AB26" i="49"/>
  <c r="AC26" i="49"/>
  <c r="AD26" i="49"/>
  <c r="AE26" i="49"/>
  <c r="AF26" i="49"/>
  <c r="AG26" i="49"/>
  <c r="D27" i="49"/>
  <c r="O27" i="49"/>
  <c r="P27" i="49"/>
  <c r="Q27" i="49"/>
  <c r="V27" i="49"/>
  <c r="W27" i="49"/>
  <c r="X27" i="49"/>
  <c r="Y27" i="49"/>
  <c r="Z27" i="49"/>
  <c r="AA27" i="49"/>
  <c r="AB27" i="49"/>
  <c r="AC27" i="49"/>
  <c r="AD27" i="49"/>
  <c r="AE27" i="49"/>
  <c r="AF27" i="49"/>
  <c r="AG27" i="49"/>
  <c r="D28" i="49"/>
  <c r="O28" i="49"/>
  <c r="P28" i="49"/>
  <c r="Q28" i="49"/>
  <c r="V28" i="49"/>
  <c r="W28" i="49"/>
  <c r="X28" i="49"/>
  <c r="Y28" i="49"/>
  <c r="Z28" i="49"/>
  <c r="AA28" i="49"/>
  <c r="AB28" i="49"/>
  <c r="AC28" i="49"/>
  <c r="AD28" i="49"/>
  <c r="AE28" i="49"/>
  <c r="AF28" i="49"/>
  <c r="AG28" i="49"/>
  <c r="D29" i="49"/>
  <c r="O29" i="49"/>
  <c r="P29" i="49"/>
  <c r="Q29" i="49"/>
  <c r="V29" i="49"/>
  <c r="W29" i="49"/>
  <c r="X29" i="49"/>
  <c r="Y29" i="49"/>
  <c r="Z29" i="49"/>
  <c r="AA29" i="49"/>
  <c r="AB29" i="49"/>
  <c r="AC29" i="49"/>
  <c r="AD29" i="49"/>
  <c r="AE29" i="49"/>
  <c r="AF29" i="49"/>
  <c r="AG29" i="49"/>
  <c r="D30" i="49"/>
  <c r="O30" i="49"/>
  <c r="P30" i="49"/>
  <c r="Q30" i="49"/>
  <c r="V30" i="49"/>
  <c r="W30" i="49"/>
  <c r="X30" i="49"/>
  <c r="Y30" i="49"/>
  <c r="Z30" i="49"/>
  <c r="AA30" i="49"/>
  <c r="AB30" i="49"/>
  <c r="AC30" i="49"/>
  <c r="AD30" i="49"/>
  <c r="AE30" i="49"/>
  <c r="AF30" i="49"/>
  <c r="AG30" i="49"/>
  <c r="D31" i="49"/>
  <c r="O31" i="49"/>
  <c r="P31" i="49"/>
  <c r="Q31" i="49"/>
  <c r="V31" i="49"/>
  <c r="W31" i="49"/>
  <c r="X31" i="49"/>
  <c r="Y31" i="49"/>
  <c r="Z31" i="49"/>
  <c r="AA31" i="49"/>
  <c r="AB31" i="49"/>
  <c r="AC31" i="49"/>
  <c r="AD31" i="49"/>
  <c r="AE31" i="49"/>
  <c r="AF31" i="49"/>
  <c r="AG31" i="49"/>
  <c r="D32" i="49"/>
  <c r="O32" i="49"/>
  <c r="P32" i="49"/>
  <c r="Q32" i="49"/>
  <c r="V32" i="49"/>
  <c r="W32" i="49"/>
  <c r="X32" i="49"/>
  <c r="Y32" i="49"/>
  <c r="Z32" i="49"/>
  <c r="AA32" i="49"/>
  <c r="AB32" i="49"/>
  <c r="AC32" i="49"/>
  <c r="AD32" i="49"/>
  <c r="AE32" i="49"/>
  <c r="AF32" i="49"/>
  <c r="AG32" i="49"/>
  <c r="D33" i="49"/>
  <c r="O33" i="49"/>
  <c r="P33" i="49"/>
  <c r="Q33" i="49"/>
  <c r="V33" i="49"/>
  <c r="W33" i="49"/>
  <c r="X33" i="49"/>
  <c r="Y33" i="49"/>
  <c r="Z33" i="49"/>
  <c r="AA33" i="49"/>
  <c r="AB33" i="49"/>
  <c r="AC33" i="49"/>
  <c r="AD33" i="49"/>
  <c r="AE33" i="49"/>
  <c r="AF33" i="49"/>
  <c r="AG33" i="49"/>
  <c r="D34" i="49"/>
  <c r="O34" i="49"/>
  <c r="P34" i="49"/>
  <c r="Q34" i="49"/>
  <c r="V34" i="49"/>
  <c r="W34" i="49"/>
  <c r="X34" i="49"/>
  <c r="Y34" i="49"/>
  <c r="Z34" i="49"/>
  <c r="AA34" i="49"/>
  <c r="AB34" i="49"/>
  <c r="AC34" i="49"/>
  <c r="AD34" i="49"/>
  <c r="AE34" i="49"/>
  <c r="AF34" i="49"/>
  <c r="AG34" i="49"/>
  <c r="D35" i="49"/>
  <c r="O35" i="49"/>
  <c r="P35" i="49"/>
  <c r="Q35" i="49"/>
  <c r="V35" i="49"/>
  <c r="W35" i="49"/>
  <c r="X35" i="49"/>
  <c r="Y35" i="49"/>
  <c r="Z35" i="49"/>
  <c r="AA35" i="49"/>
  <c r="AB35" i="49"/>
  <c r="AC35" i="49"/>
  <c r="AD35" i="49"/>
  <c r="AE35" i="49"/>
  <c r="AF35" i="49"/>
  <c r="AG35" i="49"/>
  <c r="D36" i="49"/>
  <c r="O36" i="49"/>
  <c r="P36" i="49"/>
  <c r="Q36" i="49"/>
  <c r="V36" i="49"/>
  <c r="W36" i="49"/>
  <c r="X36" i="49"/>
  <c r="Y36" i="49"/>
  <c r="Z36" i="49"/>
  <c r="AA36" i="49"/>
  <c r="AB36" i="49"/>
  <c r="AC36" i="49"/>
  <c r="AD36" i="49"/>
  <c r="AE36" i="49"/>
  <c r="AF36" i="49"/>
  <c r="AG36" i="49"/>
  <c r="D37" i="49"/>
  <c r="O37" i="49"/>
  <c r="P37" i="49"/>
  <c r="Q37" i="49"/>
  <c r="V37" i="49"/>
  <c r="W37" i="49"/>
  <c r="X37" i="49"/>
  <c r="Y37" i="49"/>
  <c r="Z37" i="49"/>
  <c r="AA37" i="49"/>
  <c r="AB37" i="49"/>
  <c r="AC37" i="49"/>
  <c r="AD37" i="49"/>
  <c r="AE37" i="49"/>
  <c r="AF37" i="49"/>
  <c r="AG37" i="49"/>
  <c r="D38" i="49"/>
  <c r="O38" i="49"/>
  <c r="P38" i="49"/>
  <c r="Q38" i="49"/>
  <c r="V38" i="49"/>
  <c r="W38" i="49"/>
  <c r="X38" i="49"/>
  <c r="Y38" i="49"/>
  <c r="Z38" i="49"/>
  <c r="AA38" i="49"/>
  <c r="AB38" i="49"/>
  <c r="AC38" i="49"/>
  <c r="AD38" i="49"/>
  <c r="AE38" i="49"/>
  <c r="AF38" i="49"/>
  <c r="AG38" i="49"/>
  <c r="D39" i="49"/>
  <c r="O39" i="49"/>
  <c r="P39" i="49"/>
  <c r="Q39" i="49"/>
  <c r="V39" i="49"/>
  <c r="W39" i="49"/>
  <c r="X39" i="49"/>
  <c r="Y39" i="49"/>
  <c r="Z39" i="49"/>
  <c r="AA39" i="49"/>
  <c r="AB39" i="49"/>
  <c r="AC39" i="49"/>
  <c r="AD39" i="49"/>
  <c r="AE39" i="49"/>
  <c r="AF39" i="49"/>
  <c r="AG39" i="49"/>
  <c r="M34" i="50"/>
  <c r="I34" i="50"/>
  <c r="N34" i="50"/>
  <c r="S34" i="50"/>
  <c r="S33" i="50" s="1"/>
  <c r="M33" i="50"/>
  <c r="I33" i="50"/>
  <c r="N33" i="50"/>
  <c r="M32" i="50"/>
  <c r="I32" i="50"/>
  <c r="N32" i="50"/>
  <c r="M31" i="50"/>
  <c r="I31" i="50"/>
  <c r="N31" i="50"/>
  <c r="M30" i="50"/>
  <c r="I30" i="50"/>
  <c r="N30" i="50"/>
  <c r="M29" i="50"/>
  <c r="I29" i="50"/>
  <c r="N29" i="50"/>
  <c r="M28" i="50"/>
  <c r="I28" i="50"/>
  <c r="N28" i="50"/>
  <c r="M27" i="50"/>
  <c r="I27" i="50"/>
  <c r="N27" i="50"/>
  <c r="M26" i="50"/>
  <c r="I26" i="50"/>
  <c r="N26" i="50"/>
  <c r="M25" i="50"/>
  <c r="I25" i="50"/>
  <c r="N25" i="50"/>
  <c r="M24" i="50"/>
  <c r="I24" i="50"/>
  <c r="N24" i="50"/>
  <c r="M23" i="50"/>
  <c r="I23" i="50"/>
  <c r="N23" i="50"/>
  <c r="M22" i="50"/>
  <c r="I22" i="50"/>
  <c r="N22" i="50"/>
  <c r="M21" i="50"/>
  <c r="I21" i="50"/>
  <c r="N21" i="50"/>
  <c r="M20" i="50"/>
  <c r="I20" i="50"/>
  <c r="N20" i="50"/>
  <c r="M19" i="50"/>
  <c r="I19" i="50"/>
  <c r="N19" i="50"/>
  <c r="M18" i="50"/>
  <c r="I18" i="50"/>
  <c r="N18" i="50"/>
  <c r="M17" i="50"/>
  <c r="I17" i="50"/>
  <c r="N17" i="50"/>
  <c r="R34" i="50"/>
  <c r="T34" i="50" s="1"/>
  <c r="T33" i="50" s="1"/>
  <c r="D17" i="50"/>
  <c r="O17" i="50"/>
  <c r="P17" i="50"/>
  <c r="Q17" i="50"/>
  <c r="V17" i="50"/>
  <c r="W17" i="50"/>
  <c r="X17" i="50"/>
  <c r="Y17" i="50"/>
  <c r="Z17" i="50"/>
  <c r="AA17" i="50"/>
  <c r="AB17" i="50"/>
  <c r="AC17" i="50"/>
  <c r="AD17" i="50"/>
  <c r="AE17" i="50"/>
  <c r="AF17" i="50"/>
  <c r="AG17" i="50"/>
  <c r="D18" i="50"/>
  <c r="O18" i="50"/>
  <c r="P18" i="50"/>
  <c r="Q18" i="50"/>
  <c r="V18" i="50"/>
  <c r="W18" i="50"/>
  <c r="X18" i="50"/>
  <c r="Y18" i="50"/>
  <c r="Z18" i="50"/>
  <c r="AA18" i="50"/>
  <c r="AB18" i="50"/>
  <c r="AC18" i="50"/>
  <c r="AD18" i="50"/>
  <c r="AE18" i="50"/>
  <c r="AF18" i="50"/>
  <c r="AG18" i="50"/>
  <c r="D19" i="50"/>
  <c r="O19" i="50"/>
  <c r="P19" i="50"/>
  <c r="Q19" i="50"/>
  <c r="V19" i="50"/>
  <c r="W19" i="50"/>
  <c r="X19" i="50"/>
  <c r="Y19" i="50"/>
  <c r="Z19" i="50"/>
  <c r="AA19" i="50"/>
  <c r="AB19" i="50"/>
  <c r="AC19" i="50"/>
  <c r="AD19" i="50"/>
  <c r="AE19" i="50"/>
  <c r="AF19" i="50"/>
  <c r="AG19" i="50"/>
  <c r="D20" i="50"/>
  <c r="O20" i="50"/>
  <c r="P20" i="50"/>
  <c r="Q20" i="50"/>
  <c r="V20" i="50"/>
  <c r="W20" i="50"/>
  <c r="X20" i="50"/>
  <c r="Y20" i="50"/>
  <c r="Z20" i="50"/>
  <c r="AA20" i="50"/>
  <c r="AB20" i="50"/>
  <c r="AC20" i="50"/>
  <c r="AD20" i="50"/>
  <c r="AE20" i="50"/>
  <c r="AF20" i="50"/>
  <c r="AG20" i="50"/>
  <c r="D21" i="50"/>
  <c r="O21" i="50"/>
  <c r="P21" i="50"/>
  <c r="Q21" i="50"/>
  <c r="V21" i="50"/>
  <c r="W21" i="50"/>
  <c r="X21" i="50"/>
  <c r="Y21" i="50"/>
  <c r="Z21" i="50"/>
  <c r="AA21" i="50"/>
  <c r="AB21" i="50"/>
  <c r="AC21" i="50"/>
  <c r="AD21" i="50"/>
  <c r="AE21" i="50"/>
  <c r="AF21" i="50"/>
  <c r="AG21" i="50"/>
  <c r="D22" i="50"/>
  <c r="O22" i="50"/>
  <c r="P22" i="50"/>
  <c r="Q22" i="50"/>
  <c r="V22" i="50"/>
  <c r="W22" i="50"/>
  <c r="X22" i="50"/>
  <c r="Y22" i="50"/>
  <c r="Z22" i="50"/>
  <c r="AA22" i="50"/>
  <c r="AB22" i="50"/>
  <c r="AC22" i="50"/>
  <c r="AD22" i="50"/>
  <c r="AE22" i="50"/>
  <c r="AF22" i="50"/>
  <c r="AG22" i="50"/>
  <c r="D23" i="50"/>
  <c r="O23" i="50"/>
  <c r="P23" i="50"/>
  <c r="Q23" i="50"/>
  <c r="V23" i="50"/>
  <c r="W23" i="50"/>
  <c r="X23" i="50"/>
  <c r="Y23" i="50"/>
  <c r="Z23" i="50"/>
  <c r="AA23" i="50"/>
  <c r="AB23" i="50"/>
  <c r="AC23" i="50"/>
  <c r="AD23" i="50"/>
  <c r="AE23" i="50"/>
  <c r="AF23" i="50"/>
  <c r="AG23" i="50"/>
  <c r="D24" i="50"/>
  <c r="O24" i="50"/>
  <c r="P24" i="50"/>
  <c r="Q24" i="50"/>
  <c r="V24" i="50"/>
  <c r="W24" i="50"/>
  <c r="X24" i="50"/>
  <c r="Y24" i="50"/>
  <c r="Z24" i="50"/>
  <c r="AA24" i="50"/>
  <c r="AB24" i="50"/>
  <c r="AC24" i="50"/>
  <c r="AD24" i="50"/>
  <c r="AE24" i="50"/>
  <c r="AF24" i="50"/>
  <c r="AG24" i="50"/>
  <c r="D25" i="50"/>
  <c r="O25" i="50"/>
  <c r="P25" i="50"/>
  <c r="Q25" i="50"/>
  <c r="V25" i="50"/>
  <c r="W25" i="50"/>
  <c r="X25" i="50"/>
  <c r="Y25" i="50"/>
  <c r="Z25" i="50"/>
  <c r="AA25" i="50"/>
  <c r="AB25" i="50"/>
  <c r="AC25" i="50"/>
  <c r="AD25" i="50"/>
  <c r="AE25" i="50"/>
  <c r="AF25" i="50"/>
  <c r="AG25" i="50"/>
  <c r="D26" i="50"/>
  <c r="O26" i="50"/>
  <c r="P26" i="50"/>
  <c r="Q26" i="50"/>
  <c r="V26" i="50"/>
  <c r="W26" i="50"/>
  <c r="X26" i="50"/>
  <c r="Y26" i="50"/>
  <c r="Z26" i="50"/>
  <c r="AA26" i="50"/>
  <c r="AB26" i="50"/>
  <c r="AC26" i="50"/>
  <c r="AD26" i="50"/>
  <c r="AE26" i="50"/>
  <c r="AF26" i="50"/>
  <c r="AG26" i="50"/>
  <c r="D27" i="50"/>
  <c r="O27" i="50"/>
  <c r="P27" i="50"/>
  <c r="Q27" i="50"/>
  <c r="V27" i="50"/>
  <c r="W27" i="50"/>
  <c r="X27" i="50"/>
  <c r="Y27" i="50"/>
  <c r="Z27" i="50"/>
  <c r="AA27" i="50"/>
  <c r="AB27" i="50"/>
  <c r="AC27" i="50"/>
  <c r="AD27" i="50"/>
  <c r="AE27" i="50"/>
  <c r="AF27" i="50"/>
  <c r="AG27" i="50"/>
  <c r="D28" i="50"/>
  <c r="O28" i="50"/>
  <c r="P28" i="50"/>
  <c r="Q28" i="50"/>
  <c r="V28" i="50"/>
  <c r="W28" i="50"/>
  <c r="X28" i="50"/>
  <c r="Y28" i="50"/>
  <c r="Z28" i="50"/>
  <c r="AA28" i="50"/>
  <c r="AB28" i="50"/>
  <c r="AC28" i="50"/>
  <c r="AD28" i="50"/>
  <c r="AE28" i="50"/>
  <c r="AF28" i="50"/>
  <c r="AG28" i="50"/>
  <c r="D29" i="50"/>
  <c r="O29" i="50"/>
  <c r="P29" i="50"/>
  <c r="Q29" i="50"/>
  <c r="V29" i="50"/>
  <c r="W29" i="50"/>
  <c r="X29" i="50"/>
  <c r="Y29" i="50"/>
  <c r="Z29" i="50"/>
  <c r="AA29" i="50"/>
  <c r="AB29" i="50"/>
  <c r="AC29" i="50"/>
  <c r="AD29" i="50"/>
  <c r="AE29" i="50"/>
  <c r="AF29" i="50"/>
  <c r="AG29" i="50"/>
  <c r="D30" i="50"/>
  <c r="O30" i="50"/>
  <c r="P30" i="50"/>
  <c r="Q30" i="50"/>
  <c r="V30" i="50"/>
  <c r="W30" i="50"/>
  <c r="X30" i="50"/>
  <c r="Y30" i="50"/>
  <c r="Z30" i="50"/>
  <c r="AA30" i="50"/>
  <c r="AB30" i="50"/>
  <c r="AC30" i="50"/>
  <c r="AD30" i="50"/>
  <c r="AE30" i="50"/>
  <c r="AF30" i="50"/>
  <c r="AG30" i="50"/>
  <c r="D31" i="50"/>
  <c r="O31" i="50"/>
  <c r="P31" i="50"/>
  <c r="Q31" i="50"/>
  <c r="V31" i="50"/>
  <c r="W31" i="50"/>
  <c r="X31" i="50"/>
  <c r="Y31" i="50"/>
  <c r="Z31" i="50"/>
  <c r="AA31" i="50"/>
  <c r="AB31" i="50"/>
  <c r="AC31" i="50"/>
  <c r="AD31" i="50"/>
  <c r="AE31" i="50"/>
  <c r="AF31" i="50"/>
  <c r="AG31" i="50"/>
  <c r="D32" i="50"/>
  <c r="O32" i="50"/>
  <c r="P32" i="50"/>
  <c r="Q32" i="50"/>
  <c r="V32" i="50"/>
  <c r="W32" i="50"/>
  <c r="X32" i="50"/>
  <c r="Y32" i="50"/>
  <c r="Z32" i="50"/>
  <c r="AA32" i="50"/>
  <c r="AB32" i="50"/>
  <c r="AC32" i="50"/>
  <c r="AD32" i="50"/>
  <c r="AE32" i="50"/>
  <c r="AF32" i="50"/>
  <c r="AG32" i="50"/>
  <c r="D33" i="50"/>
  <c r="O33" i="50"/>
  <c r="P33" i="50"/>
  <c r="Q33" i="50"/>
  <c r="V33" i="50"/>
  <c r="W33" i="50"/>
  <c r="X33" i="50"/>
  <c r="Y33" i="50"/>
  <c r="Z33" i="50"/>
  <c r="AA33" i="50"/>
  <c r="AB33" i="50"/>
  <c r="AC33" i="50"/>
  <c r="AD33" i="50"/>
  <c r="AE33" i="50"/>
  <c r="AF33" i="50"/>
  <c r="AG33" i="50"/>
  <c r="D34" i="50"/>
  <c r="O34" i="50"/>
  <c r="P34" i="50"/>
  <c r="Q34" i="50"/>
  <c r="V34" i="50"/>
  <c r="W34" i="50"/>
  <c r="X34" i="50"/>
  <c r="Y34" i="50"/>
  <c r="Z34" i="50"/>
  <c r="AA34" i="50"/>
  <c r="AB34" i="50"/>
  <c r="AC34" i="50"/>
  <c r="AD34" i="50"/>
  <c r="AE34" i="50"/>
  <c r="AF34" i="50"/>
  <c r="AG34" i="50"/>
  <c r="M55" i="55"/>
  <c r="I55" i="55"/>
  <c r="N55" i="55"/>
  <c r="S55" i="55"/>
  <c r="M54" i="55"/>
  <c r="I54" i="55"/>
  <c r="N54" i="55"/>
  <c r="M53" i="55"/>
  <c r="I53" i="55"/>
  <c r="N53" i="55"/>
  <c r="M52" i="55"/>
  <c r="I52" i="55"/>
  <c r="N52" i="55"/>
  <c r="M51" i="55"/>
  <c r="I51" i="55"/>
  <c r="N51" i="55"/>
  <c r="M50" i="55"/>
  <c r="I50" i="55"/>
  <c r="N50" i="55"/>
  <c r="M49" i="55"/>
  <c r="I49" i="55"/>
  <c r="N49" i="55"/>
  <c r="M48" i="55"/>
  <c r="I48" i="55"/>
  <c r="N48" i="55"/>
  <c r="M47" i="55"/>
  <c r="I47" i="55"/>
  <c r="N47" i="55"/>
  <c r="M46" i="55"/>
  <c r="I46" i="55"/>
  <c r="N46" i="55"/>
  <c r="M45" i="55"/>
  <c r="I45" i="55"/>
  <c r="N45" i="55"/>
  <c r="M44" i="55"/>
  <c r="I44" i="55"/>
  <c r="N44" i="55"/>
  <c r="M43" i="55"/>
  <c r="I43" i="55"/>
  <c r="N43" i="55"/>
  <c r="M42" i="55"/>
  <c r="I42" i="55"/>
  <c r="N42" i="55"/>
  <c r="M41" i="55"/>
  <c r="I41" i="55"/>
  <c r="N41" i="55"/>
  <c r="M40" i="55"/>
  <c r="I40" i="55"/>
  <c r="N40" i="55"/>
  <c r="M39" i="55"/>
  <c r="I39" i="55"/>
  <c r="N39" i="55"/>
  <c r="M38" i="55"/>
  <c r="I38" i="55"/>
  <c r="N38" i="55"/>
  <c r="M37" i="55"/>
  <c r="I37" i="55"/>
  <c r="N37" i="55"/>
  <c r="M36" i="55"/>
  <c r="I36" i="55"/>
  <c r="N36" i="55"/>
  <c r="M35" i="55"/>
  <c r="I35" i="55"/>
  <c r="N35" i="55"/>
  <c r="M34" i="55"/>
  <c r="I34" i="55"/>
  <c r="N34" i="55"/>
  <c r="M33" i="55"/>
  <c r="I33" i="55"/>
  <c r="N33" i="55"/>
  <c r="M32" i="55"/>
  <c r="I32" i="55"/>
  <c r="N32" i="55"/>
  <c r="M31" i="55"/>
  <c r="I31" i="55"/>
  <c r="N31" i="55"/>
  <c r="M30" i="55"/>
  <c r="I30" i="55"/>
  <c r="N30" i="55"/>
  <c r="M29" i="55"/>
  <c r="I29" i="55"/>
  <c r="N29" i="55"/>
  <c r="M28" i="55"/>
  <c r="I28" i="55"/>
  <c r="N28" i="55"/>
  <c r="M27" i="55"/>
  <c r="I27" i="55"/>
  <c r="N27" i="55"/>
  <c r="M26" i="55"/>
  <c r="I26" i="55"/>
  <c r="N26" i="55"/>
  <c r="M25" i="55"/>
  <c r="I25" i="55"/>
  <c r="N25" i="55"/>
  <c r="M24" i="55"/>
  <c r="I24" i="55"/>
  <c r="N24" i="55"/>
  <c r="M23" i="55"/>
  <c r="I23" i="55"/>
  <c r="N23" i="55"/>
  <c r="M22" i="55"/>
  <c r="I22" i="55"/>
  <c r="N22" i="55"/>
  <c r="M21" i="55"/>
  <c r="I21" i="55"/>
  <c r="N21" i="55"/>
  <c r="M20" i="55"/>
  <c r="I20" i="55"/>
  <c r="N20" i="55"/>
  <c r="M19" i="55"/>
  <c r="I19" i="55"/>
  <c r="N19" i="55"/>
  <c r="M18" i="55"/>
  <c r="I18" i="55"/>
  <c r="N18" i="55"/>
  <c r="M17" i="55"/>
  <c r="I17" i="55"/>
  <c r="N17" i="55"/>
  <c r="R55" i="55"/>
  <c r="T55" i="55" s="1"/>
  <c r="D17" i="55"/>
  <c r="O17" i="55"/>
  <c r="P17" i="55"/>
  <c r="Q17" i="55"/>
  <c r="V17" i="55"/>
  <c r="W17" i="55"/>
  <c r="X17" i="55"/>
  <c r="Y17" i="55"/>
  <c r="Z17" i="55"/>
  <c r="AA17" i="55"/>
  <c r="AB17" i="55"/>
  <c r="AC17" i="55"/>
  <c r="AD17" i="55"/>
  <c r="AE17" i="55"/>
  <c r="AF17" i="55"/>
  <c r="AG17" i="55"/>
  <c r="D18" i="55"/>
  <c r="O18" i="55"/>
  <c r="P18" i="55"/>
  <c r="Q18" i="55"/>
  <c r="V18" i="55"/>
  <c r="W18" i="55"/>
  <c r="X18" i="55"/>
  <c r="Y18" i="55"/>
  <c r="Z18" i="55"/>
  <c r="AA18" i="55"/>
  <c r="AB18" i="55"/>
  <c r="AC18" i="55"/>
  <c r="AD18" i="55"/>
  <c r="AE18" i="55"/>
  <c r="AF18" i="55"/>
  <c r="AG18" i="55"/>
  <c r="D19" i="55"/>
  <c r="O19" i="55"/>
  <c r="P19" i="55"/>
  <c r="Q19" i="55"/>
  <c r="V19" i="55"/>
  <c r="W19" i="55"/>
  <c r="X19" i="55"/>
  <c r="Y19" i="55"/>
  <c r="Z19" i="55"/>
  <c r="AA19" i="55"/>
  <c r="AB19" i="55"/>
  <c r="AC19" i="55"/>
  <c r="AD19" i="55"/>
  <c r="AE19" i="55"/>
  <c r="AF19" i="55"/>
  <c r="AG19" i="55"/>
  <c r="D20" i="55"/>
  <c r="O20" i="55"/>
  <c r="P20" i="55"/>
  <c r="Q20" i="55"/>
  <c r="V20" i="55"/>
  <c r="W20" i="55"/>
  <c r="X20" i="55"/>
  <c r="Y20" i="55"/>
  <c r="Z20" i="55"/>
  <c r="AA20" i="55"/>
  <c r="AB20" i="55"/>
  <c r="AC20" i="55"/>
  <c r="AD20" i="55"/>
  <c r="AE20" i="55"/>
  <c r="AF20" i="55"/>
  <c r="AG20" i="55"/>
  <c r="D21" i="55"/>
  <c r="O21" i="55"/>
  <c r="P21" i="55"/>
  <c r="Q21" i="55"/>
  <c r="V21" i="55"/>
  <c r="W21" i="55"/>
  <c r="X21" i="55"/>
  <c r="Y21" i="55"/>
  <c r="Z21" i="55"/>
  <c r="AA21" i="55"/>
  <c r="AB21" i="55"/>
  <c r="AC21" i="55"/>
  <c r="AD21" i="55"/>
  <c r="AE21" i="55"/>
  <c r="AF21" i="55"/>
  <c r="AG21" i="55"/>
  <c r="D22" i="55"/>
  <c r="O22" i="55"/>
  <c r="P22" i="55"/>
  <c r="Q22" i="55"/>
  <c r="V22" i="55"/>
  <c r="W22" i="55"/>
  <c r="X22" i="55"/>
  <c r="Y22" i="55"/>
  <c r="Z22" i="55"/>
  <c r="AA22" i="55"/>
  <c r="AB22" i="55"/>
  <c r="AC22" i="55"/>
  <c r="AD22" i="55"/>
  <c r="AE22" i="55"/>
  <c r="AF22" i="55"/>
  <c r="AG22" i="55"/>
  <c r="D23" i="55"/>
  <c r="O23" i="55"/>
  <c r="P23" i="55"/>
  <c r="Q23" i="55"/>
  <c r="V23" i="55"/>
  <c r="W23" i="55"/>
  <c r="X23" i="55"/>
  <c r="Y23" i="55"/>
  <c r="Z23" i="55"/>
  <c r="AA23" i="55"/>
  <c r="AB23" i="55"/>
  <c r="AC23" i="55"/>
  <c r="AD23" i="55"/>
  <c r="AE23" i="55"/>
  <c r="AF23" i="55"/>
  <c r="AG23" i="55"/>
  <c r="D24" i="55"/>
  <c r="O24" i="55"/>
  <c r="P24" i="55"/>
  <c r="Q24" i="55"/>
  <c r="V24" i="55"/>
  <c r="W24" i="55"/>
  <c r="X24" i="55"/>
  <c r="Y24" i="55"/>
  <c r="Z24" i="55"/>
  <c r="AA24" i="55"/>
  <c r="AB24" i="55"/>
  <c r="AC24" i="55"/>
  <c r="AD24" i="55"/>
  <c r="AE24" i="55"/>
  <c r="AF24" i="55"/>
  <c r="AG24" i="55"/>
  <c r="D25" i="55"/>
  <c r="O25" i="55"/>
  <c r="P25" i="55"/>
  <c r="Q25" i="55"/>
  <c r="V25" i="55"/>
  <c r="W25" i="55"/>
  <c r="X25" i="55"/>
  <c r="Y25" i="55"/>
  <c r="Z25" i="55"/>
  <c r="AA25" i="55"/>
  <c r="AB25" i="55"/>
  <c r="AC25" i="55"/>
  <c r="AD25" i="55"/>
  <c r="AE25" i="55"/>
  <c r="AF25" i="55"/>
  <c r="AG25" i="55"/>
  <c r="D26" i="55"/>
  <c r="O26" i="55"/>
  <c r="P26" i="55"/>
  <c r="Q26" i="55"/>
  <c r="V26" i="55"/>
  <c r="W26" i="55"/>
  <c r="X26" i="55"/>
  <c r="Y26" i="55"/>
  <c r="Z26" i="55"/>
  <c r="AA26" i="55"/>
  <c r="AB26" i="55"/>
  <c r="AC26" i="55"/>
  <c r="AD26" i="55"/>
  <c r="AE26" i="55"/>
  <c r="AF26" i="55"/>
  <c r="AG26" i="55"/>
  <c r="D27" i="55"/>
  <c r="O27" i="55"/>
  <c r="P27" i="55"/>
  <c r="Q27" i="55"/>
  <c r="V27" i="55"/>
  <c r="W27" i="55"/>
  <c r="X27" i="55"/>
  <c r="Y27" i="55"/>
  <c r="Z27" i="55"/>
  <c r="AA27" i="55"/>
  <c r="AB27" i="55"/>
  <c r="AC27" i="55"/>
  <c r="AD27" i="55"/>
  <c r="AE27" i="55"/>
  <c r="AF27" i="55"/>
  <c r="AG27" i="55"/>
  <c r="D28" i="55"/>
  <c r="O28" i="55"/>
  <c r="P28" i="55"/>
  <c r="Q28" i="55"/>
  <c r="V28" i="55"/>
  <c r="W28" i="55"/>
  <c r="X28" i="55"/>
  <c r="Y28" i="55"/>
  <c r="Z28" i="55"/>
  <c r="AA28" i="55"/>
  <c r="AB28" i="55"/>
  <c r="AC28" i="55"/>
  <c r="AD28" i="55"/>
  <c r="AE28" i="55"/>
  <c r="AF28" i="55"/>
  <c r="AG28" i="55"/>
  <c r="D29" i="55"/>
  <c r="O29" i="55"/>
  <c r="P29" i="55"/>
  <c r="Q29" i="55"/>
  <c r="V29" i="55"/>
  <c r="W29" i="55"/>
  <c r="X29" i="55"/>
  <c r="Y29" i="55"/>
  <c r="Z29" i="55"/>
  <c r="AA29" i="55"/>
  <c r="AB29" i="55"/>
  <c r="AC29" i="55"/>
  <c r="AD29" i="55"/>
  <c r="AE29" i="55"/>
  <c r="AF29" i="55"/>
  <c r="AG29" i="55"/>
  <c r="D30" i="55"/>
  <c r="O30" i="55"/>
  <c r="P30" i="55"/>
  <c r="Q30" i="55"/>
  <c r="V30" i="55"/>
  <c r="W30" i="55"/>
  <c r="X30" i="55"/>
  <c r="Y30" i="55"/>
  <c r="Z30" i="55"/>
  <c r="AA30" i="55"/>
  <c r="AB30" i="55"/>
  <c r="AC30" i="55"/>
  <c r="AD30" i="55"/>
  <c r="AE30" i="55"/>
  <c r="AF30" i="55"/>
  <c r="AG30" i="55"/>
  <c r="D31" i="55"/>
  <c r="O31" i="55"/>
  <c r="P31" i="55"/>
  <c r="Q31" i="55"/>
  <c r="V31" i="55"/>
  <c r="W31" i="55"/>
  <c r="X31" i="55"/>
  <c r="Y31" i="55"/>
  <c r="Z31" i="55"/>
  <c r="AA31" i="55"/>
  <c r="AB31" i="55"/>
  <c r="AC31" i="55"/>
  <c r="AD31" i="55"/>
  <c r="AE31" i="55"/>
  <c r="AF31" i="55"/>
  <c r="AG31" i="55"/>
  <c r="D32" i="55"/>
  <c r="O32" i="55"/>
  <c r="P32" i="55"/>
  <c r="Q32" i="55"/>
  <c r="V32" i="55"/>
  <c r="W32" i="55"/>
  <c r="X32" i="55"/>
  <c r="Y32" i="55"/>
  <c r="Z32" i="55"/>
  <c r="AA32" i="55"/>
  <c r="AB32" i="55"/>
  <c r="AC32" i="55"/>
  <c r="AD32" i="55"/>
  <c r="AE32" i="55"/>
  <c r="AF32" i="55"/>
  <c r="AG32" i="55"/>
  <c r="D33" i="55"/>
  <c r="O33" i="55"/>
  <c r="P33" i="55"/>
  <c r="Q33" i="55"/>
  <c r="V33" i="55"/>
  <c r="W33" i="55"/>
  <c r="X33" i="55"/>
  <c r="Y33" i="55"/>
  <c r="Z33" i="55"/>
  <c r="AA33" i="55"/>
  <c r="AB33" i="55"/>
  <c r="AC33" i="55"/>
  <c r="AD33" i="55"/>
  <c r="AE33" i="55"/>
  <c r="AF33" i="55"/>
  <c r="AG33" i="55"/>
  <c r="D34" i="55"/>
  <c r="O34" i="55"/>
  <c r="P34" i="55"/>
  <c r="Q34" i="55"/>
  <c r="V34" i="55"/>
  <c r="W34" i="55"/>
  <c r="X34" i="55"/>
  <c r="Y34" i="55"/>
  <c r="Z34" i="55"/>
  <c r="AA34" i="55"/>
  <c r="AB34" i="55"/>
  <c r="AC34" i="55"/>
  <c r="AD34" i="55"/>
  <c r="AE34" i="55"/>
  <c r="AF34" i="55"/>
  <c r="AG34" i="55"/>
  <c r="D35" i="55"/>
  <c r="O35" i="55"/>
  <c r="P35" i="55"/>
  <c r="Q35" i="55"/>
  <c r="V35" i="55"/>
  <c r="W35" i="55"/>
  <c r="X35" i="55"/>
  <c r="Y35" i="55"/>
  <c r="Z35" i="55"/>
  <c r="AA35" i="55"/>
  <c r="AB35" i="55"/>
  <c r="AC35" i="55"/>
  <c r="AD35" i="55"/>
  <c r="AE35" i="55"/>
  <c r="AF35" i="55"/>
  <c r="AG35" i="55"/>
  <c r="D36" i="55"/>
  <c r="O36" i="55"/>
  <c r="P36" i="55"/>
  <c r="Q36" i="55"/>
  <c r="V36" i="55"/>
  <c r="W36" i="55"/>
  <c r="X36" i="55"/>
  <c r="Y36" i="55"/>
  <c r="Z36" i="55"/>
  <c r="AA36" i="55"/>
  <c r="AB36" i="55"/>
  <c r="AC36" i="55"/>
  <c r="AD36" i="55"/>
  <c r="AE36" i="55"/>
  <c r="AF36" i="55"/>
  <c r="AG36" i="55"/>
  <c r="D37" i="55"/>
  <c r="O37" i="55"/>
  <c r="P37" i="55"/>
  <c r="Q37" i="55"/>
  <c r="V37" i="55"/>
  <c r="W37" i="55"/>
  <c r="X37" i="55"/>
  <c r="Y37" i="55"/>
  <c r="Z37" i="55"/>
  <c r="AA37" i="55"/>
  <c r="AB37" i="55"/>
  <c r="AC37" i="55"/>
  <c r="AD37" i="55"/>
  <c r="AE37" i="55"/>
  <c r="AF37" i="55"/>
  <c r="AG37" i="55"/>
  <c r="D38" i="55"/>
  <c r="O38" i="55"/>
  <c r="P38" i="55"/>
  <c r="Q38" i="55"/>
  <c r="V38" i="55"/>
  <c r="W38" i="55"/>
  <c r="X38" i="55"/>
  <c r="Y38" i="55"/>
  <c r="Z38" i="55"/>
  <c r="AA38" i="55"/>
  <c r="AB38" i="55"/>
  <c r="AC38" i="55"/>
  <c r="AD38" i="55"/>
  <c r="AE38" i="55"/>
  <c r="AF38" i="55"/>
  <c r="AG38" i="55"/>
  <c r="D39" i="55"/>
  <c r="O39" i="55"/>
  <c r="P39" i="55"/>
  <c r="Q39" i="55"/>
  <c r="V39" i="55"/>
  <c r="W39" i="55"/>
  <c r="X39" i="55"/>
  <c r="Y39" i="55"/>
  <c r="Z39" i="55"/>
  <c r="AA39" i="55"/>
  <c r="AB39" i="55"/>
  <c r="AC39" i="55"/>
  <c r="AD39" i="55"/>
  <c r="AE39" i="55"/>
  <c r="AF39" i="55"/>
  <c r="AG39" i="55"/>
  <c r="D40" i="55"/>
  <c r="O40" i="55"/>
  <c r="P40" i="55"/>
  <c r="Q40" i="55"/>
  <c r="V40" i="55"/>
  <c r="W40" i="55"/>
  <c r="X40" i="55"/>
  <c r="Y40" i="55"/>
  <c r="Z40" i="55"/>
  <c r="AA40" i="55"/>
  <c r="AB40" i="55"/>
  <c r="AC40" i="55"/>
  <c r="AD40" i="55"/>
  <c r="AE40" i="55"/>
  <c r="AF40" i="55"/>
  <c r="AG40" i="55"/>
  <c r="D41" i="55"/>
  <c r="O41" i="55"/>
  <c r="P41" i="55"/>
  <c r="Q41" i="55"/>
  <c r="V41" i="55"/>
  <c r="W41" i="55"/>
  <c r="X41" i="55"/>
  <c r="Y41" i="55"/>
  <c r="Z41" i="55"/>
  <c r="AA41" i="55"/>
  <c r="AB41" i="55"/>
  <c r="AC41" i="55"/>
  <c r="AD41" i="55"/>
  <c r="AE41" i="55"/>
  <c r="AF41" i="55"/>
  <c r="AG41" i="55"/>
  <c r="D42" i="55"/>
  <c r="O42" i="55"/>
  <c r="P42" i="55"/>
  <c r="Q42" i="55"/>
  <c r="V42" i="55"/>
  <c r="W42" i="55"/>
  <c r="X42" i="55"/>
  <c r="Y42" i="55"/>
  <c r="Z42" i="55"/>
  <c r="AA42" i="55"/>
  <c r="AB42" i="55"/>
  <c r="AC42" i="55"/>
  <c r="AD42" i="55"/>
  <c r="AE42" i="55"/>
  <c r="AF42" i="55"/>
  <c r="AG42" i="55"/>
  <c r="D43" i="55"/>
  <c r="O43" i="55"/>
  <c r="P43" i="55"/>
  <c r="Q43" i="55"/>
  <c r="V43" i="55"/>
  <c r="W43" i="55"/>
  <c r="X43" i="55"/>
  <c r="Y43" i="55"/>
  <c r="Z43" i="55"/>
  <c r="AA43" i="55"/>
  <c r="AB43" i="55"/>
  <c r="AC43" i="55"/>
  <c r="AD43" i="55"/>
  <c r="AE43" i="55"/>
  <c r="AF43" i="55"/>
  <c r="AG43" i="55"/>
  <c r="D44" i="55"/>
  <c r="O44" i="55"/>
  <c r="P44" i="55"/>
  <c r="Q44" i="55"/>
  <c r="V44" i="55"/>
  <c r="W44" i="55"/>
  <c r="X44" i="55"/>
  <c r="Y44" i="55"/>
  <c r="Z44" i="55"/>
  <c r="AA44" i="55"/>
  <c r="AB44" i="55"/>
  <c r="AC44" i="55"/>
  <c r="AD44" i="55"/>
  <c r="AE44" i="55"/>
  <c r="AF44" i="55"/>
  <c r="AG44" i="55"/>
  <c r="D45" i="55"/>
  <c r="O45" i="55"/>
  <c r="P45" i="55"/>
  <c r="Q45" i="55"/>
  <c r="V45" i="55"/>
  <c r="W45" i="55"/>
  <c r="X45" i="55"/>
  <c r="Y45" i="55"/>
  <c r="Z45" i="55"/>
  <c r="AA45" i="55"/>
  <c r="AB45" i="55"/>
  <c r="AC45" i="55"/>
  <c r="AD45" i="55"/>
  <c r="AE45" i="55"/>
  <c r="AF45" i="55"/>
  <c r="AG45" i="55"/>
  <c r="D46" i="55"/>
  <c r="O46" i="55"/>
  <c r="P46" i="55"/>
  <c r="Q46" i="55"/>
  <c r="V46" i="55"/>
  <c r="W46" i="55"/>
  <c r="X46" i="55"/>
  <c r="Y46" i="55"/>
  <c r="Z46" i="55"/>
  <c r="AA46" i="55"/>
  <c r="AB46" i="55"/>
  <c r="AC46" i="55"/>
  <c r="AD46" i="55"/>
  <c r="AE46" i="55"/>
  <c r="AF46" i="55"/>
  <c r="AG46" i="55"/>
  <c r="D47" i="55"/>
  <c r="O47" i="55"/>
  <c r="P47" i="55"/>
  <c r="Q47" i="55"/>
  <c r="V47" i="55"/>
  <c r="W47" i="55"/>
  <c r="X47" i="55"/>
  <c r="Y47" i="55"/>
  <c r="Z47" i="55"/>
  <c r="AA47" i="55"/>
  <c r="AB47" i="55"/>
  <c r="AC47" i="55"/>
  <c r="AD47" i="55"/>
  <c r="AE47" i="55"/>
  <c r="AF47" i="55"/>
  <c r="AG47" i="55"/>
  <c r="D48" i="55"/>
  <c r="O48" i="55"/>
  <c r="P48" i="55"/>
  <c r="Q48" i="55"/>
  <c r="V48" i="55"/>
  <c r="W48" i="55"/>
  <c r="X48" i="55"/>
  <c r="Y48" i="55"/>
  <c r="Z48" i="55"/>
  <c r="AA48" i="55"/>
  <c r="AB48" i="55"/>
  <c r="AC48" i="55"/>
  <c r="AD48" i="55"/>
  <c r="AE48" i="55"/>
  <c r="AF48" i="55"/>
  <c r="AG48" i="55"/>
  <c r="D49" i="55"/>
  <c r="O49" i="55"/>
  <c r="P49" i="55"/>
  <c r="Q49" i="55"/>
  <c r="V49" i="55"/>
  <c r="W49" i="55"/>
  <c r="X49" i="55"/>
  <c r="Y49" i="55"/>
  <c r="Z49" i="55"/>
  <c r="AA49" i="55"/>
  <c r="AB49" i="55"/>
  <c r="AC49" i="55"/>
  <c r="AD49" i="55"/>
  <c r="AE49" i="55"/>
  <c r="AF49" i="55"/>
  <c r="AG49" i="55"/>
  <c r="D50" i="55"/>
  <c r="O50" i="55"/>
  <c r="P50" i="55"/>
  <c r="Q50" i="55"/>
  <c r="V50" i="55"/>
  <c r="W50" i="55"/>
  <c r="X50" i="55"/>
  <c r="Y50" i="55"/>
  <c r="Z50" i="55"/>
  <c r="AA50" i="55"/>
  <c r="AB50" i="55"/>
  <c r="AC50" i="55"/>
  <c r="AD50" i="55"/>
  <c r="AE50" i="55"/>
  <c r="AF50" i="55"/>
  <c r="AG50" i="55"/>
  <c r="D51" i="55"/>
  <c r="O51" i="55"/>
  <c r="P51" i="55"/>
  <c r="Q51" i="55"/>
  <c r="V51" i="55"/>
  <c r="W51" i="55"/>
  <c r="X51" i="55"/>
  <c r="Y51" i="55"/>
  <c r="Z51" i="55"/>
  <c r="AA51" i="55"/>
  <c r="AB51" i="55"/>
  <c r="AC51" i="55"/>
  <c r="AD51" i="55"/>
  <c r="AE51" i="55"/>
  <c r="AF51" i="55"/>
  <c r="AG51" i="55"/>
  <c r="D52" i="55"/>
  <c r="O52" i="55"/>
  <c r="P52" i="55"/>
  <c r="Q52" i="55"/>
  <c r="V52" i="55"/>
  <c r="W52" i="55"/>
  <c r="X52" i="55"/>
  <c r="Y52" i="55"/>
  <c r="Z52" i="55"/>
  <c r="AA52" i="55"/>
  <c r="AB52" i="55"/>
  <c r="AC52" i="55"/>
  <c r="AD52" i="55"/>
  <c r="AE52" i="55"/>
  <c r="AF52" i="55"/>
  <c r="AG52" i="55"/>
  <c r="D53" i="55"/>
  <c r="O53" i="55"/>
  <c r="P53" i="55"/>
  <c r="Q53" i="55"/>
  <c r="V53" i="55"/>
  <c r="W53" i="55"/>
  <c r="X53" i="55"/>
  <c r="Y53" i="55"/>
  <c r="Z53" i="55"/>
  <c r="AA53" i="55"/>
  <c r="AB53" i="55"/>
  <c r="AC53" i="55"/>
  <c r="AD53" i="55"/>
  <c r="AE53" i="55"/>
  <c r="AF53" i="55"/>
  <c r="AG53" i="55"/>
  <c r="D54" i="55"/>
  <c r="O54" i="55"/>
  <c r="P54" i="55"/>
  <c r="Q54" i="55"/>
  <c r="V54" i="55"/>
  <c r="W54" i="55"/>
  <c r="X54" i="55"/>
  <c r="Y54" i="55"/>
  <c r="Z54" i="55"/>
  <c r="AA54" i="55"/>
  <c r="AB54" i="55"/>
  <c r="AC54" i="55"/>
  <c r="AD54" i="55"/>
  <c r="AE54" i="55"/>
  <c r="AF54" i="55"/>
  <c r="AG54" i="55"/>
  <c r="D55" i="55"/>
  <c r="O55" i="55"/>
  <c r="P55" i="55"/>
  <c r="Q55" i="55"/>
  <c r="V55" i="55"/>
  <c r="W55" i="55"/>
  <c r="X55" i="55"/>
  <c r="Y55" i="55"/>
  <c r="Z55" i="55"/>
  <c r="AA55" i="55"/>
  <c r="AB55" i="55"/>
  <c r="AC55" i="55"/>
  <c r="AD55" i="55"/>
  <c r="AE55" i="55"/>
  <c r="AF55" i="55"/>
  <c r="AG55" i="55"/>
  <c r="M22" i="51"/>
  <c r="I22" i="51"/>
  <c r="N22" i="51"/>
  <c r="S22" i="51"/>
  <c r="S21" i="51" s="1"/>
  <c r="M21" i="51"/>
  <c r="I21" i="51"/>
  <c r="N21" i="51"/>
  <c r="M20" i="51"/>
  <c r="I20" i="51"/>
  <c r="N20" i="51"/>
  <c r="M19" i="51"/>
  <c r="I19" i="51"/>
  <c r="N19" i="51"/>
  <c r="M18" i="51"/>
  <c r="I18" i="51"/>
  <c r="N18" i="51"/>
  <c r="M17" i="51"/>
  <c r="I17" i="51"/>
  <c r="N17" i="51"/>
  <c r="R22" i="51"/>
  <c r="T22" i="51" s="1"/>
  <c r="U22" i="51" s="1"/>
  <c r="D17" i="51"/>
  <c r="O17" i="51"/>
  <c r="P17" i="51"/>
  <c r="Q17" i="51"/>
  <c r="V17" i="51"/>
  <c r="W17" i="51"/>
  <c r="X17" i="51"/>
  <c r="Y17" i="51"/>
  <c r="Z17" i="51"/>
  <c r="AA17" i="51"/>
  <c r="AB17" i="51"/>
  <c r="AC17" i="51"/>
  <c r="AD17" i="51"/>
  <c r="AE17" i="51"/>
  <c r="AF17" i="51"/>
  <c r="AG17" i="51"/>
  <c r="D18" i="51"/>
  <c r="O18" i="51"/>
  <c r="P18" i="51"/>
  <c r="Q18" i="51"/>
  <c r="V18" i="51"/>
  <c r="W18" i="51"/>
  <c r="X18" i="51"/>
  <c r="Y18" i="51"/>
  <c r="Z18" i="51"/>
  <c r="AA18" i="51"/>
  <c r="AB18" i="51"/>
  <c r="AC18" i="51"/>
  <c r="AD18" i="51"/>
  <c r="AE18" i="51"/>
  <c r="AF18" i="51"/>
  <c r="AG18" i="51"/>
  <c r="D19" i="51"/>
  <c r="O19" i="51"/>
  <c r="P19" i="51"/>
  <c r="Q19" i="51"/>
  <c r="V19" i="51"/>
  <c r="W19" i="51"/>
  <c r="X19" i="51"/>
  <c r="Y19" i="51"/>
  <c r="Z19" i="51"/>
  <c r="AA19" i="51"/>
  <c r="AB19" i="51"/>
  <c r="AC19" i="51"/>
  <c r="AD19" i="51"/>
  <c r="AE19" i="51"/>
  <c r="AF19" i="51"/>
  <c r="AG19" i="51"/>
  <c r="D20" i="51"/>
  <c r="O20" i="51"/>
  <c r="P20" i="51"/>
  <c r="Q20" i="51"/>
  <c r="V20" i="51"/>
  <c r="W20" i="51"/>
  <c r="X20" i="51"/>
  <c r="Y20" i="51"/>
  <c r="Z20" i="51"/>
  <c r="AA20" i="51"/>
  <c r="AB20" i="51"/>
  <c r="AC20" i="51"/>
  <c r="AD20" i="51"/>
  <c r="AE20" i="51"/>
  <c r="AF20" i="51"/>
  <c r="AG20" i="51"/>
  <c r="D21" i="51"/>
  <c r="O21" i="51"/>
  <c r="P21" i="51"/>
  <c r="Q21" i="51"/>
  <c r="V21" i="51"/>
  <c r="W21" i="51"/>
  <c r="X21" i="51"/>
  <c r="Y21" i="51"/>
  <c r="Z21" i="51"/>
  <c r="AA21" i="51"/>
  <c r="AB21" i="51"/>
  <c r="AC21" i="51"/>
  <c r="AD21" i="51"/>
  <c r="AE21" i="51"/>
  <c r="AF21" i="51"/>
  <c r="AG21" i="51"/>
  <c r="D22" i="51"/>
  <c r="O22" i="51"/>
  <c r="P22" i="51"/>
  <c r="Q22" i="51"/>
  <c r="V22" i="51"/>
  <c r="W22" i="51"/>
  <c r="X22" i="51"/>
  <c r="Y22" i="51"/>
  <c r="Z22" i="51"/>
  <c r="AA22" i="51"/>
  <c r="AB22" i="51"/>
  <c r="AC22" i="51"/>
  <c r="AD22" i="51"/>
  <c r="AE22" i="51"/>
  <c r="AF22" i="51"/>
  <c r="AG22" i="51"/>
  <c r="M57" i="52"/>
  <c r="I57" i="52"/>
  <c r="N57" i="52"/>
  <c r="S57" i="52"/>
  <c r="S56" i="52" s="1"/>
  <c r="M56" i="52"/>
  <c r="I56" i="52"/>
  <c r="N56" i="52"/>
  <c r="M55" i="52"/>
  <c r="I55" i="52"/>
  <c r="N55" i="52"/>
  <c r="M54" i="52"/>
  <c r="I54" i="52"/>
  <c r="N54" i="52"/>
  <c r="M53" i="52"/>
  <c r="I53" i="52"/>
  <c r="N53" i="52"/>
  <c r="M52" i="52"/>
  <c r="I52" i="52"/>
  <c r="N52" i="52"/>
  <c r="M51" i="52"/>
  <c r="I51" i="52"/>
  <c r="N51" i="52"/>
  <c r="M50" i="52"/>
  <c r="I50" i="52"/>
  <c r="N50" i="52"/>
  <c r="M49" i="52"/>
  <c r="I49" i="52"/>
  <c r="N49" i="52"/>
  <c r="M48" i="52"/>
  <c r="I48" i="52"/>
  <c r="N48" i="52"/>
  <c r="M47" i="52"/>
  <c r="I47" i="52"/>
  <c r="N47" i="52"/>
  <c r="M46" i="52"/>
  <c r="I46" i="52"/>
  <c r="N46" i="52"/>
  <c r="M45" i="52"/>
  <c r="I45" i="52"/>
  <c r="N45" i="52"/>
  <c r="M44" i="52"/>
  <c r="I44" i="52"/>
  <c r="N44" i="52"/>
  <c r="M43" i="52"/>
  <c r="I43" i="52"/>
  <c r="N43" i="52"/>
  <c r="M42" i="52"/>
  <c r="I42" i="52"/>
  <c r="N42" i="52"/>
  <c r="M41" i="52"/>
  <c r="I41" i="52"/>
  <c r="N41" i="52"/>
  <c r="M40" i="52"/>
  <c r="I40" i="52"/>
  <c r="N40" i="52"/>
  <c r="M39" i="52"/>
  <c r="I39" i="52"/>
  <c r="N39" i="52"/>
  <c r="M38" i="52"/>
  <c r="I38" i="52"/>
  <c r="N38" i="52"/>
  <c r="M37" i="52"/>
  <c r="I37" i="52"/>
  <c r="N37" i="52"/>
  <c r="M36" i="52"/>
  <c r="I36" i="52"/>
  <c r="N36" i="52"/>
  <c r="M35" i="52"/>
  <c r="I35" i="52"/>
  <c r="N35" i="52"/>
  <c r="M34" i="52"/>
  <c r="I34" i="52"/>
  <c r="N34" i="52"/>
  <c r="M33" i="52"/>
  <c r="I33" i="52"/>
  <c r="N33" i="52"/>
  <c r="M32" i="52"/>
  <c r="I32" i="52"/>
  <c r="N32" i="52"/>
  <c r="M31" i="52"/>
  <c r="I31" i="52"/>
  <c r="N31" i="52"/>
  <c r="M30" i="52"/>
  <c r="I30" i="52"/>
  <c r="N30" i="52"/>
  <c r="M29" i="52"/>
  <c r="I29" i="52"/>
  <c r="N29" i="52"/>
  <c r="M28" i="52"/>
  <c r="I28" i="52"/>
  <c r="N28" i="52"/>
  <c r="M27" i="52"/>
  <c r="I27" i="52"/>
  <c r="N27" i="52"/>
  <c r="M26" i="52"/>
  <c r="I26" i="52"/>
  <c r="N26" i="52"/>
  <c r="M25" i="52"/>
  <c r="I25" i="52"/>
  <c r="N25" i="52"/>
  <c r="M24" i="52"/>
  <c r="I24" i="52"/>
  <c r="N24" i="52"/>
  <c r="M23" i="52"/>
  <c r="I23" i="52"/>
  <c r="N23" i="52"/>
  <c r="M22" i="52"/>
  <c r="I22" i="52"/>
  <c r="N22" i="52"/>
  <c r="M21" i="52"/>
  <c r="I21" i="52"/>
  <c r="N21" i="52"/>
  <c r="M20" i="52"/>
  <c r="I20" i="52"/>
  <c r="N20" i="52"/>
  <c r="M19" i="52"/>
  <c r="I19" i="52"/>
  <c r="N19" i="52"/>
  <c r="M18" i="52"/>
  <c r="I18" i="52"/>
  <c r="N18" i="52"/>
  <c r="M17" i="52"/>
  <c r="I17" i="52"/>
  <c r="N17" i="52"/>
  <c r="R57" i="52"/>
  <c r="T57" i="52" s="1"/>
  <c r="D17" i="52"/>
  <c r="O17" i="52"/>
  <c r="P17" i="52"/>
  <c r="Q17" i="52"/>
  <c r="V17" i="52"/>
  <c r="W17" i="52"/>
  <c r="X17" i="52"/>
  <c r="Y17" i="52"/>
  <c r="Z17" i="52"/>
  <c r="AA17" i="52"/>
  <c r="AB17" i="52"/>
  <c r="AC17" i="52"/>
  <c r="AD17" i="52"/>
  <c r="AE17" i="52"/>
  <c r="AF17" i="52"/>
  <c r="AG17" i="52"/>
  <c r="D18" i="52"/>
  <c r="O18" i="52"/>
  <c r="P18" i="52"/>
  <c r="Q18" i="52"/>
  <c r="V18" i="52"/>
  <c r="W18" i="52"/>
  <c r="X18" i="52"/>
  <c r="Y18" i="52"/>
  <c r="Z18" i="52"/>
  <c r="AA18" i="52"/>
  <c r="AB18" i="52"/>
  <c r="AC18" i="52"/>
  <c r="AD18" i="52"/>
  <c r="AE18" i="52"/>
  <c r="AF18" i="52"/>
  <c r="AG18" i="52"/>
  <c r="D19" i="52"/>
  <c r="O19" i="52"/>
  <c r="P19" i="52"/>
  <c r="Q19" i="52"/>
  <c r="V19" i="52"/>
  <c r="W19" i="52"/>
  <c r="X19" i="52"/>
  <c r="Y19" i="52"/>
  <c r="Z19" i="52"/>
  <c r="AA19" i="52"/>
  <c r="AB19" i="52"/>
  <c r="AC19" i="52"/>
  <c r="AD19" i="52"/>
  <c r="AE19" i="52"/>
  <c r="AF19" i="52"/>
  <c r="AG19" i="52"/>
  <c r="D20" i="52"/>
  <c r="O20" i="52"/>
  <c r="P20" i="52"/>
  <c r="Q20" i="52"/>
  <c r="V20" i="52"/>
  <c r="W20" i="52"/>
  <c r="X20" i="52"/>
  <c r="Y20" i="52"/>
  <c r="Z20" i="52"/>
  <c r="AA20" i="52"/>
  <c r="AB20" i="52"/>
  <c r="AC20" i="52"/>
  <c r="AD20" i="52"/>
  <c r="AE20" i="52"/>
  <c r="AF20" i="52"/>
  <c r="AG20" i="52"/>
  <c r="D21" i="52"/>
  <c r="O21" i="52"/>
  <c r="P21" i="52"/>
  <c r="Q21" i="52"/>
  <c r="V21" i="52"/>
  <c r="W21" i="52"/>
  <c r="X21" i="52"/>
  <c r="Y21" i="52"/>
  <c r="Z21" i="52"/>
  <c r="AA21" i="52"/>
  <c r="AB21" i="52"/>
  <c r="AC21" i="52"/>
  <c r="AD21" i="52"/>
  <c r="AE21" i="52"/>
  <c r="AF21" i="52"/>
  <c r="AG21" i="52"/>
  <c r="D22" i="52"/>
  <c r="O22" i="52"/>
  <c r="P22" i="52"/>
  <c r="Q22" i="52"/>
  <c r="V22" i="52"/>
  <c r="W22" i="52"/>
  <c r="X22" i="52"/>
  <c r="Y22" i="52"/>
  <c r="Z22" i="52"/>
  <c r="AA22" i="52"/>
  <c r="AB22" i="52"/>
  <c r="AC22" i="52"/>
  <c r="AD22" i="52"/>
  <c r="AE22" i="52"/>
  <c r="AF22" i="52"/>
  <c r="AG22" i="52"/>
  <c r="D23" i="52"/>
  <c r="O23" i="52"/>
  <c r="P23" i="52"/>
  <c r="Q23" i="52"/>
  <c r="V23" i="52"/>
  <c r="W23" i="52"/>
  <c r="X23" i="52"/>
  <c r="Y23" i="52"/>
  <c r="Z23" i="52"/>
  <c r="AA23" i="52"/>
  <c r="AB23" i="52"/>
  <c r="AC23" i="52"/>
  <c r="AD23" i="52"/>
  <c r="AE23" i="52"/>
  <c r="AF23" i="52"/>
  <c r="AG23" i="52"/>
  <c r="D24" i="52"/>
  <c r="O24" i="52"/>
  <c r="P24" i="52"/>
  <c r="Q24" i="52"/>
  <c r="V24" i="52"/>
  <c r="W24" i="52"/>
  <c r="X24" i="52"/>
  <c r="Y24" i="52"/>
  <c r="Z24" i="52"/>
  <c r="AA24" i="52"/>
  <c r="AB24" i="52"/>
  <c r="AC24" i="52"/>
  <c r="AD24" i="52"/>
  <c r="AE24" i="52"/>
  <c r="AF24" i="52"/>
  <c r="AG24" i="52"/>
  <c r="D25" i="52"/>
  <c r="O25" i="52"/>
  <c r="P25" i="52"/>
  <c r="Q25" i="52"/>
  <c r="V25" i="52"/>
  <c r="W25" i="52"/>
  <c r="X25" i="52"/>
  <c r="Y25" i="52"/>
  <c r="Z25" i="52"/>
  <c r="AA25" i="52"/>
  <c r="AB25" i="52"/>
  <c r="AC25" i="52"/>
  <c r="AD25" i="52"/>
  <c r="AE25" i="52"/>
  <c r="AF25" i="52"/>
  <c r="AG25" i="52"/>
  <c r="D26" i="52"/>
  <c r="O26" i="52"/>
  <c r="P26" i="52"/>
  <c r="Q26" i="52"/>
  <c r="V26" i="52"/>
  <c r="W26" i="52"/>
  <c r="X26" i="52"/>
  <c r="Y26" i="52"/>
  <c r="Z26" i="52"/>
  <c r="AA26" i="52"/>
  <c r="AB26" i="52"/>
  <c r="AC26" i="52"/>
  <c r="AD26" i="52"/>
  <c r="AE26" i="52"/>
  <c r="AF26" i="52"/>
  <c r="AG26" i="52"/>
  <c r="D27" i="52"/>
  <c r="O27" i="52"/>
  <c r="P27" i="52"/>
  <c r="Q27" i="52"/>
  <c r="V27" i="52"/>
  <c r="W27" i="52"/>
  <c r="X27" i="52"/>
  <c r="Y27" i="52"/>
  <c r="Z27" i="52"/>
  <c r="AA27" i="52"/>
  <c r="AB27" i="52"/>
  <c r="AC27" i="52"/>
  <c r="AD27" i="52"/>
  <c r="AE27" i="52"/>
  <c r="AF27" i="52"/>
  <c r="AG27" i="52"/>
  <c r="D28" i="52"/>
  <c r="O28" i="52"/>
  <c r="P28" i="52"/>
  <c r="Q28" i="52"/>
  <c r="V28" i="52"/>
  <c r="W28" i="52"/>
  <c r="X28" i="52"/>
  <c r="Y28" i="52"/>
  <c r="Z28" i="52"/>
  <c r="AA28" i="52"/>
  <c r="AB28" i="52"/>
  <c r="AC28" i="52"/>
  <c r="AD28" i="52"/>
  <c r="AE28" i="52"/>
  <c r="AF28" i="52"/>
  <c r="AG28" i="52"/>
  <c r="D29" i="52"/>
  <c r="O29" i="52"/>
  <c r="P29" i="52"/>
  <c r="Q29" i="52"/>
  <c r="V29" i="52"/>
  <c r="W29" i="52"/>
  <c r="X29" i="52"/>
  <c r="Y29" i="52"/>
  <c r="Z29" i="52"/>
  <c r="AA29" i="52"/>
  <c r="AB29" i="52"/>
  <c r="AC29" i="52"/>
  <c r="AD29" i="52"/>
  <c r="AE29" i="52"/>
  <c r="AF29" i="52"/>
  <c r="AG29" i="52"/>
  <c r="D30" i="52"/>
  <c r="O30" i="52"/>
  <c r="P30" i="52"/>
  <c r="Q30" i="52"/>
  <c r="V30" i="52"/>
  <c r="W30" i="52"/>
  <c r="X30" i="52"/>
  <c r="Y30" i="52"/>
  <c r="Z30" i="52"/>
  <c r="AA30" i="52"/>
  <c r="AB30" i="52"/>
  <c r="AC30" i="52"/>
  <c r="AD30" i="52"/>
  <c r="AE30" i="52"/>
  <c r="AF30" i="52"/>
  <c r="AG30" i="52"/>
  <c r="D31" i="52"/>
  <c r="O31" i="52"/>
  <c r="P31" i="52"/>
  <c r="Q31" i="52"/>
  <c r="V31" i="52"/>
  <c r="W31" i="52"/>
  <c r="X31" i="52"/>
  <c r="Y31" i="52"/>
  <c r="Z31" i="52"/>
  <c r="AA31" i="52"/>
  <c r="AB31" i="52"/>
  <c r="AC31" i="52"/>
  <c r="AD31" i="52"/>
  <c r="AE31" i="52"/>
  <c r="AF31" i="52"/>
  <c r="AG31" i="52"/>
  <c r="D32" i="52"/>
  <c r="O32" i="52"/>
  <c r="P32" i="52"/>
  <c r="Q32" i="52"/>
  <c r="V32" i="52"/>
  <c r="W32" i="52"/>
  <c r="X32" i="52"/>
  <c r="Y32" i="52"/>
  <c r="Z32" i="52"/>
  <c r="AA32" i="52"/>
  <c r="AB32" i="52"/>
  <c r="AC32" i="52"/>
  <c r="AD32" i="52"/>
  <c r="AE32" i="52"/>
  <c r="AF32" i="52"/>
  <c r="AG32" i="52"/>
  <c r="D33" i="52"/>
  <c r="O33" i="52"/>
  <c r="P33" i="52"/>
  <c r="Q33" i="52"/>
  <c r="V33" i="52"/>
  <c r="W33" i="52"/>
  <c r="X33" i="52"/>
  <c r="Y33" i="52"/>
  <c r="Z33" i="52"/>
  <c r="AA33" i="52"/>
  <c r="AB33" i="52"/>
  <c r="AC33" i="52"/>
  <c r="AD33" i="52"/>
  <c r="AE33" i="52"/>
  <c r="AF33" i="52"/>
  <c r="AG33" i="52"/>
  <c r="D34" i="52"/>
  <c r="O34" i="52"/>
  <c r="P34" i="52"/>
  <c r="Q34" i="52"/>
  <c r="V34" i="52"/>
  <c r="W34" i="52"/>
  <c r="X34" i="52"/>
  <c r="Y34" i="52"/>
  <c r="Z34" i="52"/>
  <c r="AA34" i="52"/>
  <c r="AB34" i="52"/>
  <c r="AC34" i="52"/>
  <c r="AD34" i="52"/>
  <c r="AE34" i="52"/>
  <c r="AF34" i="52"/>
  <c r="AG34" i="52"/>
  <c r="D35" i="52"/>
  <c r="O35" i="52"/>
  <c r="P35" i="52"/>
  <c r="Q35" i="52"/>
  <c r="V35" i="52"/>
  <c r="W35" i="52"/>
  <c r="X35" i="52"/>
  <c r="Y35" i="52"/>
  <c r="Z35" i="52"/>
  <c r="AA35" i="52"/>
  <c r="AB35" i="52"/>
  <c r="AC35" i="52"/>
  <c r="AD35" i="52"/>
  <c r="AE35" i="52"/>
  <c r="AF35" i="52"/>
  <c r="AG35" i="52"/>
  <c r="D36" i="52"/>
  <c r="O36" i="52"/>
  <c r="P36" i="52"/>
  <c r="Q36" i="52"/>
  <c r="V36" i="52"/>
  <c r="W36" i="52"/>
  <c r="X36" i="52"/>
  <c r="Y36" i="52"/>
  <c r="Z36" i="52"/>
  <c r="AA36" i="52"/>
  <c r="AB36" i="52"/>
  <c r="AC36" i="52"/>
  <c r="AD36" i="52"/>
  <c r="AE36" i="52"/>
  <c r="AF36" i="52"/>
  <c r="AG36" i="52"/>
  <c r="D37" i="52"/>
  <c r="O37" i="52"/>
  <c r="P37" i="52"/>
  <c r="Q37" i="52"/>
  <c r="V37" i="52"/>
  <c r="W37" i="52"/>
  <c r="X37" i="52"/>
  <c r="Y37" i="52"/>
  <c r="Z37" i="52"/>
  <c r="AA37" i="52"/>
  <c r="AB37" i="52"/>
  <c r="AC37" i="52"/>
  <c r="AD37" i="52"/>
  <c r="AE37" i="52"/>
  <c r="AF37" i="52"/>
  <c r="AG37" i="52"/>
  <c r="D38" i="52"/>
  <c r="O38" i="52"/>
  <c r="P38" i="52"/>
  <c r="Q38" i="52"/>
  <c r="V38" i="52"/>
  <c r="W38" i="52"/>
  <c r="X38" i="52"/>
  <c r="Y38" i="52"/>
  <c r="Z38" i="52"/>
  <c r="AA38" i="52"/>
  <c r="AB38" i="52"/>
  <c r="AC38" i="52"/>
  <c r="AD38" i="52"/>
  <c r="AE38" i="52"/>
  <c r="AF38" i="52"/>
  <c r="AG38" i="52"/>
  <c r="D39" i="52"/>
  <c r="O39" i="52"/>
  <c r="P39" i="52"/>
  <c r="Q39" i="52"/>
  <c r="V39" i="52"/>
  <c r="W39" i="52"/>
  <c r="X39" i="52"/>
  <c r="Y39" i="52"/>
  <c r="Z39" i="52"/>
  <c r="AA39" i="52"/>
  <c r="AB39" i="52"/>
  <c r="AC39" i="52"/>
  <c r="AD39" i="52"/>
  <c r="AE39" i="52"/>
  <c r="AF39" i="52"/>
  <c r="AG39" i="52"/>
  <c r="D40" i="52"/>
  <c r="O40" i="52"/>
  <c r="P40" i="52"/>
  <c r="Q40" i="52"/>
  <c r="V40" i="52"/>
  <c r="W40" i="52"/>
  <c r="X40" i="52"/>
  <c r="Y40" i="52"/>
  <c r="Z40" i="52"/>
  <c r="AA40" i="52"/>
  <c r="AB40" i="52"/>
  <c r="AC40" i="52"/>
  <c r="AD40" i="52"/>
  <c r="AE40" i="52"/>
  <c r="AF40" i="52"/>
  <c r="AG40" i="52"/>
  <c r="D41" i="52"/>
  <c r="O41" i="52"/>
  <c r="P41" i="52"/>
  <c r="Q41" i="52"/>
  <c r="V41" i="52"/>
  <c r="W41" i="52"/>
  <c r="X41" i="52"/>
  <c r="Y41" i="52"/>
  <c r="Z41" i="52"/>
  <c r="AA41" i="52"/>
  <c r="AB41" i="52"/>
  <c r="AC41" i="52"/>
  <c r="AD41" i="52"/>
  <c r="AE41" i="52"/>
  <c r="AF41" i="52"/>
  <c r="AG41" i="52"/>
  <c r="D42" i="52"/>
  <c r="O42" i="52"/>
  <c r="P42" i="52"/>
  <c r="Q42" i="52"/>
  <c r="V42" i="52"/>
  <c r="W42" i="52"/>
  <c r="X42" i="52"/>
  <c r="Y42" i="52"/>
  <c r="Z42" i="52"/>
  <c r="AA42" i="52"/>
  <c r="AB42" i="52"/>
  <c r="AC42" i="52"/>
  <c r="AD42" i="52"/>
  <c r="AE42" i="52"/>
  <c r="AF42" i="52"/>
  <c r="AG42" i="52"/>
  <c r="D43" i="52"/>
  <c r="O43" i="52"/>
  <c r="P43" i="52"/>
  <c r="Q43" i="52"/>
  <c r="V43" i="52"/>
  <c r="W43" i="52"/>
  <c r="X43" i="52"/>
  <c r="Y43" i="52"/>
  <c r="Z43" i="52"/>
  <c r="AA43" i="52"/>
  <c r="AB43" i="52"/>
  <c r="AC43" i="52"/>
  <c r="AD43" i="52"/>
  <c r="AE43" i="52"/>
  <c r="AF43" i="52"/>
  <c r="AG43" i="52"/>
  <c r="D44" i="52"/>
  <c r="O44" i="52"/>
  <c r="P44" i="52"/>
  <c r="Q44" i="52"/>
  <c r="V44" i="52"/>
  <c r="W44" i="52"/>
  <c r="X44" i="52"/>
  <c r="Y44" i="52"/>
  <c r="Z44" i="52"/>
  <c r="AA44" i="52"/>
  <c r="AB44" i="52"/>
  <c r="AC44" i="52"/>
  <c r="AD44" i="52"/>
  <c r="AE44" i="52"/>
  <c r="AF44" i="52"/>
  <c r="AG44" i="52"/>
  <c r="D45" i="52"/>
  <c r="O45" i="52"/>
  <c r="P45" i="52"/>
  <c r="Q45" i="52"/>
  <c r="V45" i="52"/>
  <c r="W45" i="52"/>
  <c r="X45" i="52"/>
  <c r="Y45" i="52"/>
  <c r="Z45" i="52"/>
  <c r="AA45" i="52"/>
  <c r="AB45" i="52"/>
  <c r="AC45" i="52"/>
  <c r="AD45" i="52"/>
  <c r="AE45" i="52"/>
  <c r="AF45" i="52"/>
  <c r="AG45" i="52"/>
  <c r="D46" i="52"/>
  <c r="O46" i="52"/>
  <c r="P46" i="52"/>
  <c r="Q46" i="52"/>
  <c r="V46" i="52"/>
  <c r="W46" i="52"/>
  <c r="X46" i="52"/>
  <c r="Y46" i="52"/>
  <c r="Z46" i="52"/>
  <c r="AA46" i="52"/>
  <c r="AB46" i="52"/>
  <c r="AC46" i="52"/>
  <c r="AD46" i="52"/>
  <c r="AE46" i="52"/>
  <c r="AF46" i="52"/>
  <c r="AG46" i="52"/>
  <c r="D47" i="52"/>
  <c r="O47" i="52"/>
  <c r="P47" i="52"/>
  <c r="Q47" i="52"/>
  <c r="V47" i="52"/>
  <c r="W47" i="52"/>
  <c r="X47" i="52"/>
  <c r="Y47" i="52"/>
  <c r="Z47" i="52"/>
  <c r="AA47" i="52"/>
  <c r="AB47" i="52"/>
  <c r="AC47" i="52"/>
  <c r="AD47" i="52"/>
  <c r="AE47" i="52"/>
  <c r="AF47" i="52"/>
  <c r="AG47" i="52"/>
  <c r="D48" i="52"/>
  <c r="O48" i="52"/>
  <c r="P48" i="52"/>
  <c r="Q48" i="52"/>
  <c r="V48" i="52"/>
  <c r="W48" i="52"/>
  <c r="X48" i="52"/>
  <c r="Y48" i="52"/>
  <c r="Z48" i="52"/>
  <c r="AA48" i="52"/>
  <c r="AB48" i="52"/>
  <c r="AC48" i="52"/>
  <c r="AD48" i="52"/>
  <c r="AE48" i="52"/>
  <c r="AF48" i="52"/>
  <c r="AG48" i="52"/>
  <c r="D49" i="52"/>
  <c r="O49" i="52"/>
  <c r="P49" i="52"/>
  <c r="Q49" i="52"/>
  <c r="V49" i="52"/>
  <c r="W49" i="52"/>
  <c r="X49" i="52"/>
  <c r="Y49" i="52"/>
  <c r="Z49" i="52"/>
  <c r="AA49" i="52"/>
  <c r="AB49" i="52"/>
  <c r="AC49" i="52"/>
  <c r="AD49" i="52"/>
  <c r="AE49" i="52"/>
  <c r="AF49" i="52"/>
  <c r="AG49" i="52"/>
  <c r="D50" i="52"/>
  <c r="O50" i="52"/>
  <c r="P50" i="52"/>
  <c r="Q50" i="52"/>
  <c r="V50" i="52"/>
  <c r="W50" i="52"/>
  <c r="X50" i="52"/>
  <c r="Y50" i="52"/>
  <c r="Z50" i="52"/>
  <c r="AA50" i="52"/>
  <c r="AB50" i="52"/>
  <c r="AC50" i="52"/>
  <c r="AD50" i="52"/>
  <c r="AE50" i="52"/>
  <c r="AF50" i="52"/>
  <c r="AG50" i="52"/>
  <c r="D51" i="52"/>
  <c r="O51" i="52"/>
  <c r="P51" i="52"/>
  <c r="Q51" i="52"/>
  <c r="V51" i="52"/>
  <c r="W51" i="52"/>
  <c r="X51" i="52"/>
  <c r="Y51" i="52"/>
  <c r="Z51" i="52"/>
  <c r="AA51" i="52"/>
  <c r="AB51" i="52"/>
  <c r="AC51" i="52"/>
  <c r="AD51" i="52"/>
  <c r="AE51" i="52"/>
  <c r="AF51" i="52"/>
  <c r="AG51" i="52"/>
  <c r="D52" i="52"/>
  <c r="O52" i="52"/>
  <c r="P52" i="52"/>
  <c r="Q52" i="52"/>
  <c r="V52" i="52"/>
  <c r="W52" i="52"/>
  <c r="X52" i="52"/>
  <c r="Y52" i="52"/>
  <c r="Z52" i="52"/>
  <c r="AA52" i="52"/>
  <c r="AB52" i="52"/>
  <c r="AC52" i="52"/>
  <c r="AD52" i="52"/>
  <c r="AE52" i="52"/>
  <c r="AF52" i="52"/>
  <c r="AG52" i="52"/>
  <c r="D53" i="52"/>
  <c r="O53" i="52"/>
  <c r="P53" i="52"/>
  <c r="Q53" i="52"/>
  <c r="V53" i="52"/>
  <c r="W53" i="52"/>
  <c r="X53" i="52"/>
  <c r="Y53" i="52"/>
  <c r="Z53" i="52"/>
  <c r="AA53" i="52"/>
  <c r="AB53" i="52"/>
  <c r="AC53" i="52"/>
  <c r="AD53" i="52"/>
  <c r="AE53" i="52"/>
  <c r="AF53" i="52"/>
  <c r="AG53" i="52"/>
  <c r="D54" i="52"/>
  <c r="O54" i="52"/>
  <c r="P54" i="52"/>
  <c r="Q54" i="52"/>
  <c r="V54" i="52"/>
  <c r="W54" i="52"/>
  <c r="X54" i="52"/>
  <c r="Y54" i="52"/>
  <c r="Z54" i="52"/>
  <c r="AA54" i="52"/>
  <c r="AB54" i="52"/>
  <c r="AC54" i="52"/>
  <c r="AD54" i="52"/>
  <c r="AE54" i="52"/>
  <c r="AF54" i="52"/>
  <c r="AG54" i="52"/>
  <c r="D55" i="52"/>
  <c r="O55" i="52"/>
  <c r="P55" i="52"/>
  <c r="Q55" i="52"/>
  <c r="V55" i="52"/>
  <c r="W55" i="52"/>
  <c r="X55" i="52"/>
  <c r="Y55" i="52"/>
  <c r="Z55" i="52"/>
  <c r="AA55" i="52"/>
  <c r="AB55" i="52"/>
  <c r="AC55" i="52"/>
  <c r="AD55" i="52"/>
  <c r="AE55" i="52"/>
  <c r="AF55" i="52"/>
  <c r="AG55" i="52"/>
  <c r="D56" i="52"/>
  <c r="O56" i="52"/>
  <c r="P56" i="52"/>
  <c r="Q56" i="52"/>
  <c r="V56" i="52"/>
  <c r="W56" i="52"/>
  <c r="X56" i="52"/>
  <c r="Y56" i="52"/>
  <c r="Z56" i="52"/>
  <c r="AA56" i="52"/>
  <c r="AB56" i="52"/>
  <c r="AC56" i="52"/>
  <c r="AD56" i="52"/>
  <c r="AE56" i="52"/>
  <c r="AF56" i="52"/>
  <c r="AG56" i="52"/>
  <c r="D57" i="52"/>
  <c r="O57" i="52"/>
  <c r="P57" i="52"/>
  <c r="Q57" i="52"/>
  <c r="V57" i="52"/>
  <c r="W57" i="52"/>
  <c r="X57" i="52"/>
  <c r="Y57" i="52"/>
  <c r="Z57" i="52"/>
  <c r="AA57" i="52"/>
  <c r="AB57" i="52"/>
  <c r="AC57" i="52"/>
  <c r="AD57" i="52"/>
  <c r="AE57" i="52"/>
  <c r="AF57" i="52"/>
  <c r="AG57" i="52"/>
  <c r="M31" i="42"/>
  <c r="I31" i="42"/>
  <c r="N31" i="42"/>
  <c r="S31" i="42"/>
  <c r="S30" i="42" s="1"/>
  <c r="M30" i="42"/>
  <c r="I30" i="42"/>
  <c r="N30" i="42"/>
  <c r="M29" i="42"/>
  <c r="I29" i="42"/>
  <c r="N29" i="42"/>
  <c r="M28" i="42"/>
  <c r="I28" i="42"/>
  <c r="N28" i="42"/>
  <c r="M27" i="42"/>
  <c r="I27" i="42"/>
  <c r="N27" i="42"/>
  <c r="M26" i="42"/>
  <c r="I26" i="42"/>
  <c r="N26" i="42"/>
  <c r="M25" i="42"/>
  <c r="I25" i="42"/>
  <c r="N25" i="42"/>
  <c r="M24" i="42"/>
  <c r="I24" i="42"/>
  <c r="N24" i="42"/>
  <c r="M23" i="42"/>
  <c r="I23" i="42"/>
  <c r="N23" i="42"/>
  <c r="M22" i="42"/>
  <c r="I22" i="42"/>
  <c r="N22" i="42"/>
  <c r="M21" i="42"/>
  <c r="I21" i="42"/>
  <c r="N21" i="42"/>
  <c r="M20" i="42"/>
  <c r="I20" i="42"/>
  <c r="N20" i="42"/>
  <c r="M19" i="42"/>
  <c r="I19" i="42"/>
  <c r="N19" i="42"/>
  <c r="M18" i="42"/>
  <c r="I18" i="42"/>
  <c r="N18" i="42"/>
  <c r="M17" i="42"/>
  <c r="I17" i="42"/>
  <c r="N17" i="42"/>
  <c r="R31" i="42"/>
  <c r="R30" i="42" s="1"/>
  <c r="D17" i="42"/>
  <c r="O17" i="42"/>
  <c r="P17" i="42"/>
  <c r="Q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D18" i="42"/>
  <c r="O18" i="42"/>
  <c r="P18" i="42"/>
  <c r="Q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D19" i="42"/>
  <c r="O19" i="42"/>
  <c r="P19" i="42"/>
  <c r="Q19" i="42"/>
  <c r="V19" i="42"/>
  <c r="W19" i="42"/>
  <c r="X19" i="42"/>
  <c r="Y19" i="42"/>
  <c r="Z19" i="42"/>
  <c r="AA19" i="42"/>
  <c r="AB19" i="42"/>
  <c r="AC19" i="42"/>
  <c r="AD19" i="42"/>
  <c r="AE19" i="42"/>
  <c r="AF19" i="42"/>
  <c r="AG19" i="42"/>
  <c r="D20" i="42"/>
  <c r="O20" i="42"/>
  <c r="P20" i="42"/>
  <c r="Q20" i="42"/>
  <c r="V20" i="42"/>
  <c r="W20" i="42"/>
  <c r="X20" i="42"/>
  <c r="Y20" i="42"/>
  <c r="Z20" i="42"/>
  <c r="AA20" i="42"/>
  <c r="AB20" i="42"/>
  <c r="AC20" i="42"/>
  <c r="AD20" i="42"/>
  <c r="AE20" i="42"/>
  <c r="AF20" i="42"/>
  <c r="AG20" i="42"/>
  <c r="D21" i="42"/>
  <c r="O21" i="42"/>
  <c r="P21" i="42"/>
  <c r="Q21" i="42"/>
  <c r="V21" i="42"/>
  <c r="W21" i="42"/>
  <c r="X21" i="42"/>
  <c r="Y21" i="42"/>
  <c r="Z21" i="42"/>
  <c r="AA21" i="42"/>
  <c r="AB21" i="42"/>
  <c r="AC21" i="42"/>
  <c r="AD21" i="42"/>
  <c r="AE21" i="42"/>
  <c r="AF21" i="42"/>
  <c r="AG21" i="42"/>
  <c r="D22" i="42"/>
  <c r="O22" i="42"/>
  <c r="P22" i="42"/>
  <c r="Q22" i="42"/>
  <c r="V22" i="42"/>
  <c r="W22" i="42"/>
  <c r="X22" i="42"/>
  <c r="Y22" i="42"/>
  <c r="Z22" i="42"/>
  <c r="AA22" i="42"/>
  <c r="AB22" i="42"/>
  <c r="AC22" i="42"/>
  <c r="AD22" i="42"/>
  <c r="AE22" i="42"/>
  <c r="AF22" i="42"/>
  <c r="AG22" i="42"/>
  <c r="D23" i="42"/>
  <c r="O23" i="42"/>
  <c r="P23" i="42"/>
  <c r="Q23" i="42"/>
  <c r="V23" i="42"/>
  <c r="W23" i="42"/>
  <c r="X23" i="42"/>
  <c r="Y23" i="42"/>
  <c r="Z23" i="42"/>
  <c r="AA23" i="42"/>
  <c r="AB23" i="42"/>
  <c r="AC23" i="42"/>
  <c r="AD23" i="42"/>
  <c r="AE23" i="42"/>
  <c r="AF23" i="42"/>
  <c r="AG23" i="42"/>
  <c r="D24" i="42"/>
  <c r="O24" i="42"/>
  <c r="P24" i="42"/>
  <c r="Q24" i="42"/>
  <c r="V24" i="42"/>
  <c r="W24" i="42"/>
  <c r="X24" i="42"/>
  <c r="Y24" i="42"/>
  <c r="Z24" i="42"/>
  <c r="AA24" i="42"/>
  <c r="AB24" i="42"/>
  <c r="AC24" i="42"/>
  <c r="AD24" i="42"/>
  <c r="AE24" i="42"/>
  <c r="AF24" i="42"/>
  <c r="AG24" i="42"/>
  <c r="D25" i="42"/>
  <c r="O25" i="42"/>
  <c r="P25" i="42"/>
  <c r="Q25" i="42"/>
  <c r="V25" i="42"/>
  <c r="W25" i="42"/>
  <c r="X25" i="42"/>
  <c r="Y25" i="42"/>
  <c r="Z25" i="42"/>
  <c r="AA25" i="42"/>
  <c r="AB25" i="42"/>
  <c r="AC25" i="42"/>
  <c r="AD25" i="42"/>
  <c r="AE25" i="42"/>
  <c r="AF25" i="42"/>
  <c r="AG25" i="42"/>
  <c r="D26" i="42"/>
  <c r="O26" i="42"/>
  <c r="P26" i="42"/>
  <c r="Q26" i="42"/>
  <c r="V26" i="42"/>
  <c r="W26" i="42"/>
  <c r="X26" i="42"/>
  <c r="Y26" i="42"/>
  <c r="Z26" i="42"/>
  <c r="AA26" i="42"/>
  <c r="AB26" i="42"/>
  <c r="AC26" i="42"/>
  <c r="AD26" i="42"/>
  <c r="AE26" i="42"/>
  <c r="AF26" i="42"/>
  <c r="AG26" i="42"/>
  <c r="D27" i="42"/>
  <c r="O27" i="42"/>
  <c r="P27" i="42"/>
  <c r="Q27" i="42"/>
  <c r="V27" i="42"/>
  <c r="W27" i="42"/>
  <c r="X27" i="42"/>
  <c r="Y27" i="42"/>
  <c r="Z27" i="42"/>
  <c r="AA27" i="42"/>
  <c r="AB27" i="42"/>
  <c r="AC27" i="42"/>
  <c r="AD27" i="42"/>
  <c r="AE27" i="42"/>
  <c r="AF27" i="42"/>
  <c r="AG27" i="42"/>
  <c r="D28" i="42"/>
  <c r="O28" i="42"/>
  <c r="P28" i="42"/>
  <c r="Q28" i="42"/>
  <c r="V28" i="42"/>
  <c r="W28" i="42"/>
  <c r="X28" i="42"/>
  <c r="Y28" i="42"/>
  <c r="Z28" i="42"/>
  <c r="AA28" i="42"/>
  <c r="AB28" i="42"/>
  <c r="AC28" i="42"/>
  <c r="AD28" i="42"/>
  <c r="AE28" i="42"/>
  <c r="AF28" i="42"/>
  <c r="AG28" i="42"/>
  <c r="D29" i="42"/>
  <c r="O29" i="42"/>
  <c r="P29" i="42"/>
  <c r="Q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D30" i="42"/>
  <c r="O30" i="42"/>
  <c r="P30" i="42"/>
  <c r="Q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D31" i="42"/>
  <c r="O31" i="42"/>
  <c r="P31" i="42"/>
  <c r="Q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M30" i="53"/>
  <c r="I30" i="53"/>
  <c r="N30" i="53"/>
  <c r="S30" i="53"/>
  <c r="S29" i="53" s="1"/>
  <c r="M29" i="53"/>
  <c r="I29" i="53"/>
  <c r="N29" i="53"/>
  <c r="M28" i="53"/>
  <c r="I28" i="53"/>
  <c r="N28" i="53"/>
  <c r="M27" i="53"/>
  <c r="I27" i="53"/>
  <c r="N27" i="53"/>
  <c r="M26" i="53"/>
  <c r="I26" i="53"/>
  <c r="N26" i="53"/>
  <c r="M25" i="53"/>
  <c r="I25" i="53"/>
  <c r="N25" i="53"/>
  <c r="M24" i="53"/>
  <c r="I24" i="53"/>
  <c r="N24" i="53"/>
  <c r="M23" i="53"/>
  <c r="I23" i="53"/>
  <c r="N23" i="53"/>
  <c r="M22" i="53"/>
  <c r="I22" i="53"/>
  <c r="N22" i="53"/>
  <c r="M21" i="53"/>
  <c r="I21" i="53"/>
  <c r="N21" i="53"/>
  <c r="M20" i="53"/>
  <c r="I20" i="53"/>
  <c r="N20" i="53"/>
  <c r="M19" i="53"/>
  <c r="I19" i="53"/>
  <c r="N19" i="53"/>
  <c r="M18" i="53"/>
  <c r="I18" i="53"/>
  <c r="N18" i="53"/>
  <c r="M17" i="53"/>
  <c r="I17" i="53"/>
  <c r="N17" i="53"/>
  <c r="R30" i="53"/>
  <c r="T30" i="53" s="1"/>
  <c r="D17" i="53"/>
  <c r="O17" i="53"/>
  <c r="P17" i="53"/>
  <c r="Q17" i="53"/>
  <c r="V17" i="53"/>
  <c r="W17" i="53"/>
  <c r="X17" i="53"/>
  <c r="Y17" i="53"/>
  <c r="Z17" i="53"/>
  <c r="AA17" i="53"/>
  <c r="AB17" i="53"/>
  <c r="AC17" i="53"/>
  <c r="AD17" i="53"/>
  <c r="AE17" i="53"/>
  <c r="AF17" i="53"/>
  <c r="AG17" i="53"/>
  <c r="D18" i="53"/>
  <c r="O18" i="53"/>
  <c r="P18" i="53"/>
  <c r="Q18" i="53"/>
  <c r="V18" i="53"/>
  <c r="W18" i="53"/>
  <c r="X18" i="53"/>
  <c r="Y18" i="53"/>
  <c r="Z18" i="53"/>
  <c r="AA18" i="53"/>
  <c r="AB18" i="53"/>
  <c r="AC18" i="53"/>
  <c r="AD18" i="53"/>
  <c r="AE18" i="53"/>
  <c r="AF18" i="53"/>
  <c r="AG18" i="53"/>
  <c r="D19" i="53"/>
  <c r="O19" i="53"/>
  <c r="P19" i="53"/>
  <c r="Q19" i="53"/>
  <c r="V19" i="53"/>
  <c r="W19" i="53"/>
  <c r="X19" i="53"/>
  <c r="Y19" i="53"/>
  <c r="Z19" i="53"/>
  <c r="AA19" i="53"/>
  <c r="AB19" i="53"/>
  <c r="AC19" i="53"/>
  <c r="AD19" i="53"/>
  <c r="AE19" i="53"/>
  <c r="AF19" i="53"/>
  <c r="AG19" i="53"/>
  <c r="D20" i="53"/>
  <c r="O20" i="53"/>
  <c r="P20" i="53"/>
  <c r="Q20" i="53"/>
  <c r="V20" i="53"/>
  <c r="W20" i="53"/>
  <c r="X20" i="53"/>
  <c r="Y20" i="53"/>
  <c r="Z20" i="53"/>
  <c r="AA20" i="53"/>
  <c r="AB20" i="53"/>
  <c r="AC20" i="53"/>
  <c r="AD20" i="53"/>
  <c r="AE20" i="53"/>
  <c r="AF20" i="53"/>
  <c r="AG20" i="53"/>
  <c r="D21" i="53"/>
  <c r="O21" i="53"/>
  <c r="P21" i="53"/>
  <c r="Q21" i="53"/>
  <c r="V21" i="53"/>
  <c r="W21" i="53"/>
  <c r="X21" i="53"/>
  <c r="Y21" i="53"/>
  <c r="Z21" i="53"/>
  <c r="AA21" i="53"/>
  <c r="AB21" i="53"/>
  <c r="AC21" i="53"/>
  <c r="AD21" i="53"/>
  <c r="AE21" i="53"/>
  <c r="AF21" i="53"/>
  <c r="AG21" i="53"/>
  <c r="D22" i="53"/>
  <c r="O22" i="53"/>
  <c r="P22" i="53"/>
  <c r="Q22" i="53"/>
  <c r="V22" i="53"/>
  <c r="W22" i="53"/>
  <c r="X22" i="53"/>
  <c r="Y22" i="53"/>
  <c r="Z22" i="53"/>
  <c r="AA22" i="53"/>
  <c r="AB22" i="53"/>
  <c r="AC22" i="53"/>
  <c r="AD22" i="53"/>
  <c r="AE22" i="53"/>
  <c r="AF22" i="53"/>
  <c r="AG22" i="53"/>
  <c r="D23" i="53"/>
  <c r="O23" i="53"/>
  <c r="P23" i="53"/>
  <c r="Q23" i="53"/>
  <c r="V23" i="53"/>
  <c r="W23" i="53"/>
  <c r="X23" i="53"/>
  <c r="Y23" i="53"/>
  <c r="Z23" i="53"/>
  <c r="AA23" i="53"/>
  <c r="AB23" i="53"/>
  <c r="AC23" i="53"/>
  <c r="AD23" i="53"/>
  <c r="AE23" i="53"/>
  <c r="AF23" i="53"/>
  <c r="AG23" i="53"/>
  <c r="D24" i="53"/>
  <c r="O24" i="53"/>
  <c r="P24" i="53"/>
  <c r="Q24" i="53"/>
  <c r="V24" i="53"/>
  <c r="W24" i="53"/>
  <c r="X24" i="53"/>
  <c r="Y24" i="53"/>
  <c r="Z24" i="53"/>
  <c r="AA24" i="53"/>
  <c r="AB24" i="53"/>
  <c r="AC24" i="53"/>
  <c r="AD24" i="53"/>
  <c r="AE24" i="53"/>
  <c r="AF24" i="53"/>
  <c r="AG24" i="53"/>
  <c r="D25" i="53"/>
  <c r="O25" i="53"/>
  <c r="P25" i="53"/>
  <c r="Q25" i="53"/>
  <c r="V25" i="53"/>
  <c r="W25" i="53"/>
  <c r="X25" i="53"/>
  <c r="Y25" i="53"/>
  <c r="Z25" i="53"/>
  <c r="AA25" i="53"/>
  <c r="AB25" i="53"/>
  <c r="AC25" i="53"/>
  <c r="AD25" i="53"/>
  <c r="AE25" i="53"/>
  <c r="AF25" i="53"/>
  <c r="AG25" i="53"/>
  <c r="D26" i="53"/>
  <c r="O26" i="53"/>
  <c r="P26" i="53"/>
  <c r="Q26" i="53"/>
  <c r="V26" i="53"/>
  <c r="W26" i="53"/>
  <c r="X26" i="53"/>
  <c r="Y26" i="53"/>
  <c r="Z26" i="53"/>
  <c r="AA26" i="53"/>
  <c r="AB26" i="53"/>
  <c r="AC26" i="53"/>
  <c r="AD26" i="53"/>
  <c r="AE26" i="53"/>
  <c r="AF26" i="53"/>
  <c r="AG26" i="53"/>
  <c r="D27" i="53"/>
  <c r="O27" i="53"/>
  <c r="P27" i="53"/>
  <c r="Q27" i="53"/>
  <c r="V27" i="53"/>
  <c r="W27" i="53"/>
  <c r="X27" i="53"/>
  <c r="Y27" i="53"/>
  <c r="Z27" i="53"/>
  <c r="AA27" i="53"/>
  <c r="AB27" i="53"/>
  <c r="AC27" i="53"/>
  <c r="AD27" i="53"/>
  <c r="AE27" i="53"/>
  <c r="AF27" i="53"/>
  <c r="AG27" i="53"/>
  <c r="D28" i="53"/>
  <c r="O28" i="53"/>
  <c r="P28" i="53"/>
  <c r="Q28" i="53"/>
  <c r="V28" i="53"/>
  <c r="W28" i="53"/>
  <c r="X28" i="53"/>
  <c r="Y28" i="53"/>
  <c r="Z28" i="53"/>
  <c r="AA28" i="53"/>
  <c r="AB28" i="53"/>
  <c r="AC28" i="53"/>
  <c r="AD28" i="53"/>
  <c r="AE28" i="53"/>
  <c r="AF28" i="53"/>
  <c r="AG28" i="53"/>
  <c r="D29" i="53"/>
  <c r="O29" i="53"/>
  <c r="P29" i="53"/>
  <c r="Q29" i="53"/>
  <c r="V29" i="53"/>
  <c r="W29" i="53"/>
  <c r="X29" i="53"/>
  <c r="Y29" i="53"/>
  <c r="Z29" i="53"/>
  <c r="AA29" i="53"/>
  <c r="AB29" i="53"/>
  <c r="AC29" i="53"/>
  <c r="AD29" i="53"/>
  <c r="AE29" i="53"/>
  <c r="AF29" i="53"/>
  <c r="AG29" i="53"/>
  <c r="D30" i="53"/>
  <c r="O30" i="53"/>
  <c r="P30" i="53"/>
  <c r="Q30" i="53"/>
  <c r="V30" i="53"/>
  <c r="W30" i="53"/>
  <c r="X30" i="53"/>
  <c r="Y30" i="53"/>
  <c r="Z30" i="53"/>
  <c r="AA30" i="53"/>
  <c r="AB30" i="53"/>
  <c r="AC30" i="53"/>
  <c r="AD30" i="53"/>
  <c r="AE30" i="53"/>
  <c r="AF30" i="53"/>
  <c r="AG30" i="53"/>
  <c r="M33" i="43"/>
  <c r="I33" i="43"/>
  <c r="N33" i="43"/>
  <c r="S33" i="43"/>
  <c r="S32" i="43" s="1"/>
  <c r="M32" i="43"/>
  <c r="I32" i="43"/>
  <c r="N32" i="43"/>
  <c r="M31" i="43"/>
  <c r="I31" i="43"/>
  <c r="N31" i="43"/>
  <c r="M30" i="43"/>
  <c r="I30" i="43"/>
  <c r="N30" i="43"/>
  <c r="M29" i="43"/>
  <c r="I29" i="43"/>
  <c r="N29" i="43"/>
  <c r="M28" i="43"/>
  <c r="I28" i="43"/>
  <c r="N28" i="43"/>
  <c r="M27" i="43"/>
  <c r="I27" i="43"/>
  <c r="N27" i="43"/>
  <c r="M26" i="43"/>
  <c r="I26" i="43"/>
  <c r="N26" i="43"/>
  <c r="M25" i="43"/>
  <c r="I25" i="43"/>
  <c r="N25" i="43"/>
  <c r="M24" i="43"/>
  <c r="I24" i="43"/>
  <c r="N24" i="43"/>
  <c r="M23" i="43"/>
  <c r="I23" i="43"/>
  <c r="N23" i="43"/>
  <c r="M22" i="43"/>
  <c r="I22" i="43"/>
  <c r="N22" i="43"/>
  <c r="M21" i="43"/>
  <c r="I21" i="43"/>
  <c r="N21" i="43"/>
  <c r="M20" i="43"/>
  <c r="I20" i="43"/>
  <c r="N20" i="43"/>
  <c r="M19" i="43"/>
  <c r="I19" i="43"/>
  <c r="N19" i="43"/>
  <c r="M18" i="43"/>
  <c r="I18" i="43"/>
  <c r="N18" i="43"/>
  <c r="M17" i="43"/>
  <c r="I17" i="43"/>
  <c r="N17" i="43"/>
  <c r="R33" i="43"/>
  <c r="R32" i="43" s="1"/>
  <c r="T33" i="43"/>
  <c r="T32" i="43" s="1"/>
  <c r="D17" i="43"/>
  <c r="O17" i="43"/>
  <c r="P17" i="43"/>
  <c r="Q17" i="43"/>
  <c r="V17" i="43"/>
  <c r="W17" i="43"/>
  <c r="X17" i="43"/>
  <c r="Y17" i="43"/>
  <c r="Z17" i="43"/>
  <c r="AA17" i="43"/>
  <c r="AB17" i="43"/>
  <c r="AC17" i="43"/>
  <c r="AD17" i="43"/>
  <c r="AE17" i="43"/>
  <c r="AF17" i="43"/>
  <c r="AG17" i="43"/>
  <c r="D18" i="43"/>
  <c r="O18" i="43"/>
  <c r="P18" i="43"/>
  <c r="Q18" i="43"/>
  <c r="V18" i="43"/>
  <c r="W18" i="43"/>
  <c r="X18" i="43"/>
  <c r="Y18" i="43"/>
  <c r="Z18" i="43"/>
  <c r="AA18" i="43"/>
  <c r="AB18" i="43"/>
  <c r="AC18" i="43"/>
  <c r="AD18" i="43"/>
  <c r="AE18" i="43"/>
  <c r="AF18" i="43"/>
  <c r="AG18" i="43"/>
  <c r="D19" i="43"/>
  <c r="O19" i="43"/>
  <c r="P19" i="43"/>
  <c r="Q19" i="43"/>
  <c r="V19" i="43"/>
  <c r="W19" i="43"/>
  <c r="X19" i="43"/>
  <c r="Y19" i="43"/>
  <c r="Z19" i="43"/>
  <c r="AA19" i="43"/>
  <c r="AB19" i="43"/>
  <c r="AC19" i="43"/>
  <c r="AD19" i="43"/>
  <c r="AE19" i="43"/>
  <c r="AF19" i="43"/>
  <c r="AG19" i="43"/>
  <c r="D20" i="43"/>
  <c r="O20" i="43"/>
  <c r="P20" i="43"/>
  <c r="Q20" i="43"/>
  <c r="V20" i="43"/>
  <c r="W20" i="43"/>
  <c r="X20" i="43"/>
  <c r="Y20" i="43"/>
  <c r="Z20" i="43"/>
  <c r="AA20" i="43"/>
  <c r="AB20" i="43"/>
  <c r="AC20" i="43"/>
  <c r="AD20" i="43"/>
  <c r="AE20" i="43"/>
  <c r="AF20" i="43"/>
  <c r="AG20" i="43"/>
  <c r="D21" i="43"/>
  <c r="O21" i="43"/>
  <c r="P21" i="43"/>
  <c r="Q21" i="43"/>
  <c r="V21" i="43"/>
  <c r="W21" i="43"/>
  <c r="X21" i="43"/>
  <c r="Y21" i="43"/>
  <c r="Z21" i="43"/>
  <c r="AA21" i="43"/>
  <c r="AB21" i="43"/>
  <c r="AC21" i="43"/>
  <c r="AD21" i="43"/>
  <c r="AE21" i="43"/>
  <c r="AF21" i="43"/>
  <c r="AG21" i="43"/>
  <c r="D22" i="43"/>
  <c r="O22" i="43"/>
  <c r="P22" i="43"/>
  <c r="Q22" i="43"/>
  <c r="V22" i="43"/>
  <c r="W22" i="43"/>
  <c r="X22" i="43"/>
  <c r="Y22" i="43"/>
  <c r="Z22" i="43"/>
  <c r="AA22" i="43"/>
  <c r="AB22" i="43"/>
  <c r="AC22" i="43"/>
  <c r="AD22" i="43"/>
  <c r="AE22" i="43"/>
  <c r="AF22" i="43"/>
  <c r="AG22" i="43"/>
  <c r="D23" i="43"/>
  <c r="O23" i="43"/>
  <c r="P23" i="43"/>
  <c r="Q23" i="43"/>
  <c r="V23" i="43"/>
  <c r="W23" i="43"/>
  <c r="X23" i="43"/>
  <c r="Y23" i="43"/>
  <c r="Z23" i="43"/>
  <c r="AA23" i="43"/>
  <c r="AB23" i="43"/>
  <c r="AC23" i="43"/>
  <c r="AD23" i="43"/>
  <c r="AE23" i="43"/>
  <c r="AF23" i="43"/>
  <c r="AG23" i="43"/>
  <c r="D24" i="43"/>
  <c r="O24" i="43"/>
  <c r="P24" i="43"/>
  <c r="Q24" i="43"/>
  <c r="V24" i="43"/>
  <c r="W24" i="43"/>
  <c r="X24" i="43"/>
  <c r="Y24" i="43"/>
  <c r="Z24" i="43"/>
  <c r="AA24" i="43"/>
  <c r="AB24" i="43"/>
  <c r="AC24" i="43"/>
  <c r="AD24" i="43"/>
  <c r="AE24" i="43"/>
  <c r="AF24" i="43"/>
  <c r="AG24" i="43"/>
  <c r="D25" i="43"/>
  <c r="O25" i="43"/>
  <c r="P25" i="43"/>
  <c r="Q25" i="43"/>
  <c r="V25" i="43"/>
  <c r="W25" i="43"/>
  <c r="X25" i="43"/>
  <c r="Y25" i="43"/>
  <c r="Z25" i="43"/>
  <c r="AA25" i="43"/>
  <c r="AB25" i="43"/>
  <c r="AC25" i="43"/>
  <c r="AD25" i="43"/>
  <c r="AE25" i="43"/>
  <c r="AF25" i="43"/>
  <c r="AG25" i="43"/>
  <c r="D26" i="43"/>
  <c r="O26" i="43"/>
  <c r="P26" i="43"/>
  <c r="Q26" i="43"/>
  <c r="V26" i="43"/>
  <c r="W26" i="43"/>
  <c r="X26" i="43"/>
  <c r="Y26" i="43"/>
  <c r="Z26" i="43"/>
  <c r="AA26" i="43"/>
  <c r="AB26" i="43"/>
  <c r="AC26" i="43"/>
  <c r="AD26" i="43"/>
  <c r="AE26" i="43"/>
  <c r="AF26" i="43"/>
  <c r="AG26" i="43"/>
  <c r="D27" i="43"/>
  <c r="O27" i="43"/>
  <c r="P27" i="43"/>
  <c r="Q27" i="43"/>
  <c r="V27" i="43"/>
  <c r="W27" i="43"/>
  <c r="X27" i="43"/>
  <c r="Y27" i="43"/>
  <c r="Z27" i="43"/>
  <c r="AA27" i="43"/>
  <c r="AB27" i="43"/>
  <c r="AC27" i="43"/>
  <c r="AD27" i="43"/>
  <c r="AE27" i="43"/>
  <c r="AF27" i="43"/>
  <c r="AG27" i="43"/>
  <c r="D28" i="43"/>
  <c r="O28" i="43"/>
  <c r="P28" i="43"/>
  <c r="Q28" i="43"/>
  <c r="V28" i="43"/>
  <c r="W28" i="43"/>
  <c r="X28" i="43"/>
  <c r="Y28" i="43"/>
  <c r="Z28" i="43"/>
  <c r="AA28" i="43"/>
  <c r="AB28" i="43"/>
  <c r="AC28" i="43"/>
  <c r="AD28" i="43"/>
  <c r="AE28" i="43"/>
  <c r="AF28" i="43"/>
  <c r="AG28" i="43"/>
  <c r="D29" i="43"/>
  <c r="O29" i="43"/>
  <c r="P29" i="43"/>
  <c r="Q29" i="43"/>
  <c r="V29" i="43"/>
  <c r="W29" i="43"/>
  <c r="X29" i="43"/>
  <c r="Y29" i="43"/>
  <c r="Z29" i="43"/>
  <c r="AA29" i="43"/>
  <c r="AB29" i="43"/>
  <c r="AC29" i="43"/>
  <c r="AD29" i="43"/>
  <c r="AE29" i="43"/>
  <c r="AF29" i="43"/>
  <c r="AG29" i="43"/>
  <c r="D30" i="43"/>
  <c r="O30" i="43"/>
  <c r="P30" i="43"/>
  <c r="Q30" i="43"/>
  <c r="V30" i="43"/>
  <c r="W30" i="43"/>
  <c r="X30" i="43"/>
  <c r="Y30" i="43"/>
  <c r="Z30" i="43"/>
  <c r="AA30" i="43"/>
  <c r="AB30" i="43"/>
  <c r="AC30" i="43"/>
  <c r="AD30" i="43"/>
  <c r="AE30" i="43"/>
  <c r="AF30" i="43"/>
  <c r="AG30" i="43"/>
  <c r="D31" i="43"/>
  <c r="O31" i="43"/>
  <c r="P31" i="43"/>
  <c r="Q31" i="43"/>
  <c r="V31" i="43"/>
  <c r="W31" i="43"/>
  <c r="X31" i="43"/>
  <c r="Y31" i="43"/>
  <c r="Z31" i="43"/>
  <c r="AA31" i="43"/>
  <c r="AB31" i="43"/>
  <c r="AC31" i="43"/>
  <c r="AD31" i="43"/>
  <c r="AE31" i="43"/>
  <c r="AF31" i="43"/>
  <c r="AG31" i="43"/>
  <c r="D32" i="43"/>
  <c r="O32" i="43"/>
  <c r="P32" i="43"/>
  <c r="Q32" i="43"/>
  <c r="V32" i="43"/>
  <c r="W32" i="43"/>
  <c r="X32" i="43"/>
  <c r="Y32" i="43"/>
  <c r="Z32" i="43"/>
  <c r="AA32" i="43"/>
  <c r="AB32" i="43"/>
  <c r="AC32" i="43"/>
  <c r="AD32" i="43"/>
  <c r="AE32" i="43"/>
  <c r="AF32" i="43"/>
  <c r="AG32" i="43"/>
  <c r="D33" i="43"/>
  <c r="O33" i="43"/>
  <c r="P33" i="43"/>
  <c r="Q33" i="43"/>
  <c r="U33" i="43"/>
  <c r="V33" i="43"/>
  <c r="W33" i="43"/>
  <c r="X33" i="43"/>
  <c r="Y33" i="43"/>
  <c r="Z33" i="43"/>
  <c r="AA33" i="43"/>
  <c r="AB33" i="43"/>
  <c r="AC33" i="43"/>
  <c r="AD33" i="43"/>
  <c r="AE33" i="43"/>
  <c r="AF33" i="43"/>
  <c r="AG33" i="43"/>
  <c r="M31" i="54"/>
  <c r="I31" i="54"/>
  <c r="N31" i="54"/>
  <c r="S31" i="54"/>
  <c r="M30" i="54"/>
  <c r="I30" i="54"/>
  <c r="N30" i="54"/>
  <c r="M29" i="54"/>
  <c r="I29" i="54"/>
  <c r="N29" i="54"/>
  <c r="M28" i="54"/>
  <c r="I28" i="54"/>
  <c r="N28" i="54"/>
  <c r="M27" i="54"/>
  <c r="I27" i="54"/>
  <c r="N27" i="54"/>
  <c r="M26" i="54"/>
  <c r="I26" i="54"/>
  <c r="N26" i="54"/>
  <c r="M25" i="54"/>
  <c r="I25" i="54"/>
  <c r="N25" i="54"/>
  <c r="M24" i="54"/>
  <c r="I24" i="54"/>
  <c r="N24" i="54"/>
  <c r="M23" i="54"/>
  <c r="I23" i="54"/>
  <c r="N23" i="54"/>
  <c r="M22" i="54"/>
  <c r="I22" i="54"/>
  <c r="N22" i="54"/>
  <c r="M21" i="54"/>
  <c r="I21" i="54"/>
  <c r="N21" i="54"/>
  <c r="M20" i="54"/>
  <c r="I20" i="54"/>
  <c r="N20" i="54"/>
  <c r="M19" i="54"/>
  <c r="I19" i="54"/>
  <c r="N19" i="54"/>
  <c r="M18" i="54"/>
  <c r="I18" i="54"/>
  <c r="N18" i="54"/>
  <c r="M17" i="54"/>
  <c r="I17" i="54"/>
  <c r="N17" i="54"/>
  <c r="R31" i="54"/>
  <c r="T31" i="54" s="1"/>
  <c r="D17" i="54"/>
  <c r="O17" i="54"/>
  <c r="P17" i="54"/>
  <c r="Q17" i="54"/>
  <c r="V17" i="54"/>
  <c r="W17" i="54"/>
  <c r="X17" i="54"/>
  <c r="Y17" i="54"/>
  <c r="Z17" i="54"/>
  <c r="AA17" i="54"/>
  <c r="AB17" i="54"/>
  <c r="AC17" i="54"/>
  <c r="AD17" i="54"/>
  <c r="AE17" i="54"/>
  <c r="AF17" i="54"/>
  <c r="AG17" i="54"/>
  <c r="D18" i="54"/>
  <c r="O18" i="54"/>
  <c r="P18" i="54"/>
  <c r="Q18" i="54"/>
  <c r="V18" i="54"/>
  <c r="W18" i="54"/>
  <c r="X18" i="54"/>
  <c r="Y18" i="54"/>
  <c r="Z18" i="54"/>
  <c r="AA18" i="54"/>
  <c r="AB18" i="54"/>
  <c r="AC18" i="54"/>
  <c r="AD18" i="54"/>
  <c r="AE18" i="54"/>
  <c r="AF18" i="54"/>
  <c r="AG18" i="54"/>
  <c r="D19" i="54"/>
  <c r="O19" i="54"/>
  <c r="P19" i="54"/>
  <c r="Q19" i="54"/>
  <c r="V19" i="54"/>
  <c r="W19" i="54"/>
  <c r="X19" i="54"/>
  <c r="Y19" i="54"/>
  <c r="Z19" i="54"/>
  <c r="AA19" i="54"/>
  <c r="AB19" i="54"/>
  <c r="AC19" i="54"/>
  <c r="AD19" i="54"/>
  <c r="AE19" i="54"/>
  <c r="AF19" i="54"/>
  <c r="AG19" i="54"/>
  <c r="D20" i="54"/>
  <c r="O20" i="54"/>
  <c r="P20" i="54"/>
  <c r="Q20" i="54"/>
  <c r="V20" i="54"/>
  <c r="W20" i="54"/>
  <c r="X20" i="54"/>
  <c r="Y20" i="54"/>
  <c r="Z20" i="54"/>
  <c r="AA20" i="54"/>
  <c r="AB20" i="54"/>
  <c r="AC20" i="54"/>
  <c r="AD20" i="54"/>
  <c r="AE20" i="54"/>
  <c r="AF20" i="54"/>
  <c r="AG20" i="54"/>
  <c r="D21" i="54"/>
  <c r="O21" i="54"/>
  <c r="P21" i="54"/>
  <c r="Q21" i="54"/>
  <c r="V21" i="54"/>
  <c r="W21" i="54"/>
  <c r="X21" i="54"/>
  <c r="Y21" i="54"/>
  <c r="Z21" i="54"/>
  <c r="AA21" i="54"/>
  <c r="AB21" i="54"/>
  <c r="AC21" i="54"/>
  <c r="AD21" i="54"/>
  <c r="AE21" i="54"/>
  <c r="AF21" i="54"/>
  <c r="AG21" i="54"/>
  <c r="D22" i="54"/>
  <c r="O22" i="54"/>
  <c r="P22" i="54"/>
  <c r="Q22" i="54"/>
  <c r="V22" i="54"/>
  <c r="W22" i="54"/>
  <c r="X22" i="54"/>
  <c r="Y22" i="54"/>
  <c r="Z22" i="54"/>
  <c r="AA22" i="54"/>
  <c r="AB22" i="54"/>
  <c r="AC22" i="54"/>
  <c r="AD22" i="54"/>
  <c r="AE22" i="54"/>
  <c r="AF22" i="54"/>
  <c r="AG22" i="54"/>
  <c r="D23" i="54"/>
  <c r="O23" i="54"/>
  <c r="P23" i="54"/>
  <c r="Q23" i="54"/>
  <c r="V23" i="54"/>
  <c r="W23" i="54"/>
  <c r="X23" i="54"/>
  <c r="Y23" i="54"/>
  <c r="Z23" i="54"/>
  <c r="AA23" i="54"/>
  <c r="AB23" i="54"/>
  <c r="AC23" i="54"/>
  <c r="AD23" i="54"/>
  <c r="AE23" i="54"/>
  <c r="AF23" i="54"/>
  <c r="AG23" i="54"/>
  <c r="D24" i="54"/>
  <c r="O24" i="54"/>
  <c r="P24" i="54"/>
  <c r="Q24" i="54"/>
  <c r="V24" i="54"/>
  <c r="W24" i="54"/>
  <c r="X24" i="54"/>
  <c r="Y24" i="54"/>
  <c r="Z24" i="54"/>
  <c r="AA24" i="54"/>
  <c r="AB24" i="54"/>
  <c r="AC24" i="54"/>
  <c r="AD24" i="54"/>
  <c r="AE24" i="54"/>
  <c r="AF24" i="54"/>
  <c r="AG24" i="54"/>
  <c r="D25" i="54"/>
  <c r="O25" i="54"/>
  <c r="P25" i="54"/>
  <c r="Q25" i="54"/>
  <c r="V25" i="54"/>
  <c r="W25" i="54"/>
  <c r="X25" i="54"/>
  <c r="Y25" i="54"/>
  <c r="Z25" i="54"/>
  <c r="AA25" i="54"/>
  <c r="AB25" i="54"/>
  <c r="AC25" i="54"/>
  <c r="AD25" i="54"/>
  <c r="AE25" i="54"/>
  <c r="AF25" i="54"/>
  <c r="AG25" i="54"/>
  <c r="D26" i="54"/>
  <c r="O26" i="54"/>
  <c r="P26" i="54"/>
  <c r="Q26" i="54"/>
  <c r="V26" i="54"/>
  <c r="W26" i="54"/>
  <c r="X26" i="54"/>
  <c r="Y26" i="54"/>
  <c r="Z26" i="54"/>
  <c r="AA26" i="54"/>
  <c r="AB26" i="54"/>
  <c r="AC26" i="54"/>
  <c r="AD26" i="54"/>
  <c r="AE26" i="54"/>
  <c r="AF26" i="54"/>
  <c r="AG26" i="54"/>
  <c r="D27" i="54"/>
  <c r="O27" i="54"/>
  <c r="P27" i="54"/>
  <c r="Q27" i="54"/>
  <c r="V27" i="54"/>
  <c r="W27" i="54"/>
  <c r="X27" i="54"/>
  <c r="Y27" i="54"/>
  <c r="Z27" i="54"/>
  <c r="AA27" i="54"/>
  <c r="AB27" i="54"/>
  <c r="AC27" i="54"/>
  <c r="AD27" i="54"/>
  <c r="AE27" i="54"/>
  <c r="AF27" i="54"/>
  <c r="AG27" i="54"/>
  <c r="D28" i="54"/>
  <c r="O28" i="54"/>
  <c r="P28" i="54"/>
  <c r="Q28" i="54"/>
  <c r="V28" i="54"/>
  <c r="W28" i="54"/>
  <c r="X28" i="54"/>
  <c r="Y28" i="54"/>
  <c r="Z28" i="54"/>
  <c r="AA28" i="54"/>
  <c r="AB28" i="54"/>
  <c r="AC28" i="54"/>
  <c r="AD28" i="54"/>
  <c r="AE28" i="54"/>
  <c r="AF28" i="54"/>
  <c r="AG28" i="54"/>
  <c r="D29" i="54"/>
  <c r="O29" i="54"/>
  <c r="P29" i="54"/>
  <c r="Q29" i="54"/>
  <c r="V29" i="54"/>
  <c r="W29" i="54"/>
  <c r="X29" i="54"/>
  <c r="Y29" i="54"/>
  <c r="Z29" i="54"/>
  <c r="AA29" i="54"/>
  <c r="AB29" i="54"/>
  <c r="AC29" i="54"/>
  <c r="AD29" i="54"/>
  <c r="AE29" i="54"/>
  <c r="AF29" i="54"/>
  <c r="AG29" i="54"/>
  <c r="D30" i="54"/>
  <c r="O30" i="54"/>
  <c r="P30" i="54"/>
  <c r="Q30" i="54"/>
  <c r="V30" i="54"/>
  <c r="W30" i="54"/>
  <c r="X30" i="54"/>
  <c r="Y30" i="54"/>
  <c r="Z30" i="54"/>
  <c r="AA30" i="54"/>
  <c r="AB30" i="54"/>
  <c r="AC30" i="54"/>
  <c r="AD30" i="54"/>
  <c r="AE30" i="54"/>
  <c r="AF30" i="54"/>
  <c r="AG30" i="54"/>
  <c r="D31" i="54"/>
  <c r="O31" i="54"/>
  <c r="P31" i="54"/>
  <c r="Q31" i="54"/>
  <c r="V31" i="54"/>
  <c r="W31" i="54"/>
  <c r="X31" i="54"/>
  <c r="Y31" i="54"/>
  <c r="Z31" i="54"/>
  <c r="AA31" i="54"/>
  <c r="AB31" i="54"/>
  <c r="AC31" i="54"/>
  <c r="AD31" i="54"/>
  <c r="AE31" i="54"/>
  <c r="AF31" i="54"/>
  <c r="AG31" i="54"/>
  <c r="M37" i="44"/>
  <c r="I37" i="44"/>
  <c r="N37" i="44"/>
  <c r="S37" i="44"/>
  <c r="S36" i="44" s="1"/>
  <c r="M36" i="44"/>
  <c r="I36" i="44"/>
  <c r="N36" i="44"/>
  <c r="M35" i="44"/>
  <c r="I35" i="44"/>
  <c r="N35" i="44"/>
  <c r="M34" i="44"/>
  <c r="I34" i="44"/>
  <c r="N34" i="44"/>
  <c r="M33" i="44"/>
  <c r="I33" i="44"/>
  <c r="N33" i="44"/>
  <c r="M32" i="44"/>
  <c r="I32" i="44"/>
  <c r="N32" i="44"/>
  <c r="M31" i="44"/>
  <c r="I31" i="44"/>
  <c r="N31" i="44"/>
  <c r="M30" i="44"/>
  <c r="I30" i="44"/>
  <c r="N30" i="44"/>
  <c r="M29" i="44"/>
  <c r="I29" i="44"/>
  <c r="N29" i="44"/>
  <c r="M28" i="44"/>
  <c r="I28" i="44"/>
  <c r="N28" i="44"/>
  <c r="M27" i="44"/>
  <c r="I27" i="44"/>
  <c r="N27" i="44"/>
  <c r="M26" i="44"/>
  <c r="I26" i="44"/>
  <c r="N26" i="44"/>
  <c r="M25" i="44"/>
  <c r="I25" i="44"/>
  <c r="N25" i="44"/>
  <c r="M24" i="44"/>
  <c r="I24" i="44"/>
  <c r="N24" i="44"/>
  <c r="M23" i="44"/>
  <c r="I23" i="44"/>
  <c r="N23" i="44"/>
  <c r="M22" i="44"/>
  <c r="I22" i="44"/>
  <c r="N22" i="44"/>
  <c r="M21" i="44"/>
  <c r="I21" i="44"/>
  <c r="N21" i="44"/>
  <c r="M20" i="44"/>
  <c r="I20" i="44"/>
  <c r="N20" i="44"/>
  <c r="M19" i="44"/>
  <c r="I19" i="44"/>
  <c r="N19" i="44"/>
  <c r="M18" i="44"/>
  <c r="I18" i="44"/>
  <c r="N18" i="44"/>
  <c r="M17" i="44"/>
  <c r="I17" i="44"/>
  <c r="N17" i="44"/>
  <c r="R37" i="44"/>
  <c r="R36" i="44" s="1"/>
  <c r="D17" i="44"/>
  <c r="O17" i="44"/>
  <c r="P17" i="44"/>
  <c r="Q17" i="44"/>
  <c r="V17" i="44"/>
  <c r="W17" i="44"/>
  <c r="X17" i="44"/>
  <c r="Y17" i="44"/>
  <c r="Z17" i="44"/>
  <c r="AA17" i="44"/>
  <c r="AB17" i="44"/>
  <c r="AC17" i="44"/>
  <c r="AD17" i="44"/>
  <c r="AE17" i="44"/>
  <c r="AF17" i="44"/>
  <c r="AG17" i="44"/>
  <c r="D18" i="44"/>
  <c r="O18" i="44"/>
  <c r="P18" i="44"/>
  <c r="Q18" i="44"/>
  <c r="V18" i="44"/>
  <c r="W18" i="44"/>
  <c r="X18" i="44"/>
  <c r="Y18" i="44"/>
  <c r="Z18" i="44"/>
  <c r="AA18" i="44"/>
  <c r="AB18" i="44"/>
  <c r="AC18" i="44"/>
  <c r="AD18" i="44"/>
  <c r="AE18" i="44"/>
  <c r="AF18" i="44"/>
  <c r="AG18" i="44"/>
  <c r="D19" i="44"/>
  <c r="O19" i="44"/>
  <c r="P19" i="44"/>
  <c r="Q19" i="44"/>
  <c r="V19" i="44"/>
  <c r="W19" i="44"/>
  <c r="X19" i="44"/>
  <c r="Y19" i="44"/>
  <c r="Z19" i="44"/>
  <c r="AA19" i="44"/>
  <c r="AB19" i="44"/>
  <c r="AC19" i="44"/>
  <c r="AD19" i="44"/>
  <c r="AE19" i="44"/>
  <c r="AF19" i="44"/>
  <c r="AG19" i="44"/>
  <c r="D20" i="44"/>
  <c r="O20" i="44"/>
  <c r="P20" i="44"/>
  <c r="Q20" i="44"/>
  <c r="V20" i="44"/>
  <c r="W20" i="44"/>
  <c r="X20" i="44"/>
  <c r="Y20" i="44"/>
  <c r="Z20" i="44"/>
  <c r="AA20" i="44"/>
  <c r="AB20" i="44"/>
  <c r="AC20" i="44"/>
  <c r="AD20" i="44"/>
  <c r="AE20" i="44"/>
  <c r="AF20" i="44"/>
  <c r="AG20" i="44"/>
  <c r="D21" i="44"/>
  <c r="O21" i="44"/>
  <c r="P21" i="44"/>
  <c r="Q21" i="44"/>
  <c r="V21" i="44"/>
  <c r="W21" i="44"/>
  <c r="X21" i="44"/>
  <c r="Y21" i="44"/>
  <c r="Z21" i="44"/>
  <c r="AA21" i="44"/>
  <c r="AB21" i="44"/>
  <c r="AC21" i="44"/>
  <c r="AD21" i="44"/>
  <c r="AE21" i="44"/>
  <c r="AF21" i="44"/>
  <c r="AG21" i="44"/>
  <c r="D22" i="44"/>
  <c r="O22" i="44"/>
  <c r="P22" i="44"/>
  <c r="Q22" i="44"/>
  <c r="V22" i="44"/>
  <c r="W22" i="44"/>
  <c r="X22" i="44"/>
  <c r="Y22" i="44"/>
  <c r="Z22" i="44"/>
  <c r="AA22" i="44"/>
  <c r="AB22" i="44"/>
  <c r="AC22" i="44"/>
  <c r="AD22" i="44"/>
  <c r="AE22" i="44"/>
  <c r="AF22" i="44"/>
  <c r="AG22" i="44"/>
  <c r="D23" i="44"/>
  <c r="O23" i="44"/>
  <c r="P23" i="44"/>
  <c r="Q23" i="44"/>
  <c r="V23" i="44"/>
  <c r="W23" i="44"/>
  <c r="X23" i="44"/>
  <c r="Y23" i="44"/>
  <c r="Z23" i="44"/>
  <c r="AA23" i="44"/>
  <c r="AB23" i="44"/>
  <c r="AC23" i="44"/>
  <c r="AD23" i="44"/>
  <c r="AE23" i="44"/>
  <c r="AF23" i="44"/>
  <c r="AG23" i="44"/>
  <c r="D24" i="44"/>
  <c r="O24" i="44"/>
  <c r="P24" i="44"/>
  <c r="Q24" i="44"/>
  <c r="V24" i="44"/>
  <c r="W24" i="44"/>
  <c r="X24" i="44"/>
  <c r="Y24" i="44"/>
  <c r="Z24" i="44"/>
  <c r="AA24" i="44"/>
  <c r="AB24" i="44"/>
  <c r="AC24" i="44"/>
  <c r="AD24" i="44"/>
  <c r="AE24" i="44"/>
  <c r="AF24" i="44"/>
  <c r="AG24" i="44"/>
  <c r="D25" i="44"/>
  <c r="O25" i="44"/>
  <c r="P25" i="44"/>
  <c r="Q25" i="44"/>
  <c r="V25" i="44"/>
  <c r="W25" i="44"/>
  <c r="X25" i="44"/>
  <c r="Y25" i="44"/>
  <c r="Z25" i="44"/>
  <c r="AA25" i="44"/>
  <c r="AB25" i="44"/>
  <c r="AC25" i="44"/>
  <c r="AD25" i="44"/>
  <c r="AE25" i="44"/>
  <c r="AF25" i="44"/>
  <c r="AG25" i="44"/>
  <c r="D26" i="44"/>
  <c r="O26" i="44"/>
  <c r="P26" i="44"/>
  <c r="Q26" i="44"/>
  <c r="V26" i="44"/>
  <c r="W26" i="44"/>
  <c r="X26" i="44"/>
  <c r="Y26" i="44"/>
  <c r="Z26" i="44"/>
  <c r="AA26" i="44"/>
  <c r="AB26" i="44"/>
  <c r="AC26" i="44"/>
  <c r="AD26" i="44"/>
  <c r="AE26" i="44"/>
  <c r="AF26" i="44"/>
  <c r="AG26" i="44"/>
  <c r="D27" i="44"/>
  <c r="O27" i="44"/>
  <c r="P27" i="44"/>
  <c r="Q27" i="44"/>
  <c r="V27" i="44"/>
  <c r="W27" i="44"/>
  <c r="X27" i="44"/>
  <c r="Y27" i="44"/>
  <c r="Z27" i="44"/>
  <c r="AA27" i="44"/>
  <c r="AB27" i="44"/>
  <c r="AC27" i="44"/>
  <c r="AD27" i="44"/>
  <c r="AE27" i="44"/>
  <c r="AF27" i="44"/>
  <c r="AG27" i="44"/>
  <c r="D28" i="44"/>
  <c r="O28" i="44"/>
  <c r="P28" i="44"/>
  <c r="Q28" i="44"/>
  <c r="V28" i="44"/>
  <c r="W28" i="44"/>
  <c r="X28" i="44"/>
  <c r="Y28" i="44"/>
  <c r="Z28" i="44"/>
  <c r="AA28" i="44"/>
  <c r="AB28" i="44"/>
  <c r="AC28" i="44"/>
  <c r="AD28" i="44"/>
  <c r="AE28" i="44"/>
  <c r="AF28" i="44"/>
  <c r="AG28" i="44"/>
  <c r="D29" i="44"/>
  <c r="O29" i="44"/>
  <c r="P29" i="44"/>
  <c r="Q29" i="44"/>
  <c r="V29" i="44"/>
  <c r="W29" i="44"/>
  <c r="X29" i="44"/>
  <c r="Y29" i="44"/>
  <c r="Z29" i="44"/>
  <c r="AA29" i="44"/>
  <c r="AB29" i="44"/>
  <c r="AC29" i="44"/>
  <c r="AD29" i="44"/>
  <c r="AE29" i="44"/>
  <c r="AF29" i="44"/>
  <c r="AG29" i="44"/>
  <c r="D30" i="44"/>
  <c r="O30" i="44"/>
  <c r="P30" i="44"/>
  <c r="Q30" i="44"/>
  <c r="V30" i="44"/>
  <c r="W30" i="44"/>
  <c r="X30" i="44"/>
  <c r="Y30" i="44"/>
  <c r="Z30" i="44"/>
  <c r="AA30" i="44"/>
  <c r="AB30" i="44"/>
  <c r="AC30" i="44"/>
  <c r="AD30" i="44"/>
  <c r="AE30" i="44"/>
  <c r="AF30" i="44"/>
  <c r="AG30" i="44"/>
  <c r="D31" i="44"/>
  <c r="O31" i="44"/>
  <c r="P31" i="44"/>
  <c r="Q31" i="44"/>
  <c r="V31" i="44"/>
  <c r="W31" i="44"/>
  <c r="X31" i="44"/>
  <c r="Y31" i="44"/>
  <c r="Z31" i="44"/>
  <c r="AA31" i="44"/>
  <c r="AB31" i="44"/>
  <c r="AC31" i="44"/>
  <c r="AD31" i="44"/>
  <c r="AE31" i="44"/>
  <c r="AF31" i="44"/>
  <c r="AG31" i="44"/>
  <c r="D32" i="44"/>
  <c r="O32" i="44"/>
  <c r="P32" i="44"/>
  <c r="Q32" i="44"/>
  <c r="V32" i="44"/>
  <c r="W32" i="44"/>
  <c r="X32" i="44"/>
  <c r="Y32" i="44"/>
  <c r="Z32" i="44"/>
  <c r="AA32" i="44"/>
  <c r="AB32" i="44"/>
  <c r="AC32" i="44"/>
  <c r="AD32" i="44"/>
  <c r="AE32" i="44"/>
  <c r="AF32" i="44"/>
  <c r="AG32" i="44"/>
  <c r="D33" i="44"/>
  <c r="O33" i="44"/>
  <c r="P33" i="44"/>
  <c r="Q33" i="44"/>
  <c r="V33" i="44"/>
  <c r="W33" i="44"/>
  <c r="X33" i="44"/>
  <c r="Y33" i="44"/>
  <c r="Z33" i="44"/>
  <c r="AA33" i="44"/>
  <c r="AB33" i="44"/>
  <c r="AC33" i="44"/>
  <c r="AD33" i="44"/>
  <c r="AE33" i="44"/>
  <c r="AF33" i="44"/>
  <c r="AG33" i="44"/>
  <c r="D34" i="44"/>
  <c r="O34" i="44"/>
  <c r="P34" i="44"/>
  <c r="Q34" i="44"/>
  <c r="V34" i="44"/>
  <c r="W34" i="44"/>
  <c r="X34" i="44"/>
  <c r="Y34" i="44"/>
  <c r="Z34" i="44"/>
  <c r="AA34" i="44"/>
  <c r="AB34" i="44"/>
  <c r="AC34" i="44"/>
  <c r="AD34" i="44"/>
  <c r="AE34" i="44"/>
  <c r="AF34" i="44"/>
  <c r="AG34" i="44"/>
  <c r="D35" i="44"/>
  <c r="O35" i="44"/>
  <c r="P35" i="44"/>
  <c r="Q35" i="44"/>
  <c r="V35" i="44"/>
  <c r="W35" i="44"/>
  <c r="X35" i="44"/>
  <c r="Y35" i="44"/>
  <c r="Z35" i="44"/>
  <c r="AA35" i="44"/>
  <c r="AB35" i="44"/>
  <c r="AC35" i="44"/>
  <c r="AD35" i="44"/>
  <c r="AE35" i="44"/>
  <c r="AF35" i="44"/>
  <c r="AG35" i="44"/>
  <c r="D36" i="44"/>
  <c r="O36" i="44"/>
  <c r="P36" i="44"/>
  <c r="Q36" i="44"/>
  <c r="V36" i="44"/>
  <c r="W36" i="44"/>
  <c r="X36" i="44"/>
  <c r="Y36" i="44"/>
  <c r="Z36" i="44"/>
  <c r="AA36" i="44"/>
  <c r="AB36" i="44"/>
  <c r="AC36" i="44"/>
  <c r="AD36" i="44"/>
  <c r="AE36" i="44"/>
  <c r="AF36" i="44"/>
  <c r="AG36" i="44"/>
  <c r="D37" i="44"/>
  <c r="O37" i="44"/>
  <c r="P37" i="44"/>
  <c r="Q37" i="44"/>
  <c r="V37" i="44"/>
  <c r="W37" i="44"/>
  <c r="X37" i="44"/>
  <c r="Y37" i="44"/>
  <c r="Z37" i="44"/>
  <c r="AA37" i="44"/>
  <c r="AB37" i="44"/>
  <c r="AC37" i="44"/>
  <c r="AD37" i="44"/>
  <c r="AE37" i="44"/>
  <c r="AF37" i="44"/>
  <c r="AG37" i="44"/>
  <c r="M35" i="56"/>
  <c r="I35" i="56"/>
  <c r="N35" i="56"/>
  <c r="S35" i="56"/>
  <c r="S34" i="56" s="1"/>
  <c r="M34" i="56"/>
  <c r="I34" i="56"/>
  <c r="N34" i="56"/>
  <c r="M33" i="56"/>
  <c r="I33" i="56"/>
  <c r="N33" i="56"/>
  <c r="M32" i="56"/>
  <c r="I32" i="56"/>
  <c r="N32" i="56"/>
  <c r="M31" i="56"/>
  <c r="I31" i="56"/>
  <c r="N31" i="56"/>
  <c r="M30" i="56"/>
  <c r="I30" i="56"/>
  <c r="N30" i="56"/>
  <c r="M29" i="56"/>
  <c r="I29" i="56"/>
  <c r="N29" i="56"/>
  <c r="M28" i="56"/>
  <c r="I28" i="56"/>
  <c r="N28" i="56"/>
  <c r="M27" i="56"/>
  <c r="I27" i="56"/>
  <c r="N27" i="56"/>
  <c r="M26" i="56"/>
  <c r="I26" i="56"/>
  <c r="N26" i="56"/>
  <c r="M25" i="56"/>
  <c r="I25" i="56"/>
  <c r="N25" i="56"/>
  <c r="M24" i="56"/>
  <c r="I24" i="56"/>
  <c r="N24" i="56"/>
  <c r="M23" i="56"/>
  <c r="I23" i="56"/>
  <c r="N23" i="56"/>
  <c r="M22" i="56"/>
  <c r="I22" i="56"/>
  <c r="N22" i="56"/>
  <c r="M21" i="56"/>
  <c r="I21" i="56"/>
  <c r="N21" i="56"/>
  <c r="M20" i="56"/>
  <c r="I20" i="56"/>
  <c r="N20" i="56"/>
  <c r="M19" i="56"/>
  <c r="I19" i="56"/>
  <c r="N19" i="56"/>
  <c r="M18" i="56"/>
  <c r="I18" i="56"/>
  <c r="N18" i="56"/>
  <c r="M17" i="56"/>
  <c r="I17" i="56"/>
  <c r="N17" i="56"/>
  <c r="R35" i="56"/>
  <c r="R34" i="56" s="1"/>
  <c r="D17" i="56"/>
  <c r="O17" i="56"/>
  <c r="P17" i="56"/>
  <c r="Q17" i="56"/>
  <c r="V17" i="56"/>
  <c r="W17" i="56"/>
  <c r="X17" i="56"/>
  <c r="Y17" i="56"/>
  <c r="Z17" i="56"/>
  <c r="AA17" i="56"/>
  <c r="AB17" i="56"/>
  <c r="AC17" i="56"/>
  <c r="AD17" i="56"/>
  <c r="AE17" i="56"/>
  <c r="AF17" i="56"/>
  <c r="AG17" i="56"/>
  <c r="D18" i="56"/>
  <c r="O18" i="56"/>
  <c r="P18" i="56"/>
  <c r="Q18" i="56"/>
  <c r="V18" i="56"/>
  <c r="W18" i="56"/>
  <c r="X18" i="56"/>
  <c r="Y18" i="56"/>
  <c r="Z18" i="56"/>
  <c r="AA18" i="56"/>
  <c r="AB18" i="56"/>
  <c r="AC18" i="56"/>
  <c r="AD18" i="56"/>
  <c r="AE18" i="56"/>
  <c r="AF18" i="56"/>
  <c r="AG18" i="56"/>
  <c r="D19" i="56"/>
  <c r="O19" i="56"/>
  <c r="P19" i="56"/>
  <c r="Q19" i="56"/>
  <c r="V19" i="56"/>
  <c r="W19" i="56"/>
  <c r="X19" i="56"/>
  <c r="Y19" i="56"/>
  <c r="Z19" i="56"/>
  <c r="AA19" i="56"/>
  <c r="AB19" i="56"/>
  <c r="AC19" i="56"/>
  <c r="AD19" i="56"/>
  <c r="AE19" i="56"/>
  <c r="AF19" i="56"/>
  <c r="AG19" i="56"/>
  <c r="D20" i="56"/>
  <c r="O20" i="56"/>
  <c r="P20" i="56"/>
  <c r="Q20" i="56"/>
  <c r="V20" i="56"/>
  <c r="W20" i="56"/>
  <c r="X20" i="56"/>
  <c r="Y20" i="56"/>
  <c r="Z20" i="56"/>
  <c r="AA20" i="56"/>
  <c r="AB20" i="56"/>
  <c r="AC20" i="56"/>
  <c r="AD20" i="56"/>
  <c r="AE20" i="56"/>
  <c r="AF20" i="56"/>
  <c r="AG20" i="56"/>
  <c r="D21" i="56"/>
  <c r="O21" i="56"/>
  <c r="P21" i="56"/>
  <c r="Q21" i="56"/>
  <c r="V21" i="56"/>
  <c r="W21" i="56"/>
  <c r="X21" i="56"/>
  <c r="Y21" i="56"/>
  <c r="Z21" i="56"/>
  <c r="AA21" i="56"/>
  <c r="AB21" i="56"/>
  <c r="AC21" i="56"/>
  <c r="AD21" i="56"/>
  <c r="AE21" i="56"/>
  <c r="AF21" i="56"/>
  <c r="AG21" i="56"/>
  <c r="D22" i="56"/>
  <c r="O22" i="56"/>
  <c r="P22" i="56"/>
  <c r="Q22" i="56"/>
  <c r="V22" i="56"/>
  <c r="W22" i="56"/>
  <c r="X22" i="56"/>
  <c r="Y22" i="56"/>
  <c r="Z22" i="56"/>
  <c r="AA22" i="56"/>
  <c r="AB22" i="56"/>
  <c r="AC22" i="56"/>
  <c r="AD22" i="56"/>
  <c r="AE22" i="56"/>
  <c r="AF22" i="56"/>
  <c r="AG22" i="56"/>
  <c r="D23" i="56"/>
  <c r="O23" i="56"/>
  <c r="P23" i="56"/>
  <c r="Q23" i="56"/>
  <c r="V23" i="56"/>
  <c r="W23" i="56"/>
  <c r="X23" i="56"/>
  <c r="Y23" i="56"/>
  <c r="Z23" i="56"/>
  <c r="AA23" i="56"/>
  <c r="AB23" i="56"/>
  <c r="AC23" i="56"/>
  <c r="AD23" i="56"/>
  <c r="AE23" i="56"/>
  <c r="AF23" i="56"/>
  <c r="AG23" i="56"/>
  <c r="D24" i="56"/>
  <c r="O24" i="56"/>
  <c r="P24" i="56"/>
  <c r="Q24" i="56"/>
  <c r="V24" i="56"/>
  <c r="W24" i="56"/>
  <c r="X24" i="56"/>
  <c r="Y24" i="56"/>
  <c r="Z24" i="56"/>
  <c r="AA24" i="56"/>
  <c r="AB24" i="56"/>
  <c r="AC24" i="56"/>
  <c r="AD24" i="56"/>
  <c r="AE24" i="56"/>
  <c r="AF24" i="56"/>
  <c r="AG24" i="56"/>
  <c r="D25" i="56"/>
  <c r="O25" i="56"/>
  <c r="P25" i="56"/>
  <c r="Q25" i="56"/>
  <c r="V25" i="56"/>
  <c r="W25" i="56"/>
  <c r="X25" i="56"/>
  <c r="Y25" i="56"/>
  <c r="Z25" i="56"/>
  <c r="AA25" i="56"/>
  <c r="AB25" i="56"/>
  <c r="AC25" i="56"/>
  <c r="AD25" i="56"/>
  <c r="AE25" i="56"/>
  <c r="AF25" i="56"/>
  <c r="AG25" i="56"/>
  <c r="D26" i="56"/>
  <c r="O26" i="56"/>
  <c r="P26" i="56"/>
  <c r="Q26" i="56"/>
  <c r="V26" i="56"/>
  <c r="W26" i="56"/>
  <c r="X26" i="56"/>
  <c r="Y26" i="56"/>
  <c r="Z26" i="56"/>
  <c r="AA26" i="56"/>
  <c r="AB26" i="56"/>
  <c r="AC26" i="56"/>
  <c r="AD26" i="56"/>
  <c r="AE26" i="56"/>
  <c r="AF26" i="56"/>
  <c r="AG26" i="56"/>
  <c r="D27" i="56"/>
  <c r="O27" i="56"/>
  <c r="P27" i="56"/>
  <c r="Q27" i="56"/>
  <c r="V27" i="56"/>
  <c r="W27" i="56"/>
  <c r="X27" i="56"/>
  <c r="Y27" i="56"/>
  <c r="Z27" i="56"/>
  <c r="AA27" i="56"/>
  <c r="AB27" i="56"/>
  <c r="AC27" i="56"/>
  <c r="AD27" i="56"/>
  <c r="AE27" i="56"/>
  <c r="AF27" i="56"/>
  <c r="AG27" i="56"/>
  <c r="D28" i="56"/>
  <c r="O28" i="56"/>
  <c r="P28" i="56"/>
  <c r="Q28" i="56"/>
  <c r="V28" i="56"/>
  <c r="W28" i="56"/>
  <c r="X28" i="56"/>
  <c r="Y28" i="56"/>
  <c r="Z28" i="56"/>
  <c r="AA28" i="56"/>
  <c r="AB28" i="56"/>
  <c r="AC28" i="56"/>
  <c r="AD28" i="56"/>
  <c r="AE28" i="56"/>
  <c r="AF28" i="56"/>
  <c r="AG28" i="56"/>
  <c r="D29" i="56"/>
  <c r="O29" i="56"/>
  <c r="P29" i="56"/>
  <c r="Q29" i="56"/>
  <c r="V29" i="56"/>
  <c r="W29" i="56"/>
  <c r="X29" i="56"/>
  <c r="Y29" i="56"/>
  <c r="Z29" i="56"/>
  <c r="AA29" i="56"/>
  <c r="AB29" i="56"/>
  <c r="AC29" i="56"/>
  <c r="AD29" i="56"/>
  <c r="AE29" i="56"/>
  <c r="AF29" i="56"/>
  <c r="AG29" i="56"/>
  <c r="D30" i="56"/>
  <c r="O30" i="56"/>
  <c r="P30" i="56"/>
  <c r="Q30" i="56"/>
  <c r="V30" i="56"/>
  <c r="W30" i="56"/>
  <c r="X30" i="56"/>
  <c r="Y30" i="56"/>
  <c r="Z30" i="56"/>
  <c r="AA30" i="56"/>
  <c r="AB30" i="56"/>
  <c r="AC30" i="56"/>
  <c r="AD30" i="56"/>
  <c r="AE30" i="56"/>
  <c r="AF30" i="56"/>
  <c r="AG30" i="56"/>
  <c r="D31" i="56"/>
  <c r="O31" i="56"/>
  <c r="P31" i="56"/>
  <c r="Q31" i="56"/>
  <c r="V31" i="56"/>
  <c r="W31" i="56"/>
  <c r="X31" i="56"/>
  <c r="Y31" i="56"/>
  <c r="Z31" i="56"/>
  <c r="AA31" i="56"/>
  <c r="AB31" i="56"/>
  <c r="AC31" i="56"/>
  <c r="AD31" i="56"/>
  <c r="AE31" i="56"/>
  <c r="AF31" i="56"/>
  <c r="AG31" i="56"/>
  <c r="D32" i="56"/>
  <c r="O32" i="56"/>
  <c r="P32" i="56"/>
  <c r="Q32" i="56"/>
  <c r="V32" i="56"/>
  <c r="W32" i="56"/>
  <c r="X32" i="56"/>
  <c r="Y32" i="56"/>
  <c r="Z32" i="56"/>
  <c r="AA32" i="56"/>
  <c r="AB32" i="56"/>
  <c r="AC32" i="56"/>
  <c r="AD32" i="56"/>
  <c r="AE32" i="56"/>
  <c r="AF32" i="56"/>
  <c r="AG32" i="56"/>
  <c r="D33" i="56"/>
  <c r="O33" i="56"/>
  <c r="P33" i="56"/>
  <c r="Q33" i="56"/>
  <c r="V33" i="56"/>
  <c r="W33" i="56"/>
  <c r="X33" i="56"/>
  <c r="Y33" i="56"/>
  <c r="Z33" i="56"/>
  <c r="AA33" i="56"/>
  <c r="AB33" i="56"/>
  <c r="AC33" i="56"/>
  <c r="AD33" i="56"/>
  <c r="AE33" i="56"/>
  <c r="AF33" i="56"/>
  <c r="AG33" i="56"/>
  <c r="D34" i="56"/>
  <c r="O34" i="56"/>
  <c r="P34" i="56"/>
  <c r="Q34" i="56"/>
  <c r="V34" i="56"/>
  <c r="W34" i="56"/>
  <c r="X34" i="56"/>
  <c r="Y34" i="56"/>
  <c r="Z34" i="56"/>
  <c r="AA34" i="56"/>
  <c r="AB34" i="56"/>
  <c r="AC34" i="56"/>
  <c r="AD34" i="56"/>
  <c r="AE34" i="56"/>
  <c r="AF34" i="56"/>
  <c r="AG34" i="56"/>
  <c r="D35" i="56"/>
  <c r="O35" i="56"/>
  <c r="P35" i="56"/>
  <c r="Q35" i="56"/>
  <c r="V35" i="56"/>
  <c r="W35" i="56"/>
  <c r="X35" i="56"/>
  <c r="Y35" i="56"/>
  <c r="Z35" i="56"/>
  <c r="AA35" i="56"/>
  <c r="AB35" i="56"/>
  <c r="AC35" i="56"/>
  <c r="AD35" i="56"/>
  <c r="AE35" i="56"/>
  <c r="AF35" i="56"/>
  <c r="AG35" i="56"/>
  <c r="M42" i="45"/>
  <c r="I42" i="45"/>
  <c r="N42" i="45"/>
  <c r="S42" i="45"/>
  <c r="S41" i="45" s="1"/>
  <c r="M41" i="45"/>
  <c r="I41" i="45"/>
  <c r="N41" i="45"/>
  <c r="M40" i="45"/>
  <c r="I40" i="45"/>
  <c r="N40" i="45"/>
  <c r="M39" i="45"/>
  <c r="I39" i="45"/>
  <c r="N39" i="45"/>
  <c r="M38" i="45"/>
  <c r="I38" i="45"/>
  <c r="N38" i="45"/>
  <c r="M37" i="45"/>
  <c r="I37" i="45"/>
  <c r="N37" i="45"/>
  <c r="M36" i="45"/>
  <c r="I36" i="45"/>
  <c r="N36" i="45"/>
  <c r="M35" i="45"/>
  <c r="I35" i="45"/>
  <c r="N35" i="45"/>
  <c r="M34" i="45"/>
  <c r="I34" i="45"/>
  <c r="N34" i="45"/>
  <c r="M33" i="45"/>
  <c r="I33" i="45"/>
  <c r="N33" i="45"/>
  <c r="M32" i="45"/>
  <c r="I32" i="45"/>
  <c r="N32" i="45"/>
  <c r="M31" i="45"/>
  <c r="I31" i="45"/>
  <c r="N31" i="45"/>
  <c r="M30" i="45"/>
  <c r="I30" i="45"/>
  <c r="N30" i="45"/>
  <c r="M29" i="45"/>
  <c r="I29" i="45"/>
  <c r="N29" i="45"/>
  <c r="M28" i="45"/>
  <c r="I28" i="45"/>
  <c r="N28" i="45"/>
  <c r="M27" i="45"/>
  <c r="I27" i="45"/>
  <c r="N27" i="45"/>
  <c r="M26" i="45"/>
  <c r="I26" i="45"/>
  <c r="N26" i="45"/>
  <c r="M25" i="45"/>
  <c r="I25" i="45"/>
  <c r="N25" i="45"/>
  <c r="M24" i="45"/>
  <c r="I24" i="45"/>
  <c r="N24" i="45"/>
  <c r="M23" i="45"/>
  <c r="I23" i="45"/>
  <c r="N23" i="45"/>
  <c r="M22" i="45"/>
  <c r="I22" i="45"/>
  <c r="N22" i="45"/>
  <c r="M21" i="45"/>
  <c r="I21" i="45"/>
  <c r="N21" i="45"/>
  <c r="M20" i="45"/>
  <c r="I20" i="45"/>
  <c r="N20" i="45"/>
  <c r="M19" i="45"/>
  <c r="I19" i="45"/>
  <c r="N19" i="45"/>
  <c r="M18" i="45"/>
  <c r="I18" i="45"/>
  <c r="N18" i="45"/>
  <c r="M17" i="45"/>
  <c r="I17" i="45"/>
  <c r="N17" i="45"/>
  <c r="R42" i="45"/>
  <c r="T42" i="45" s="1"/>
  <c r="U42" i="45" s="1"/>
  <c r="D17" i="45"/>
  <c r="O17" i="45"/>
  <c r="P17" i="45"/>
  <c r="Q17" i="45"/>
  <c r="V17" i="45"/>
  <c r="W17" i="45"/>
  <c r="X17" i="45"/>
  <c r="Y17" i="45"/>
  <c r="Z17" i="45"/>
  <c r="AA17" i="45"/>
  <c r="AB17" i="45"/>
  <c r="AC17" i="45"/>
  <c r="AD17" i="45"/>
  <c r="AE17" i="45"/>
  <c r="AF17" i="45"/>
  <c r="AG17" i="45"/>
  <c r="D18" i="45"/>
  <c r="O18" i="45"/>
  <c r="P18" i="45"/>
  <c r="Q18" i="45"/>
  <c r="V18" i="45"/>
  <c r="W18" i="45"/>
  <c r="X18" i="45"/>
  <c r="Y18" i="45"/>
  <c r="Z18" i="45"/>
  <c r="AA18" i="45"/>
  <c r="AB18" i="45"/>
  <c r="AC18" i="45"/>
  <c r="AD18" i="45"/>
  <c r="AE18" i="45"/>
  <c r="AF18" i="45"/>
  <c r="AG18" i="45"/>
  <c r="D19" i="45"/>
  <c r="O19" i="45"/>
  <c r="P19" i="45"/>
  <c r="Q19" i="45"/>
  <c r="V19" i="45"/>
  <c r="W19" i="45"/>
  <c r="X19" i="45"/>
  <c r="Y19" i="45"/>
  <c r="Z19" i="45"/>
  <c r="AA19" i="45"/>
  <c r="AB19" i="45"/>
  <c r="AC19" i="45"/>
  <c r="AD19" i="45"/>
  <c r="AE19" i="45"/>
  <c r="AF19" i="45"/>
  <c r="AG19" i="45"/>
  <c r="D20" i="45"/>
  <c r="O20" i="45"/>
  <c r="P20" i="45"/>
  <c r="Q20" i="45"/>
  <c r="V20" i="45"/>
  <c r="W20" i="45"/>
  <c r="X20" i="45"/>
  <c r="Y20" i="45"/>
  <c r="Z20" i="45"/>
  <c r="AA20" i="45"/>
  <c r="AB20" i="45"/>
  <c r="AC20" i="45"/>
  <c r="AD20" i="45"/>
  <c r="AE20" i="45"/>
  <c r="AF20" i="45"/>
  <c r="AG20" i="45"/>
  <c r="D21" i="45"/>
  <c r="O21" i="45"/>
  <c r="P21" i="45"/>
  <c r="Q21" i="45"/>
  <c r="V21" i="45"/>
  <c r="W21" i="45"/>
  <c r="X21" i="45"/>
  <c r="Y21" i="45"/>
  <c r="Z21" i="45"/>
  <c r="AA21" i="45"/>
  <c r="AB21" i="45"/>
  <c r="AC21" i="45"/>
  <c r="AD21" i="45"/>
  <c r="AE21" i="45"/>
  <c r="AF21" i="45"/>
  <c r="AG21" i="45"/>
  <c r="D22" i="45"/>
  <c r="O22" i="45"/>
  <c r="P22" i="45"/>
  <c r="Q22" i="45"/>
  <c r="V22" i="45"/>
  <c r="W22" i="45"/>
  <c r="X22" i="45"/>
  <c r="Y22" i="45"/>
  <c r="Z22" i="45"/>
  <c r="AA22" i="45"/>
  <c r="AB22" i="45"/>
  <c r="AC22" i="45"/>
  <c r="AD22" i="45"/>
  <c r="AE22" i="45"/>
  <c r="AF22" i="45"/>
  <c r="AG22" i="45"/>
  <c r="D23" i="45"/>
  <c r="O23" i="45"/>
  <c r="P23" i="45"/>
  <c r="Q23" i="45"/>
  <c r="V23" i="45"/>
  <c r="W23" i="45"/>
  <c r="X23" i="45"/>
  <c r="Y23" i="45"/>
  <c r="Z23" i="45"/>
  <c r="AA23" i="45"/>
  <c r="AB23" i="45"/>
  <c r="AC23" i="45"/>
  <c r="AD23" i="45"/>
  <c r="AE23" i="45"/>
  <c r="AF23" i="45"/>
  <c r="AG23" i="45"/>
  <c r="D24" i="45"/>
  <c r="O24" i="45"/>
  <c r="P24" i="45"/>
  <c r="Q24" i="45"/>
  <c r="V24" i="45"/>
  <c r="W24" i="45"/>
  <c r="X24" i="45"/>
  <c r="Y24" i="45"/>
  <c r="Z24" i="45"/>
  <c r="AA24" i="45"/>
  <c r="AB24" i="45"/>
  <c r="AC24" i="45"/>
  <c r="AD24" i="45"/>
  <c r="AE24" i="45"/>
  <c r="AF24" i="45"/>
  <c r="AG24" i="45"/>
  <c r="D25" i="45"/>
  <c r="O25" i="45"/>
  <c r="P25" i="45"/>
  <c r="Q25" i="45"/>
  <c r="V25" i="45"/>
  <c r="W25" i="45"/>
  <c r="X25" i="45"/>
  <c r="Y25" i="45"/>
  <c r="Z25" i="45"/>
  <c r="AA25" i="45"/>
  <c r="AB25" i="45"/>
  <c r="AC25" i="45"/>
  <c r="AD25" i="45"/>
  <c r="AE25" i="45"/>
  <c r="AF25" i="45"/>
  <c r="AG25" i="45"/>
  <c r="D26" i="45"/>
  <c r="O26" i="45"/>
  <c r="P26" i="45"/>
  <c r="Q26" i="45"/>
  <c r="V26" i="45"/>
  <c r="W26" i="45"/>
  <c r="X26" i="45"/>
  <c r="Y26" i="45"/>
  <c r="Z26" i="45"/>
  <c r="AA26" i="45"/>
  <c r="AB26" i="45"/>
  <c r="AC26" i="45"/>
  <c r="AD26" i="45"/>
  <c r="AE26" i="45"/>
  <c r="AF26" i="45"/>
  <c r="AG26" i="45"/>
  <c r="D27" i="45"/>
  <c r="O27" i="45"/>
  <c r="P27" i="45"/>
  <c r="Q27" i="45"/>
  <c r="V27" i="45"/>
  <c r="W27" i="45"/>
  <c r="X27" i="45"/>
  <c r="Y27" i="45"/>
  <c r="Z27" i="45"/>
  <c r="AA27" i="45"/>
  <c r="AB27" i="45"/>
  <c r="AC27" i="45"/>
  <c r="AD27" i="45"/>
  <c r="AE27" i="45"/>
  <c r="AF27" i="45"/>
  <c r="AG27" i="45"/>
  <c r="D28" i="45"/>
  <c r="O28" i="45"/>
  <c r="P28" i="45"/>
  <c r="Q28" i="45"/>
  <c r="V28" i="45"/>
  <c r="W28" i="45"/>
  <c r="X28" i="45"/>
  <c r="Y28" i="45"/>
  <c r="Z28" i="45"/>
  <c r="AA28" i="45"/>
  <c r="AB28" i="45"/>
  <c r="AC28" i="45"/>
  <c r="AD28" i="45"/>
  <c r="AE28" i="45"/>
  <c r="AF28" i="45"/>
  <c r="AG28" i="45"/>
  <c r="D29" i="45"/>
  <c r="O29" i="45"/>
  <c r="P29" i="45"/>
  <c r="Q29" i="45"/>
  <c r="V29" i="45"/>
  <c r="W29" i="45"/>
  <c r="X29" i="45"/>
  <c r="Y29" i="45"/>
  <c r="Z29" i="45"/>
  <c r="AA29" i="45"/>
  <c r="AB29" i="45"/>
  <c r="AC29" i="45"/>
  <c r="AD29" i="45"/>
  <c r="AE29" i="45"/>
  <c r="AF29" i="45"/>
  <c r="AG29" i="45"/>
  <c r="D30" i="45"/>
  <c r="O30" i="45"/>
  <c r="P30" i="45"/>
  <c r="Q30" i="45"/>
  <c r="V30" i="45"/>
  <c r="W30" i="45"/>
  <c r="X30" i="45"/>
  <c r="Y30" i="45"/>
  <c r="Z30" i="45"/>
  <c r="AA30" i="45"/>
  <c r="AB30" i="45"/>
  <c r="AC30" i="45"/>
  <c r="AD30" i="45"/>
  <c r="AE30" i="45"/>
  <c r="AF30" i="45"/>
  <c r="AG30" i="45"/>
  <c r="D31" i="45"/>
  <c r="O31" i="45"/>
  <c r="P31" i="45"/>
  <c r="Q31" i="45"/>
  <c r="V31" i="45"/>
  <c r="W31" i="45"/>
  <c r="X31" i="45"/>
  <c r="Y31" i="45"/>
  <c r="Z31" i="45"/>
  <c r="AA31" i="45"/>
  <c r="AB31" i="45"/>
  <c r="AC31" i="45"/>
  <c r="AD31" i="45"/>
  <c r="AE31" i="45"/>
  <c r="AF31" i="45"/>
  <c r="AG31" i="45"/>
  <c r="D32" i="45"/>
  <c r="O32" i="45"/>
  <c r="P32" i="45"/>
  <c r="Q32" i="45"/>
  <c r="V32" i="45"/>
  <c r="W32" i="45"/>
  <c r="X32" i="45"/>
  <c r="Y32" i="45"/>
  <c r="Z32" i="45"/>
  <c r="AA32" i="45"/>
  <c r="AB32" i="45"/>
  <c r="AC32" i="45"/>
  <c r="AD32" i="45"/>
  <c r="AE32" i="45"/>
  <c r="AF32" i="45"/>
  <c r="AG32" i="45"/>
  <c r="D33" i="45"/>
  <c r="O33" i="45"/>
  <c r="P33" i="45"/>
  <c r="Q33" i="45"/>
  <c r="V33" i="45"/>
  <c r="W33" i="45"/>
  <c r="X33" i="45"/>
  <c r="Y33" i="45"/>
  <c r="Z33" i="45"/>
  <c r="AA33" i="45"/>
  <c r="AB33" i="45"/>
  <c r="AC33" i="45"/>
  <c r="AD33" i="45"/>
  <c r="AE33" i="45"/>
  <c r="AF33" i="45"/>
  <c r="AG33" i="45"/>
  <c r="D34" i="45"/>
  <c r="O34" i="45"/>
  <c r="P34" i="45"/>
  <c r="Q34" i="45"/>
  <c r="V34" i="45"/>
  <c r="W34" i="45"/>
  <c r="X34" i="45"/>
  <c r="Y34" i="45"/>
  <c r="Z34" i="45"/>
  <c r="AA34" i="45"/>
  <c r="AB34" i="45"/>
  <c r="AC34" i="45"/>
  <c r="AD34" i="45"/>
  <c r="AE34" i="45"/>
  <c r="AF34" i="45"/>
  <c r="AG34" i="45"/>
  <c r="D35" i="45"/>
  <c r="O35" i="45"/>
  <c r="P35" i="45"/>
  <c r="Q35" i="45"/>
  <c r="V35" i="45"/>
  <c r="W35" i="45"/>
  <c r="X35" i="45"/>
  <c r="Y35" i="45"/>
  <c r="Z35" i="45"/>
  <c r="AA35" i="45"/>
  <c r="AB35" i="45"/>
  <c r="AC35" i="45"/>
  <c r="AD35" i="45"/>
  <c r="AE35" i="45"/>
  <c r="AF35" i="45"/>
  <c r="AG35" i="45"/>
  <c r="D36" i="45"/>
  <c r="O36" i="45"/>
  <c r="P36" i="45"/>
  <c r="Q36" i="45"/>
  <c r="V36" i="45"/>
  <c r="W36" i="45"/>
  <c r="X36" i="45"/>
  <c r="Y36" i="45"/>
  <c r="Z36" i="45"/>
  <c r="AA36" i="45"/>
  <c r="AB36" i="45"/>
  <c r="AC36" i="45"/>
  <c r="AD36" i="45"/>
  <c r="AE36" i="45"/>
  <c r="AF36" i="45"/>
  <c r="AG36" i="45"/>
  <c r="D37" i="45"/>
  <c r="O37" i="45"/>
  <c r="P37" i="45"/>
  <c r="Q37" i="45"/>
  <c r="V37" i="45"/>
  <c r="W37" i="45"/>
  <c r="X37" i="45"/>
  <c r="Y37" i="45"/>
  <c r="Z37" i="45"/>
  <c r="AA37" i="45"/>
  <c r="AB37" i="45"/>
  <c r="AC37" i="45"/>
  <c r="AD37" i="45"/>
  <c r="AE37" i="45"/>
  <c r="AF37" i="45"/>
  <c r="AG37" i="45"/>
  <c r="D38" i="45"/>
  <c r="O38" i="45"/>
  <c r="P38" i="45"/>
  <c r="Q38" i="45"/>
  <c r="V38" i="45"/>
  <c r="W38" i="45"/>
  <c r="X38" i="45"/>
  <c r="Y38" i="45"/>
  <c r="Z38" i="45"/>
  <c r="AA38" i="45"/>
  <c r="AB38" i="45"/>
  <c r="AC38" i="45"/>
  <c r="AD38" i="45"/>
  <c r="AE38" i="45"/>
  <c r="AF38" i="45"/>
  <c r="AG38" i="45"/>
  <c r="D39" i="45"/>
  <c r="O39" i="45"/>
  <c r="P39" i="45"/>
  <c r="Q39" i="45"/>
  <c r="V39" i="45"/>
  <c r="W39" i="45"/>
  <c r="X39" i="45"/>
  <c r="Y39" i="45"/>
  <c r="Z39" i="45"/>
  <c r="AA39" i="45"/>
  <c r="AB39" i="45"/>
  <c r="AC39" i="45"/>
  <c r="AD39" i="45"/>
  <c r="AE39" i="45"/>
  <c r="AF39" i="45"/>
  <c r="AG39" i="45"/>
  <c r="D40" i="45"/>
  <c r="O40" i="45"/>
  <c r="P40" i="45"/>
  <c r="Q40" i="45"/>
  <c r="V40" i="45"/>
  <c r="W40" i="45"/>
  <c r="X40" i="45"/>
  <c r="Y40" i="45"/>
  <c r="Z40" i="45"/>
  <c r="AA40" i="45"/>
  <c r="AB40" i="45"/>
  <c r="AC40" i="45"/>
  <c r="AD40" i="45"/>
  <c r="AE40" i="45"/>
  <c r="AF40" i="45"/>
  <c r="AG40" i="45"/>
  <c r="D41" i="45"/>
  <c r="O41" i="45"/>
  <c r="P41" i="45"/>
  <c r="Q41" i="45"/>
  <c r="V41" i="45"/>
  <c r="W41" i="45"/>
  <c r="X41" i="45"/>
  <c r="Y41" i="45"/>
  <c r="Z41" i="45"/>
  <c r="AA41" i="45"/>
  <c r="AB41" i="45"/>
  <c r="AC41" i="45"/>
  <c r="AD41" i="45"/>
  <c r="AE41" i="45"/>
  <c r="AF41" i="45"/>
  <c r="AG41" i="45"/>
  <c r="D42" i="45"/>
  <c r="O42" i="45"/>
  <c r="P42" i="45"/>
  <c r="Q42" i="45"/>
  <c r="V42" i="45"/>
  <c r="W42" i="45"/>
  <c r="X42" i="45"/>
  <c r="Y42" i="45"/>
  <c r="Z42" i="45"/>
  <c r="AA42" i="45"/>
  <c r="AB42" i="45"/>
  <c r="AC42" i="45"/>
  <c r="AD42" i="45"/>
  <c r="AE42" i="45"/>
  <c r="AF42" i="45"/>
  <c r="AG42" i="45"/>
  <c r="M52" i="57"/>
  <c r="I52" i="57"/>
  <c r="N52" i="57"/>
  <c r="S52" i="57"/>
  <c r="S51" i="57" s="1"/>
  <c r="S50" i="57" s="1"/>
  <c r="S49" i="57" s="1"/>
  <c r="M51" i="57"/>
  <c r="I51" i="57"/>
  <c r="N51" i="57"/>
  <c r="M50" i="57"/>
  <c r="I50" i="57"/>
  <c r="N50" i="57"/>
  <c r="M49" i="57"/>
  <c r="I49" i="57"/>
  <c r="N49" i="57"/>
  <c r="M48" i="57"/>
  <c r="I48" i="57"/>
  <c r="N48" i="57"/>
  <c r="M47" i="57"/>
  <c r="I47" i="57"/>
  <c r="N47" i="57"/>
  <c r="M46" i="57"/>
  <c r="I46" i="57"/>
  <c r="N46" i="57"/>
  <c r="M45" i="57"/>
  <c r="I45" i="57"/>
  <c r="N45" i="57"/>
  <c r="M44" i="57"/>
  <c r="I44" i="57"/>
  <c r="N44" i="57"/>
  <c r="M43" i="57"/>
  <c r="I43" i="57"/>
  <c r="N43" i="57"/>
  <c r="M42" i="57"/>
  <c r="I42" i="57"/>
  <c r="N42" i="57"/>
  <c r="M41" i="57"/>
  <c r="I41" i="57"/>
  <c r="N41" i="57"/>
  <c r="M40" i="57"/>
  <c r="I40" i="57"/>
  <c r="N40" i="57"/>
  <c r="M39" i="57"/>
  <c r="I39" i="57"/>
  <c r="N39" i="57"/>
  <c r="M38" i="57"/>
  <c r="I38" i="57"/>
  <c r="N38" i="57"/>
  <c r="M37" i="57"/>
  <c r="I37" i="57"/>
  <c r="N37" i="57"/>
  <c r="M36" i="57"/>
  <c r="I36" i="57"/>
  <c r="N36" i="57"/>
  <c r="M35" i="57"/>
  <c r="I35" i="57"/>
  <c r="N35" i="57"/>
  <c r="M34" i="57"/>
  <c r="I34" i="57"/>
  <c r="N34" i="57"/>
  <c r="M33" i="57"/>
  <c r="I33" i="57"/>
  <c r="N33" i="57"/>
  <c r="M32" i="57"/>
  <c r="I32" i="57"/>
  <c r="N32" i="57"/>
  <c r="M31" i="57"/>
  <c r="I31" i="57"/>
  <c r="N31" i="57"/>
  <c r="M30" i="57"/>
  <c r="I30" i="57"/>
  <c r="N30" i="57"/>
  <c r="M29" i="57"/>
  <c r="I29" i="57"/>
  <c r="N29" i="57"/>
  <c r="M28" i="57"/>
  <c r="I28" i="57"/>
  <c r="N28" i="57"/>
  <c r="M27" i="57"/>
  <c r="I27" i="57"/>
  <c r="N27" i="57"/>
  <c r="M26" i="57"/>
  <c r="I26" i="57"/>
  <c r="N26" i="57"/>
  <c r="M25" i="57"/>
  <c r="I25" i="57"/>
  <c r="N25" i="57"/>
  <c r="M24" i="57"/>
  <c r="I24" i="57"/>
  <c r="N24" i="57"/>
  <c r="M23" i="57"/>
  <c r="I23" i="57"/>
  <c r="N23" i="57"/>
  <c r="M22" i="57"/>
  <c r="I22" i="57"/>
  <c r="N22" i="57"/>
  <c r="M21" i="57"/>
  <c r="I21" i="57"/>
  <c r="N21" i="57"/>
  <c r="M20" i="57"/>
  <c r="I20" i="57"/>
  <c r="N20" i="57"/>
  <c r="M19" i="57"/>
  <c r="I19" i="57"/>
  <c r="N19" i="57"/>
  <c r="M18" i="57"/>
  <c r="I18" i="57"/>
  <c r="N18" i="57"/>
  <c r="M17" i="57"/>
  <c r="I17" i="57"/>
  <c r="N17" i="57"/>
  <c r="R52" i="57"/>
  <c r="D17" i="57"/>
  <c r="O17" i="57"/>
  <c r="P17" i="57"/>
  <c r="Q17" i="57"/>
  <c r="V17" i="57"/>
  <c r="W17" i="57"/>
  <c r="X17" i="57"/>
  <c r="Y17" i="57"/>
  <c r="Z17" i="57"/>
  <c r="AA17" i="57"/>
  <c r="AB17" i="57"/>
  <c r="AC17" i="57"/>
  <c r="AD17" i="57"/>
  <c r="AE17" i="57"/>
  <c r="AF17" i="57"/>
  <c r="AG17" i="57"/>
  <c r="D18" i="57"/>
  <c r="O18" i="57"/>
  <c r="P18" i="57"/>
  <c r="Q18" i="57"/>
  <c r="V18" i="57"/>
  <c r="W18" i="57"/>
  <c r="X18" i="57"/>
  <c r="Y18" i="57"/>
  <c r="Z18" i="57"/>
  <c r="AA18" i="57"/>
  <c r="AB18" i="57"/>
  <c r="AC18" i="57"/>
  <c r="AD18" i="57"/>
  <c r="AE18" i="57"/>
  <c r="AF18" i="57"/>
  <c r="AG18" i="57"/>
  <c r="D19" i="57"/>
  <c r="O19" i="57"/>
  <c r="P19" i="57"/>
  <c r="Q19" i="57"/>
  <c r="V19" i="57"/>
  <c r="W19" i="57"/>
  <c r="X19" i="57"/>
  <c r="Y19" i="57"/>
  <c r="Z19" i="57"/>
  <c r="AA19" i="57"/>
  <c r="AB19" i="57"/>
  <c r="AC19" i="57"/>
  <c r="AD19" i="57"/>
  <c r="AE19" i="57"/>
  <c r="AF19" i="57"/>
  <c r="AG19" i="57"/>
  <c r="D20" i="57"/>
  <c r="O20" i="57"/>
  <c r="P20" i="57"/>
  <c r="Q20" i="57"/>
  <c r="V20" i="57"/>
  <c r="W20" i="57"/>
  <c r="X20" i="57"/>
  <c r="Y20" i="57"/>
  <c r="Z20" i="57"/>
  <c r="AA20" i="57"/>
  <c r="AB20" i="57"/>
  <c r="AC20" i="57"/>
  <c r="AD20" i="57"/>
  <c r="AE20" i="57"/>
  <c r="AF20" i="57"/>
  <c r="AG20" i="57"/>
  <c r="D21" i="57"/>
  <c r="O21" i="57"/>
  <c r="P21" i="57"/>
  <c r="Q21" i="57"/>
  <c r="V21" i="57"/>
  <c r="W21" i="57"/>
  <c r="X21" i="57"/>
  <c r="Y21" i="57"/>
  <c r="Z21" i="57"/>
  <c r="AA21" i="57"/>
  <c r="AB21" i="57"/>
  <c r="AC21" i="57"/>
  <c r="AD21" i="57"/>
  <c r="AE21" i="57"/>
  <c r="AF21" i="57"/>
  <c r="AG21" i="57"/>
  <c r="D22" i="57"/>
  <c r="O22" i="57"/>
  <c r="P22" i="57"/>
  <c r="Q22" i="57"/>
  <c r="V22" i="57"/>
  <c r="W22" i="57"/>
  <c r="X22" i="57"/>
  <c r="Y22" i="57"/>
  <c r="Z22" i="57"/>
  <c r="AA22" i="57"/>
  <c r="AB22" i="57"/>
  <c r="AC22" i="57"/>
  <c r="AD22" i="57"/>
  <c r="AE22" i="57"/>
  <c r="AF22" i="57"/>
  <c r="AG22" i="57"/>
  <c r="D23" i="57"/>
  <c r="O23" i="57"/>
  <c r="P23" i="57"/>
  <c r="Q23" i="57"/>
  <c r="V23" i="57"/>
  <c r="W23" i="57"/>
  <c r="X23" i="57"/>
  <c r="Y23" i="57"/>
  <c r="Z23" i="57"/>
  <c r="AA23" i="57"/>
  <c r="AB23" i="57"/>
  <c r="AC23" i="57"/>
  <c r="AD23" i="57"/>
  <c r="AE23" i="57"/>
  <c r="AF23" i="57"/>
  <c r="AG23" i="57"/>
  <c r="D24" i="57"/>
  <c r="O24" i="57"/>
  <c r="P24" i="57"/>
  <c r="Q24" i="57"/>
  <c r="V24" i="57"/>
  <c r="W24" i="57"/>
  <c r="X24" i="57"/>
  <c r="Y24" i="57"/>
  <c r="Z24" i="57"/>
  <c r="AA24" i="57"/>
  <c r="AB24" i="57"/>
  <c r="AC24" i="57"/>
  <c r="AD24" i="57"/>
  <c r="AE24" i="57"/>
  <c r="AF24" i="57"/>
  <c r="AG24" i="57"/>
  <c r="D25" i="57"/>
  <c r="O25" i="57"/>
  <c r="P25" i="57"/>
  <c r="Q25" i="57"/>
  <c r="V25" i="57"/>
  <c r="W25" i="57"/>
  <c r="X25" i="57"/>
  <c r="Y25" i="57"/>
  <c r="Z25" i="57"/>
  <c r="AA25" i="57"/>
  <c r="AB25" i="57"/>
  <c r="AC25" i="57"/>
  <c r="AD25" i="57"/>
  <c r="AE25" i="57"/>
  <c r="AF25" i="57"/>
  <c r="AG25" i="57"/>
  <c r="D26" i="57"/>
  <c r="O26" i="57"/>
  <c r="P26" i="57"/>
  <c r="Q26" i="57"/>
  <c r="V26" i="57"/>
  <c r="W26" i="57"/>
  <c r="X26" i="57"/>
  <c r="Y26" i="57"/>
  <c r="Z26" i="57"/>
  <c r="AA26" i="57"/>
  <c r="AB26" i="57"/>
  <c r="AC26" i="57"/>
  <c r="AD26" i="57"/>
  <c r="AE26" i="57"/>
  <c r="AF26" i="57"/>
  <c r="AG26" i="57"/>
  <c r="D27" i="57"/>
  <c r="O27" i="57"/>
  <c r="P27" i="57"/>
  <c r="Q27" i="57"/>
  <c r="V27" i="57"/>
  <c r="W27" i="57"/>
  <c r="X27" i="57"/>
  <c r="Y27" i="57"/>
  <c r="Z27" i="57"/>
  <c r="AA27" i="57"/>
  <c r="AB27" i="57"/>
  <c r="AC27" i="57"/>
  <c r="AD27" i="57"/>
  <c r="AE27" i="57"/>
  <c r="AF27" i="57"/>
  <c r="AG27" i="57"/>
  <c r="D28" i="57"/>
  <c r="O28" i="57"/>
  <c r="P28" i="57"/>
  <c r="Q28" i="57"/>
  <c r="V28" i="57"/>
  <c r="W28" i="57"/>
  <c r="X28" i="57"/>
  <c r="Y28" i="57"/>
  <c r="Z28" i="57"/>
  <c r="AA28" i="57"/>
  <c r="AB28" i="57"/>
  <c r="AC28" i="57"/>
  <c r="AD28" i="57"/>
  <c r="AE28" i="57"/>
  <c r="AF28" i="57"/>
  <c r="AG28" i="57"/>
  <c r="D29" i="57"/>
  <c r="O29" i="57"/>
  <c r="P29" i="57"/>
  <c r="Q29" i="57"/>
  <c r="V29" i="57"/>
  <c r="W29" i="57"/>
  <c r="X29" i="57"/>
  <c r="Y29" i="57"/>
  <c r="Z29" i="57"/>
  <c r="AA29" i="57"/>
  <c r="AB29" i="57"/>
  <c r="AC29" i="57"/>
  <c r="AD29" i="57"/>
  <c r="AE29" i="57"/>
  <c r="AF29" i="57"/>
  <c r="AG29" i="57"/>
  <c r="D30" i="57"/>
  <c r="O30" i="57"/>
  <c r="P30" i="57"/>
  <c r="Q30" i="57"/>
  <c r="V30" i="57"/>
  <c r="W30" i="57"/>
  <c r="X30" i="57"/>
  <c r="Y30" i="57"/>
  <c r="Z30" i="57"/>
  <c r="AA30" i="57"/>
  <c r="AB30" i="57"/>
  <c r="AC30" i="57"/>
  <c r="AD30" i="57"/>
  <c r="AE30" i="57"/>
  <c r="AF30" i="57"/>
  <c r="AG30" i="57"/>
  <c r="D31" i="57"/>
  <c r="O31" i="57"/>
  <c r="P31" i="57"/>
  <c r="Q31" i="57"/>
  <c r="V31" i="57"/>
  <c r="W31" i="57"/>
  <c r="X31" i="57"/>
  <c r="Y31" i="57"/>
  <c r="Z31" i="57"/>
  <c r="AA31" i="57"/>
  <c r="AB31" i="57"/>
  <c r="AC31" i="57"/>
  <c r="AD31" i="57"/>
  <c r="AE31" i="57"/>
  <c r="AF31" i="57"/>
  <c r="AG31" i="57"/>
  <c r="D32" i="57"/>
  <c r="O32" i="57"/>
  <c r="P32" i="57"/>
  <c r="Q32" i="57"/>
  <c r="V32" i="57"/>
  <c r="W32" i="57"/>
  <c r="X32" i="57"/>
  <c r="Y32" i="57"/>
  <c r="Z32" i="57"/>
  <c r="AA32" i="57"/>
  <c r="AB32" i="57"/>
  <c r="AC32" i="57"/>
  <c r="AD32" i="57"/>
  <c r="AE32" i="57"/>
  <c r="AF32" i="57"/>
  <c r="AG32" i="57"/>
  <c r="D33" i="57"/>
  <c r="O33" i="57"/>
  <c r="P33" i="57"/>
  <c r="Q33" i="57"/>
  <c r="V33" i="57"/>
  <c r="W33" i="57"/>
  <c r="X33" i="57"/>
  <c r="Y33" i="57"/>
  <c r="Z33" i="57"/>
  <c r="AA33" i="57"/>
  <c r="AB33" i="57"/>
  <c r="AC33" i="57"/>
  <c r="AD33" i="57"/>
  <c r="AE33" i="57"/>
  <c r="AF33" i="57"/>
  <c r="AG33" i="57"/>
  <c r="D34" i="57"/>
  <c r="O34" i="57"/>
  <c r="P34" i="57"/>
  <c r="Q34" i="57"/>
  <c r="V34" i="57"/>
  <c r="W34" i="57"/>
  <c r="X34" i="57"/>
  <c r="Y34" i="57"/>
  <c r="Z34" i="57"/>
  <c r="AA34" i="57"/>
  <c r="AB34" i="57"/>
  <c r="AC34" i="57"/>
  <c r="AD34" i="57"/>
  <c r="AE34" i="57"/>
  <c r="AF34" i="57"/>
  <c r="AG34" i="57"/>
  <c r="D35" i="57"/>
  <c r="O35" i="57"/>
  <c r="P35" i="57"/>
  <c r="Q35" i="57"/>
  <c r="V35" i="57"/>
  <c r="W35" i="57"/>
  <c r="X35" i="57"/>
  <c r="Y35" i="57"/>
  <c r="Z35" i="57"/>
  <c r="AA35" i="57"/>
  <c r="AB35" i="57"/>
  <c r="AC35" i="57"/>
  <c r="AD35" i="57"/>
  <c r="AE35" i="57"/>
  <c r="AF35" i="57"/>
  <c r="AG35" i="57"/>
  <c r="D36" i="57"/>
  <c r="O36" i="57"/>
  <c r="P36" i="57"/>
  <c r="Q36" i="57"/>
  <c r="V36" i="57"/>
  <c r="W36" i="57"/>
  <c r="X36" i="57"/>
  <c r="Y36" i="57"/>
  <c r="Z36" i="57"/>
  <c r="AA36" i="57"/>
  <c r="AB36" i="57"/>
  <c r="AC36" i="57"/>
  <c r="AD36" i="57"/>
  <c r="AE36" i="57"/>
  <c r="AF36" i="57"/>
  <c r="AG36" i="57"/>
  <c r="D37" i="57"/>
  <c r="O37" i="57"/>
  <c r="P37" i="57"/>
  <c r="Q37" i="57"/>
  <c r="V37" i="57"/>
  <c r="W37" i="57"/>
  <c r="X37" i="57"/>
  <c r="Y37" i="57"/>
  <c r="Z37" i="57"/>
  <c r="AA37" i="57"/>
  <c r="AB37" i="57"/>
  <c r="AC37" i="57"/>
  <c r="AD37" i="57"/>
  <c r="AE37" i="57"/>
  <c r="AF37" i="57"/>
  <c r="AG37" i="57"/>
  <c r="D38" i="57"/>
  <c r="O38" i="57"/>
  <c r="P38" i="57"/>
  <c r="Q38" i="57"/>
  <c r="V38" i="57"/>
  <c r="W38" i="57"/>
  <c r="X38" i="57"/>
  <c r="Y38" i="57"/>
  <c r="Z38" i="57"/>
  <c r="AA38" i="57"/>
  <c r="AB38" i="57"/>
  <c r="AC38" i="57"/>
  <c r="AD38" i="57"/>
  <c r="AE38" i="57"/>
  <c r="AF38" i="57"/>
  <c r="AG38" i="57"/>
  <c r="D39" i="57"/>
  <c r="O39" i="57"/>
  <c r="P39" i="57"/>
  <c r="Q39" i="57"/>
  <c r="V39" i="57"/>
  <c r="W39" i="57"/>
  <c r="X39" i="57"/>
  <c r="Y39" i="57"/>
  <c r="Z39" i="57"/>
  <c r="AA39" i="57"/>
  <c r="AB39" i="57"/>
  <c r="AC39" i="57"/>
  <c r="AD39" i="57"/>
  <c r="AE39" i="57"/>
  <c r="AF39" i="57"/>
  <c r="AG39" i="57"/>
  <c r="D40" i="57"/>
  <c r="O40" i="57"/>
  <c r="P40" i="57"/>
  <c r="Q40" i="57"/>
  <c r="V40" i="57"/>
  <c r="W40" i="57"/>
  <c r="X40" i="57"/>
  <c r="Y40" i="57"/>
  <c r="Z40" i="57"/>
  <c r="AA40" i="57"/>
  <c r="AB40" i="57"/>
  <c r="AC40" i="57"/>
  <c r="AD40" i="57"/>
  <c r="AE40" i="57"/>
  <c r="AF40" i="57"/>
  <c r="AG40" i="57"/>
  <c r="D41" i="57"/>
  <c r="O41" i="57"/>
  <c r="P41" i="57"/>
  <c r="Q41" i="57"/>
  <c r="V41" i="57"/>
  <c r="W41" i="57"/>
  <c r="X41" i="57"/>
  <c r="Y41" i="57"/>
  <c r="Z41" i="57"/>
  <c r="AA41" i="57"/>
  <c r="AB41" i="57"/>
  <c r="AC41" i="57"/>
  <c r="AD41" i="57"/>
  <c r="AE41" i="57"/>
  <c r="AF41" i="57"/>
  <c r="AG41" i="57"/>
  <c r="D42" i="57"/>
  <c r="O42" i="57"/>
  <c r="P42" i="57"/>
  <c r="Q42" i="57"/>
  <c r="V42" i="57"/>
  <c r="W42" i="57"/>
  <c r="X42" i="57"/>
  <c r="Y42" i="57"/>
  <c r="Z42" i="57"/>
  <c r="AA42" i="57"/>
  <c r="AB42" i="57"/>
  <c r="AC42" i="57"/>
  <c r="AD42" i="57"/>
  <c r="AE42" i="57"/>
  <c r="AF42" i="57"/>
  <c r="AG42" i="57"/>
  <c r="D43" i="57"/>
  <c r="O43" i="57"/>
  <c r="P43" i="57"/>
  <c r="Q43" i="57"/>
  <c r="V43" i="57"/>
  <c r="W43" i="57"/>
  <c r="X43" i="57"/>
  <c r="Y43" i="57"/>
  <c r="Z43" i="57"/>
  <c r="AA43" i="57"/>
  <c r="AB43" i="57"/>
  <c r="AC43" i="57"/>
  <c r="AD43" i="57"/>
  <c r="AE43" i="57"/>
  <c r="AF43" i="57"/>
  <c r="AG43" i="57"/>
  <c r="D44" i="57"/>
  <c r="O44" i="57"/>
  <c r="P44" i="57"/>
  <c r="Q44" i="57"/>
  <c r="V44" i="57"/>
  <c r="W44" i="57"/>
  <c r="X44" i="57"/>
  <c r="Y44" i="57"/>
  <c r="Z44" i="57"/>
  <c r="AA44" i="57"/>
  <c r="AB44" i="57"/>
  <c r="AC44" i="57"/>
  <c r="AD44" i="57"/>
  <c r="AE44" i="57"/>
  <c r="AF44" i="57"/>
  <c r="AG44" i="57"/>
  <c r="D45" i="57"/>
  <c r="O45" i="57"/>
  <c r="P45" i="57"/>
  <c r="Q45" i="57"/>
  <c r="V45" i="57"/>
  <c r="W45" i="57"/>
  <c r="X45" i="57"/>
  <c r="Y45" i="57"/>
  <c r="Z45" i="57"/>
  <c r="AA45" i="57"/>
  <c r="AB45" i="57"/>
  <c r="AC45" i="57"/>
  <c r="AD45" i="57"/>
  <c r="AE45" i="57"/>
  <c r="AF45" i="57"/>
  <c r="AG45" i="57"/>
  <c r="D46" i="57"/>
  <c r="O46" i="57"/>
  <c r="P46" i="57"/>
  <c r="Q46" i="57"/>
  <c r="V46" i="57"/>
  <c r="W46" i="57"/>
  <c r="X46" i="57"/>
  <c r="Y46" i="57"/>
  <c r="Z46" i="57"/>
  <c r="AA46" i="57"/>
  <c r="AB46" i="57"/>
  <c r="AC46" i="57"/>
  <c r="AD46" i="57"/>
  <c r="AE46" i="57"/>
  <c r="AF46" i="57"/>
  <c r="AG46" i="57"/>
  <c r="D47" i="57"/>
  <c r="O47" i="57"/>
  <c r="P47" i="57"/>
  <c r="Q47" i="57"/>
  <c r="V47" i="57"/>
  <c r="W47" i="57"/>
  <c r="X47" i="57"/>
  <c r="Y47" i="57"/>
  <c r="Z47" i="57"/>
  <c r="AA47" i="57"/>
  <c r="AB47" i="57"/>
  <c r="AC47" i="57"/>
  <c r="AD47" i="57"/>
  <c r="AE47" i="57"/>
  <c r="AF47" i="57"/>
  <c r="AG47" i="57"/>
  <c r="D48" i="57"/>
  <c r="O48" i="57"/>
  <c r="P48" i="57"/>
  <c r="Q48" i="57"/>
  <c r="V48" i="57"/>
  <c r="W48" i="57"/>
  <c r="X48" i="57"/>
  <c r="Y48" i="57"/>
  <c r="Z48" i="57"/>
  <c r="AA48" i="57"/>
  <c r="AB48" i="57"/>
  <c r="AC48" i="57"/>
  <c r="AD48" i="57"/>
  <c r="AE48" i="57"/>
  <c r="AF48" i="57"/>
  <c r="AG48" i="57"/>
  <c r="D49" i="57"/>
  <c r="O49" i="57"/>
  <c r="P49" i="57"/>
  <c r="Q49" i="57"/>
  <c r="V49" i="57"/>
  <c r="W49" i="57"/>
  <c r="X49" i="57"/>
  <c r="Y49" i="57"/>
  <c r="Z49" i="57"/>
  <c r="AA49" i="57"/>
  <c r="AB49" i="57"/>
  <c r="AC49" i="57"/>
  <c r="AD49" i="57"/>
  <c r="AE49" i="57"/>
  <c r="AF49" i="57"/>
  <c r="AG49" i="57"/>
  <c r="D50" i="57"/>
  <c r="O50" i="57"/>
  <c r="P50" i="57"/>
  <c r="Q50" i="57"/>
  <c r="V50" i="57"/>
  <c r="W50" i="57"/>
  <c r="X50" i="57"/>
  <c r="Y50" i="57"/>
  <c r="Z50" i="57"/>
  <c r="AA50" i="57"/>
  <c r="AB50" i="57"/>
  <c r="AC50" i="57"/>
  <c r="AD50" i="57"/>
  <c r="AE50" i="57"/>
  <c r="AF50" i="57"/>
  <c r="AG50" i="57"/>
  <c r="D51" i="57"/>
  <c r="O51" i="57"/>
  <c r="P51" i="57"/>
  <c r="Q51" i="57"/>
  <c r="V51" i="57"/>
  <c r="W51" i="57"/>
  <c r="X51" i="57"/>
  <c r="Y51" i="57"/>
  <c r="Z51" i="57"/>
  <c r="AA51" i="57"/>
  <c r="AB51" i="57"/>
  <c r="AC51" i="57"/>
  <c r="AD51" i="57"/>
  <c r="AE51" i="57"/>
  <c r="AF51" i="57"/>
  <c r="AG51" i="57"/>
  <c r="D52" i="57"/>
  <c r="O52" i="57"/>
  <c r="P52" i="57"/>
  <c r="Q52" i="57"/>
  <c r="V52" i="57"/>
  <c r="W52" i="57"/>
  <c r="X52" i="57"/>
  <c r="Y52" i="57"/>
  <c r="Z52" i="57"/>
  <c r="AA52" i="57"/>
  <c r="AB52" i="57"/>
  <c r="AC52" i="57"/>
  <c r="AD52" i="57"/>
  <c r="AE52" i="57"/>
  <c r="AF52" i="57"/>
  <c r="AG52" i="57"/>
  <c r="M35" i="58"/>
  <c r="I35" i="58"/>
  <c r="N35" i="58"/>
  <c r="S35" i="58"/>
  <c r="M34" i="58"/>
  <c r="I34" i="58"/>
  <c r="N34" i="58"/>
  <c r="M33" i="58"/>
  <c r="I33" i="58"/>
  <c r="N33" i="58"/>
  <c r="M32" i="58"/>
  <c r="I32" i="58"/>
  <c r="N32" i="58"/>
  <c r="M31" i="58"/>
  <c r="I31" i="58"/>
  <c r="N31" i="58"/>
  <c r="M30" i="58"/>
  <c r="I30" i="58"/>
  <c r="N30" i="58"/>
  <c r="M29" i="58"/>
  <c r="I29" i="58"/>
  <c r="N29" i="58"/>
  <c r="M28" i="58"/>
  <c r="I28" i="58"/>
  <c r="N28" i="58"/>
  <c r="M27" i="58"/>
  <c r="I27" i="58"/>
  <c r="N27" i="58"/>
  <c r="M26" i="58"/>
  <c r="I26" i="58"/>
  <c r="N26" i="58"/>
  <c r="M25" i="58"/>
  <c r="I25" i="58"/>
  <c r="N25" i="58"/>
  <c r="M24" i="58"/>
  <c r="I24" i="58"/>
  <c r="N24" i="58"/>
  <c r="M23" i="58"/>
  <c r="I23" i="58"/>
  <c r="N23" i="58"/>
  <c r="M22" i="58"/>
  <c r="I22" i="58"/>
  <c r="N22" i="58"/>
  <c r="M21" i="58"/>
  <c r="I21" i="58"/>
  <c r="N21" i="58"/>
  <c r="M20" i="58"/>
  <c r="I20" i="58"/>
  <c r="N20" i="58"/>
  <c r="M19" i="58"/>
  <c r="I19" i="58"/>
  <c r="N19" i="58"/>
  <c r="M18" i="58"/>
  <c r="I18" i="58"/>
  <c r="N18" i="58"/>
  <c r="M17" i="58"/>
  <c r="I17" i="58"/>
  <c r="N17" i="58"/>
  <c r="R35" i="58"/>
  <c r="T35" i="58" s="1"/>
  <c r="D17" i="58"/>
  <c r="O17" i="58"/>
  <c r="P17" i="58"/>
  <c r="Q17" i="58"/>
  <c r="V17" i="58"/>
  <c r="W17" i="58"/>
  <c r="X17" i="58"/>
  <c r="Y17" i="58"/>
  <c r="Z17" i="58"/>
  <c r="AA17" i="58"/>
  <c r="AB17" i="58"/>
  <c r="AC17" i="58"/>
  <c r="AD17" i="58"/>
  <c r="AE17" i="58"/>
  <c r="AF17" i="58"/>
  <c r="AG17" i="58"/>
  <c r="D18" i="58"/>
  <c r="O18" i="58"/>
  <c r="P18" i="58"/>
  <c r="Q18" i="58"/>
  <c r="V18" i="58"/>
  <c r="W18" i="58"/>
  <c r="X18" i="58"/>
  <c r="Y18" i="58"/>
  <c r="Z18" i="58"/>
  <c r="AA18" i="58"/>
  <c r="AB18" i="58"/>
  <c r="AC18" i="58"/>
  <c r="AD18" i="58"/>
  <c r="AE18" i="58"/>
  <c r="AF18" i="58"/>
  <c r="AG18" i="58"/>
  <c r="D19" i="58"/>
  <c r="O19" i="58"/>
  <c r="P19" i="58"/>
  <c r="Q19" i="58"/>
  <c r="V19" i="58"/>
  <c r="W19" i="58"/>
  <c r="X19" i="58"/>
  <c r="Y19" i="58"/>
  <c r="Z19" i="58"/>
  <c r="AA19" i="58"/>
  <c r="AB19" i="58"/>
  <c r="AC19" i="58"/>
  <c r="AD19" i="58"/>
  <c r="AE19" i="58"/>
  <c r="AF19" i="58"/>
  <c r="AG19" i="58"/>
  <c r="D20" i="58"/>
  <c r="O20" i="58"/>
  <c r="P20" i="58"/>
  <c r="Q20" i="58"/>
  <c r="V20" i="58"/>
  <c r="W20" i="58"/>
  <c r="X20" i="58"/>
  <c r="Y20" i="58"/>
  <c r="Z20" i="58"/>
  <c r="AA20" i="58"/>
  <c r="AB20" i="58"/>
  <c r="AC20" i="58"/>
  <c r="AD20" i="58"/>
  <c r="AE20" i="58"/>
  <c r="AF20" i="58"/>
  <c r="AG20" i="58"/>
  <c r="D21" i="58"/>
  <c r="O21" i="58"/>
  <c r="P21" i="58"/>
  <c r="Q21" i="58"/>
  <c r="V21" i="58"/>
  <c r="W21" i="58"/>
  <c r="X21" i="58"/>
  <c r="Y21" i="58"/>
  <c r="Z21" i="58"/>
  <c r="AA21" i="58"/>
  <c r="AB21" i="58"/>
  <c r="AC21" i="58"/>
  <c r="AD21" i="58"/>
  <c r="AE21" i="58"/>
  <c r="AF21" i="58"/>
  <c r="AG21" i="58"/>
  <c r="D22" i="58"/>
  <c r="O22" i="58"/>
  <c r="P22" i="58"/>
  <c r="Q22" i="58"/>
  <c r="V22" i="58"/>
  <c r="W22" i="58"/>
  <c r="X22" i="58"/>
  <c r="Y22" i="58"/>
  <c r="Z22" i="58"/>
  <c r="AA22" i="58"/>
  <c r="AB22" i="58"/>
  <c r="AC22" i="58"/>
  <c r="AD22" i="58"/>
  <c r="AE22" i="58"/>
  <c r="AF22" i="58"/>
  <c r="AG22" i="58"/>
  <c r="D23" i="58"/>
  <c r="O23" i="58"/>
  <c r="P23" i="58"/>
  <c r="Q23" i="58"/>
  <c r="V23" i="58"/>
  <c r="W23" i="58"/>
  <c r="X23" i="58"/>
  <c r="Y23" i="58"/>
  <c r="Z23" i="58"/>
  <c r="AA23" i="58"/>
  <c r="AB23" i="58"/>
  <c r="AC23" i="58"/>
  <c r="AD23" i="58"/>
  <c r="AE23" i="58"/>
  <c r="AF23" i="58"/>
  <c r="AG23" i="58"/>
  <c r="D24" i="58"/>
  <c r="O24" i="58"/>
  <c r="P24" i="58"/>
  <c r="Q24" i="58"/>
  <c r="V24" i="58"/>
  <c r="W24" i="58"/>
  <c r="X24" i="58"/>
  <c r="Y24" i="58"/>
  <c r="Z24" i="58"/>
  <c r="AA24" i="58"/>
  <c r="AB24" i="58"/>
  <c r="AC24" i="58"/>
  <c r="AD24" i="58"/>
  <c r="AE24" i="58"/>
  <c r="AF24" i="58"/>
  <c r="AG24" i="58"/>
  <c r="D25" i="58"/>
  <c r="O25" i="58"/>
  <c r="P25" i="58"/>
  <c r="Q25" i="58"/>
  <c r="V25" i="58"/>
  <c r="W25" i="58"/>
  <c r="X25" i="58"/>
  <c r="Y25" i="58"/>
  <c r="Z25" i="58"/>
  <c r="AA25" i="58"/>
  <c r="AB25" i="58"/>
  <c r="AC25" i="58"/>
  <c r="AD25" i="58"/>
  <c r="AE25" i="58"/>
  <c r="AF25" i="58"/>
  <c r="AG25" i="58"/>
  <c r="D26" i="58"/>
  <c r="O26" i="58"/>
  <c r="P26" i="58"/>
  <c r="Q26" i="58"/>
  <c r="V26" i="58"/>
  <c r="W26" i="58"/>
  <c r="X26" i="58"/>
  <c r="Y26" i="58"/>
  <c r="Z26" i="58"/>
  <c r="AA26" i="58"/>
  <c r="AB26" i="58"/>
  <c r="AC26" i="58"/>
  <c r="AD26" i="58"/>
  <c r="AE26" i="58"/>
  <c r="AF26" i="58"/>
  <c r="AG26" i="58"/>
  <c r="D27" i="58"/>
  <c r="O27" i="58"/>
  <c r="P27" i="58"/>
  <c r="Q27" i="58"/>
  <c r="V27" i="58"/>
  <c r="W27" i="58"/>
  <c r="X27" i="58"/>
  <c r="Y27" i="58"/>
  <c r="Z27" i="58"/>
  <c r="AA27" i="58"/>
  <c r="AB27" i="58"/>
  <c r="AC27" i="58"/>
  <c r="AD27" i="58"/>
  <c r="AE27" i="58"/>
  <c r="AF27" i="58"/>
  <c r="AG27" i="58"/>
  <c r="D28" i="58"/>
  <c r="O28" i="58"/>
  <c r="P28" i="58"/>
  <c r="Q28" i="58"/>
  <c r="V28" i="58"/>
  <c r="W28" i="58"/>
  <c r="X28" i="58"/>
  <c r="Y28" i="58"/>
  <c r="Z28" i="58"/>
  <c r="AA28" i="58"/>
  <c r="AB28" i="58"/>
  <c r="AC28" i="58"/>
  <c r="AD28" i="58"/>
  <c r="AE28" i="58"/>
  <c r="AF28" i="58"/>
  <c r="AG28" i="58"/>
  <c r="D29" i="58"/>
  <c r="O29" i="58"/>
  <c r="P29" i="58"/>
  <c r="Q29" i="58"/>
  <c r="V29" i="58"/>
  <c r="W29" i="58"/>
  <c r="X29" i="58"/>
  <c r="Y29" i="58"/>
  <c r="Z29" i="58"/>
  <c r="AA29" i="58"/>
  <c r="AB29" i="58"/>
  <c r="AC29" i="58"/>
  <c r="AD29" i="58"/>
  <c r="AE29" i="58"/>
  <c r="AF29" i="58"/>
  <c r="AG29" i="58"/>
  <c r="D30" i="58"/>
  <c r="O30" i="58"/>
  <c r="P30" i="58"/>
  <c r="Q30" i="58"/>
  <c r="V30" i="58"/>
  <c r="W30" i="58"/>
  <c r="X30" i="58"/>
  <c r="Y30" i="58"/>
  <c r="Z30" i="58"/>
  <c r="AA30" i="58"/>
  <c r="AB30" i="58"/>
  <c r="AC30" i="58"/>
  <c r="AD30" i="58"/>
  <c r="AE30" i="58"/>
  <c r="AF30" i="58"/>
  <c r="AG30" i="58"/>
  <c r="D31" i="58"/>
  <c r="O31" i="58"/>
  <c r="P31" i="58"/>
  <c r="Q31" i="58"/>
  <c r="V31" i="58"/>
  <c r="W31" i="58"/>
  <c r="X31" i="58"/>
  <c r="Y31" i="58"/>
  <c r="Z31" i="58"/>
  <c r="AA31" i="58"/>
  <c r="AB31" i="58"/>
  <c r="AC31" i="58"/>
  <c r="AD31" i="58"/>
  <c r="AE31" i="58"/>
  <c r="AF31" i="58"/>
  <c r="AG31" i="58"/>
  <c r="D32" i="58"/>
  <c r="O32" i="58"/>
  <c r="P32" i="58"/>
  <c r="Q32" i="58"/>
  <c r="V32" i="58"/>
  <c r="W32" i="58"/>
  <c r="X32" i="58"/>
  <c r="Y32" i="58"/>
  <c r="Z32" i="58"/>
  <c r="AA32" i="58"/>
  <c r="AB32" i="58"/>
  <c r="AC32" i="58"/>
  <c r="AD32" i="58"/>
  <c r="AE32" i="58"/>
  <c r="AF32" i="58"/>
  <c r="AG32" i="58"/>
  <c r="D33" i="58"/>
  <c r="O33" i="58"/>
  <c r="P33" i="58"/>
  <c r="Q33" i="58"/>
  <c r="V33" i="58"/>
  <c r="W33" i="58"/>
  <c r="X33" i="58"/>
  <c r="Y33" i="58"/>
  <c r="Z33" i="58"/>
  <c r="AA33" i="58"/>
  <c r="AB33" i="58"/>
  <c r="AC33" i="58"/>
  <c r="AD33" i="58"/>
  <c r="AE33" i="58"/>
  <c r="AF33" i="58"/>
  <c r="AG33" i="58"/>
  <c r="D34" i="58"/>
  <c r="O34" i="58"/>
  <c r="P34" i="58"/>
  <c r="Q34" i="58"/>
  <c r="V34" i="58"/>
  <c r="W34" i="58"/>
  <c r="X34" i="58"/>
  <c r="Y34" i="58"/>
  <c r="Z34" i="58"/>
  <c r="AA34" i="58"/>
  <c r="AB34" i="58"/>
  <c r="AC34" i="58"/>
  <c r="AD34" i="58"/>
  <c r="AE34" i="58"/>
  <c r="AF34" i="58"/>
  <c r="AG34" i="58"/>
  <c r="D35" i="58"/>
  <c r="O35" i="58"/>
  <c r="P35" i="58"/>
  <c r="Q35" i="58"/>
  <c r="V35" i="58"/>
  <c r="W35" i="58"/>
  <c r="X35" i="58"/>
  <c r="Y35" i="58"/>
  <c r="Z35" i="58"/>
  <c r="AA35" i="58"/>
  <c r="AB35" i="58"/>
  <c r="AC35" i="58"/>
  <c r="AD35" i="58"/>
  <c r="AE35" i="58"/>
  <c r="AF35" i="58"/>
  <c r="AG35" i="58"/>
  <c r="M27" i="46"/>
  <c r="I27" i="46"/>
  <c r="N27" i="46"/>
  <c r="S27" i="46"/>
  <c r="R26" i="46" s="1"/>
  <c r="M26" i="46"/>
  <c r="I26" i="46"/>
  <c r="N26" i="46"/>
  <c r="M25" i="46"/>
  <c r="I25" i="46"/>
  <c r="N25" i="46"/>
  <c r="M24" i="46"/>
  <c r="I24" i="46"/>
  <c r="N24" i="46"/>
  <c r="M23" i="46"/>
  <c r="I23" i="46"/>
  <c r="N23" i="46"/>
  <c r="M22" i="46"/>
  <c r="I22" i="46"/>
  <c r="N22" i="46"/>
  <c r="M21" i="46"/>
  <c r="I21" i="46"/>
  <c r="N21" i="46"/>
  <c r="M20" i="46"/>
  <c r="I20" i="46"/>
  <c r="N20" i="46"/>
  <c r="M19" i="46"/>
  <c r="I19" i="46"/>
  <c r="N19" i="46"/>
  <c r="M18" i="46"/>
  <c r="I18" i="46"/>
  <c r="N18" i="46"/>
  <c r="M17" i="46"/>
  <c r="I17" i="46"/>
  <c r="N17" i="46"/>
  <c r="R27" i="46"/>
  <c r="T27" i="46" s="1"/>
  <c r="D17" i="46"/>
  <c r="O17" i="46"/>
  <c r="P17" i="46"/>
  <c r="Q17" i="46"/>
  <c r="V17" i="46"/>
  <c r="W17" i="46"/>
  <c r="X17" i="46"/>
  <c r="Y17" i="46"/>
  <c r="Z17" i="46"/>
  <c r="AA17" i="46"/>
  <c r="AB17" i="46"/>
  <c r="AC17" i="46"/>
  <c r="AD17" i="46"/>
  <c r="AE17" i="46"/>
  <c r="AF17" i="46"/>
  <c r="AG17" i="46"/>
  <c r="D18" i="46"/>
  <c r="O18" i="46"/>
  <c r="P18" i="46"/>
  <c r="Q18" i="46"/>
  <c r="V18" i="46"/>
  <c r="W18" i="46"/>
  <c r="X18" i="46"/>
  <c r="Y18" i="46"/>
  <c r="Z18" i="46"/>
  <c r="AA18" i="46"/>
  <c r="AB18" i="46"/>
  <c r="AC18" i="46"/>
  <c r="AD18" i="46"/>
  <c r="AE18" i="46"/>
  <c r="AF18" i="46"/>
  <c r="AG18" i="46"/>
  <c r="D19" i="46"/>
  <c r="O19" i="46"/>
  <c r="P19" i="46"/>
  <c r="Q19" i="46"/>
  <c r="V19" i="46"/>
  <c r="W19" i="46"/>
  <c r="X19" i="46"/>
  <c r="Y19" i="46"/>
  <c r="Z19" i="46"/>
  <c r="AA19" i="46"/>
  <c r="AB19" i="46"/>
  <c r="AC19" i="46"/>
  <c r="AD19" i="46"/>
  <c r="AE19" i="46"/>
  <c r="AF19" i="46"/>
  <c r="AG19" i="46"/>
  <c r="D20" i="46"/>
  <c r="O20" i="46"/>
  <c r="P20" i="46"/>
  <c r="Q20" i="46"/>
  <c r="V20" i="46"/>
  <c r="W20" i="46"/>
  <c r="X20" i="46"/>
  <c r="Y20" i="46"/>
  <c r="Z20" i="46"/>
  <c r="AA20" i="46"/>
  <c r="AB20" i="46"/>
  <c r="AC20" i="46"/>
  <c r="AD20" i="46"/>
  <c r="AE20" i="46"/>
  <c r="AF20" i="46"/>
  <c r="AG20" i="46"/>
  <c r="D21" i="46"/>
  <c r="O21" i="46"/>
  <c r="P21" i="46"/>
  <c r="Q21" i="46"/>
  <c r="V21" i="46"/>
  <c r="W21" i="46"/>
  <c r="X21" i="46"/>
  <c r="Y21" i="46"/>
  <c r="Z21" i="46"/>
  <c r="AA21" i="46"/>
  <c r="AB21" i="46"/>
  <c r="AC21" i="46"/>
  <c r="AD21" i="46"/>
  <c r="AE21" i="46"/>
  <c r="AF21" i="46"/>
  <c r="AG21" i="46"/>
  <c r="D22" i="46"/>
  <c r="O22" i="46"/>
  <c r="P22" i="46"/>
  <c r="Q22" i="46"/>
  <c r="V22" i="46"/>
  <c r="W22" i="46"/>
  <c r="X22" i="46"/>
  <c r="Y22" i="46"/>
  <c r="Z22" i="46"/>
  <c r="AA22" i="46"/>
  <c r="AB22" i="46"/>
  <c r="AC22" i="46"/>
  <c r="AD22" i="46"/>
  <c r="AE22" i="46"/>
  <c r="AF22" i="46"/>
  <c r="AG22" i="46"/>
  <c r="D23" i="46"/>
  <c r="O23" i="46"/>
  <c r="P23" i="46"/>
  <c r="Q23" i="46"/>
  <c r="V23" i="46"/>
  <c r="W23" i="46"/>
  <c r="X23" i="46"/>
  <c r="Y23" i="46"/>
  <c r="Z23" i="46"/>
  <c r="AA23" i="46"/>
  <c r="AB23" i="46"/>
  <c r="AC23" i="46"/>
  <c r="AD23" i="46"/>
  <c r="AE23" i="46"/>
  <c r="AF23" i="46"/>
  <c r="AG23" i="46"/>
  <c r="D24" i="46"/>
  <c r="O24" i="46"/>
  <c r="P24" i="46"/>
  <c r="Q24" i="46"/>
  <c r="V24" i="46"/>
  <c r="W24" i="46"/>
  <c r="X24" i="46"/>
  <c r="Y24" i="46"/>
  <c r="Z24" i="46"/>
  <c r="AA24" i="46"/>
  <c r="AB24" i="46"/>
  <c r="AC24" i="46"/>
  <c r="AD24" i="46"/>
  <c r="AE24" i="46"/>
  <c r="AF24" i="46"/>
  <c r="AG24" i="46"/>
  <c r="D25" i="46"/>
  <c r="O25" i="46"/>
  <c r="P25" i="46"/>
  <c r="Q25" i="46"/>
  <c r="V25" i="46"/>
  <c r="W25" i="46"/>
  <c r="X25" i="46"/>
  <c r="Y25" i="46"/>
  <c r="Z25" i="46"/>
  <c r="AA25" i="46"/>
  <c r="AB25" i="46"/>
  <c r="AC25" i="46"/>
  <c r="AD25" i="46"/>
  <c r="AE25" i="46"/>
  <c r="AF25" i="46"/>
  <c r="AG25" i="46"/>
  <c r="D26" i="46"/>
  <c r="O26" i="46"/>
  <c r="P26" i="46"/>
  <c r="Q26" i="46"/>
  <c r="V26" i="46"/>
  <c r="W26" i="46"/>
  <c r="X26" i="46"/>
  <c r="Y26" i="46"/>
  <c r="Z26" i="46"/>
  <c r="AA26" i="46"/>
  <c r="AB26" i="46"/>
  <c r="AC26" i="46"/>
  <c r="AD26" i="46"/>
  <c r="AE26" i="46"/>
  <c r="AF26" i="46"/>
  <c r="AG26" i="46"/>
  <c r="D27" i="46"/>
  <c r="O27" i="46"/>
  <c r="P27" i="46"/>
  <c r="Q27" i="46"/>
  <c r="V27" i="46"/>
  <c r="W27" i="46"/>
  <c r="X27" i="46"/>
  <c r="Y27" i="46"/>
  <c r="Z27" i="46"/>
  <c r="AA27" i="46"/>
  <c r="AB27" i="46"/>
  <c r="AC27" i="46"/>
  <c r="AD27" i="46"/>
  <c r="AE27" i="46"/>
  <c r="AF27" i="46"/>
  <c r="AG27" i="46"/>
  <c r="M34" i="48"/>
  <c r="I34" i="48"/>
  <c r="N34" i="48"/>
  <c r="S34" i="48"/>
  <c r="M33" i="48"/>
  <c r="I33" i="48"/>
  <c r="N33" i="48"/>
  <c r="M32" i="48"/>
  <c r="I32" i="48"/>
  <c r="N32" i="48"/>
  <c r="M31" i="48"/>
  <c r="I31" i="48"/>
  <c r="N31" i="48"/>
  <c r="M30" i="48"/>
  <c r="I30" i="48"/>
  <c r="N30" i="48"/>
  <c r="M29" i="48"/>
  <c r="I29" i="48"/>
  <c r="N29" i="48"/>
  <c r="M28" i="48"/>
  <c r="I28" i="48"/>
  <c r="N28" i="48"/>
  <c r="M27" i="48"/>
  <c r="I27" i="48"/>
  <c r="N27" i="48"/>
  <c r="M26" i="48"/>
  <c r="I26" i="48"/>
  <c r="N26" i="48"/>
  <c r="M25" i="48"/>
  <c r="I25" i="48"/>
  <c r="N25" i="48"/>
  <c r="M24" i="48"/>
  <c r="I24" i="48"/>
  <c r="N24" i="48"/>
  <c r="M23" i="48"/>
  <c r="I23" i="48"/>
  <c r="N23" i="48"/>
  <c r="M22" i="48"/>
  <c r="I22" i="48"/>
  <c r="N22" i="48"/>
  <c r="M21" i="48"/>
  <c r="I21" i="48"/>
  <c r="N21" i="48"/>
  <c r="M20" i="48"/>
  <c r="I20" i="48"/>
  <c r="N20" i="48"/>
  <c r="M19" i="48"/>
  <c r="I19" i="48"/>
  <c r="N19" i="48"/>
  <c r="M18" i="48"/>
  <c r="I18" i="48"/>
  <c r="N18" i="48"/>
  <c r="M17" i="48"/>
  <c r="I17" i="48"/>
  <c r="N17" i="48"/>
  <c r="R34" i="48"/>
  <c r="R33" i="48" s="1"/>
  <c r="D17" i="48"/>
  <c r="O17" i="48"/>
  <c r="P17" i="48"/>
  <c r="Q17" i="48"/>
  <c r="V17" i="48"/>
  <c r="W17" i="48"/>
  <c r="X17" i="48"/>
  <c r="Y17" i="48"/>
  <c r="Z17" i="48"/>
  <c r="AA17" i="48"/>
  <c r="AB17" i="48"/>
  <c r="AC17" i="48"/>
  <c r="AD17" i="48"/>
  <c r="AE17" i="48"/>
  <c r="AF17" i="48"/>
  <c r="AG17" i="48"/>
  <c r="D18" i="48"/>
  <c r="O18" i="48"/>
  <c r="P18" i="48"/>
  <c r="Q18" i="48"/>
  <c r="V18" i="48"/>
  <c r="W18" i="48"/>
  <c r="X18" i="48"/>
  <c r="Y18" i="48"/>
  <c r="Z18" i="48"/>
  <c r="AA18" i="48"/>
  <c r="AB18" i="48"/>
  <c r="AC18" i="48"/>
  <c r="AD18" i="48"/>
  <c r="AE18" i="48"/>
  <c r="AF18" i="48"/>
  <c r="AG18" i="48"/>
  <c r="D19" i="48"/>
  <c r="O19" i="48"/>
  <c r="P19" i="48"/>
  <c r="Q19" i="48"/>
  <c r="V19" i="48"/>
  <c r="W19" i="48"/>
  <c r="X19" i="48"/>
  <c r="Y19" i="48"/>
  <c r="Z19" i="48"/>
  <c r="AA19" i="48"/>
  <c r="AB19" i="48"/>
  <c r="AC19" i="48"/>
  <c r="AD19" i="48"/>
  <c r="AE19" i="48"/>
  <c r="AF19" i="48"/>
  <c r="AG19" i="48"/>
  <c r="D20" i="48"/>
  <c r="O20" i="48"/>
  <c r="P20" i="48"/>
  <c r="Q20" i="48"/>
  <c r="V20" i="48"/>
  <c r="W20" i="48"/>
  <c r="X20" i="48"/>
  <c r="Y20" i="48"/>
  <c r="Z20" i="48"/>
  <c r="AA20" i="48"/>
  <c r="AB20" i="48"/>
  <c r="AC20" i="48"/>
  <c r="AD20" i="48"/>
  <c r="AE20" i="48"/>
  <c r="AF20" i="48"/>
  <c r="AG20" i="48"/>
  <c r="D21" i="48"/>
  <c r="O21" i="48"/>
  <c r="P21" i="48"/>
  <c r="Q21" i="48"/>
  <c r="V21" i="48"/>
  <c r="W21" i="48"/>
  <c r="X21" i="48"/>
  <c r="Y21" i="48"/>
  <c r="Z21" i="48"/>
  <c r="AA21" i="48"/>
  <c r="AB21" i="48"/>
  <c r="AC21" i="48"/>
  <c r="AD21" i="48"/>
  <c r="AE21" i="48"/>
  <c r="AF21" i="48"/>
  <c r="AG21" i="48"/>
  <c r="D22" i="48"/>
  <c r="O22" i="48"/>
  <c r="P22" i="48"/>
  <c r="Q22" i="48"/>
  <c r="V22" i="48"/>
  <c r="W22" i="48"/>
  <c r="X22" i="48"/>
  <c r="Y22" i="48"/>
  <c r="Z22" i="48"/>
  <c r="AA22" i="48"/>
  <c r="AB22" i="48"/>
  <c r="AC22" i="48"/>
  <c r="AD22" i="48"/>
  <c r="AE22" i="48"/>
  <c r="AF22" i="48"/>
  <c r="AG22" i="48"/>
  <c r="D23" i="48"/>
  <c r="O23" i="48"/>
  <c r="P23" i="48"/>
  <c r="Q23" i="48"/>
  <c r="V23" i="48"/>
  <c r="W23" i="48"/>
  <c r="X23" i="48"/>
  <c r="Y23" i="48"/>
  <c r="Z23" i="48"/>
  <c r="AA23" i="48"/>
  <c r="AB23" i="48"/>
  <c r="AC23" i="48"/>
  <c r="AD23" i="48"/>
  <c r="AE23" i="48"/>
  <c r="AF23" i="48"/>
  <c r="AG23" i="48"/>
  <c r="D24" i="48"/>
  <c r="O24" i="48"/>
  <c r="P24" i="48"/>
  <c r="Q24" i="48"/>
  <c r="V24" i="48"/>
  <c r="W24" i="48"/>
  <c r="X24" i="48"/>
  <c r="Y24" i="48"/>
  <c r="Z24" i="48"/>
  <c r="AA24" i="48"/>
  <c r="AB24" i="48"/>
  <c r="AC24" i="48"/>
  <c r="AD24" i="48"/>
  <c r="AE24" i="48"/>
  <c r="AF24" i="48"/>
  <c r="AG24" i="48"/>
  <c r="D25" i="48"/>
  <c r="O25" i="48"/>
  <c r="P25" i="48"/>
  <c r="Q25" i="48"/>
  <c r="V25" i="48"/>
  <c r="W25" i="48"/>
  <c r="X25" i="48"/>
  <c r="Y25" i="48"/>
  <c r="Z25" i="48"/>
  <c r="AA25" i="48"/>
  <c r="AB25" i="48"/>
  <c r="AC25" i="48"/>
  <c r="AD25" i="48"/>
  <c r="AE25" i="48"/>
  <c r="AF25" i="48"/>
  <c r="AG25" i="48"/>
  <c r="D26" i="48"/>
  <c r="O26" i="48"/>
  <c r="P26" i="48"/>
  <c r="Q26" i="48"/>
  <c r="V26" i="48"/>
  <c r="W26" i="48"/>
  <c r="X26" i="48"/>
  <c r="Y26" i="48"/>
  <c r="Z26" i="48"/>
  <c r="AA26" i="48"/>
  <c r="AB26" i="48"/>
  <c r="AC26" i="48"/>
  <c r="AD26" i="48"/>
  <c r="AE26" i="48"/>
  <c r="AF26" i="48"/>
  <c r="AG26" i="48"/>
  <c r="D27" i="48"/>
  <c r="O27" i="48"/>
  <c r="P27" i="48"/>
  <c r="Q27" i="48"/>
  <c r="V27" i="48"/>
  <c r="W27" i="48"/>
  <c r="X27" i="48"/>
  <c r="Y27" i="48"/>
  <c r="Z27" i="48"/>
  <c r="AA27" i="48"/>
  <c r="AB27" i="48"/>
  <c r="AC27" i="48"/>
  <c r="AD27" i="48"/>
  <c r="AE27" i="48"/>
  <c r="AF27" i="48"/>
  <c r="AG27" i="48"/>
  <c r="D28" i="48"/>
  <c r="O28" i="48"/>
  <c r="P28" i="48"/>
  <c r="Q28" i="48"/>
  <c r="V28" i="48"/>
  <c r="W28" i="48"/>
  <c r="X28" i="48"/>
  <c r="Y28" i="48"/>
  <c r="Z28" i="48"/>
  <c r="AA28" i="48"/>
  <c r="AB28" i="48"/>
  <c r="AC28" i="48"/>
  <c r="AD28" i="48"/>
  <c r="AE28" i="48"/>
  <c r="AF28" i="48"/>
  <c r="AG28" i="48"/>
  <c r="D29" i="48"/>
  <c r="O29" i="48"/>
  <c r="P29" i="48"/>
  <c r="Q29" i="48"/>
  <c r="V29" i="48"/>
  <c r="W29" i="48"/>
  <c r="X29" i="48"/>
  <c r="Y29" i="48"/>
  <c r="Z29" i="48"/>
  <c r="AA29" i="48"/>
  <c r="AB29" i="48"/>
  <c r="AC29" i="48"/>
  <c r="AD29" i="48"/>
  <c r="AE29" i="48"/>
  <c r="AF29" i="48"/>
  <c r="AG29" i="48"/>
  <c r="D30" i="48"/>
  <c r="O30" i="48"/>
  <c r="P30" i="48"/>
  <c r="Q30" i="48"/>
  <c r="V30" i="48"/>
  <c r="W30" i="48"/>
  <c r="X30" i="48"/>
  <c r="Y30" i="48"/>
  <c r="Z30" i="48"/>
  <c r="AA30" i="48"/>
  <c r="AB30" i="48"/>
  <c r="AC30" i="48"/>
  <c r="AD30" i="48"/>
  <c r="AE30" i="48"/>
  <c r="AF30" i="48"/>
  <c r="AG30" i="48"/>
  <c r="D31" i="48"/>
  <c r="O31" i="48"/>
  <c r="P31" i="48"/>
  <c r="Q31" i="48"/>
  <c r="V31" i="48"/>
  <c r="W31" i="48"/>
  <c r="X31" i="48"/>
  <c r="Y31" i="48"/>
  <c r="Z31" i="48"/>
  <c r="AA31" i="48"/>
  <c r="AB31" i="48"/>
  <c r="AC31" i="48"/>
  <c r="AD31" i="48"/>
  <c r="AE31" i="48"/>
  <c r="AF31" i="48"/>
  <c r="AG31" i="48"/>
  <c r="D32" i="48"/>
  <c r="O32" i="48"/>
  <c r="P32" i="48"/>
  <c r="Q32" i="48"/>
  <c r="V32" i="48"/>
  <c r="W32" i="48"/>
  <c r="X32" i="48"/>
  <c r="Y32" i="48"/>
  <c r="Z32" i="48"/>
  <c r="AA32" i="48"/>
  <c r="AB32" i="48"/>
  <c r="AC32" i="48"/>
  <c r="AD32" i="48"/>
  <c r="AE32" i="48"/>
  <c r="AF32" i="48"/>
  <c r="AG32" i="48"/>
  <c r="D33" i="48"/>
  <c r="O33" i="48"/>
  <c r="P33" i="48"/>
  <c r="Q33" i="48"/>
  <c r="V33" i="48"/>
  <c r="W33" i="48"/>
  <c r="X33" i="48"/>
  <c r="Y33" i="48"/>
  <c r="Z33" i="48"/>
  <c r="AA33" i="48"/>
  <c r="AB33" i="48"/>
  <c r="AC33" i="48"/>
  <c r="AD33" i="48"/>
  <c r="AE33" i="48"/>
  <c r="AF33" i="48"/>
  <c r="AG33" i="48"/>
  <c r="D34" i="48"/>
  <c r="O34" i="48"/>
  <c r="P34" i="48"/>
  <c r="Q34" i="48"/>
  <c r="V34" i="48"/>
  <c r="W34" i="48"/>
  <c r="X34" i="48"/>
  <c r="Y34" i="48"/>
  <c r="Z34" i="48"/>
  <c r="AA34" i="48"/>
  <c r="AB34" i="48"/>
  <c r="AC34" i="48"/>
  <c r="AD34" i="48"/>
  <c r="AE34" i="48"/>
  <c r="AF34" i="48"/>
  <c r="AG34" i="48"/>
  <c r="M35" i="60"/>
  <c r="I35" i="60"/>
  <c r="N35" i="60"/>
  <c r="S35" i="60"/>
  <c r="S34" i="60" s="1"/>
  <c r="M34" i="60"/>
  <c r="I34" i="60"/>
  <c r="N34" i="60"/>
  <c r="M33" i="60"/>
  <c r="I33" i="60"/>
  <c r="N33" i="60"/>
  <c r="M32" i="60"/>
  <c r="I32" i="60"/>
  <c r="N32" i="60"/>
  <c r="M31" i="60"/>
  <c r="I31" i="60"/>
  <c r="N31" i="60"/>
  <c r="M30" i="60"/>
  <c r="I30" i="60"/>
  <c r="N30" i="60"/>
  <c r="M29" i="60"/>
  <c r="I29" i="60"/>
  <c r="N29" i="60"/>
  <c r="M28" i="60"/>
  <c r="I28" i="60"/>
  <c r="N28" i="60"/>
  <c r="M27" i="60"/>
  <c r="I27" i="60"/>
  <c r="N27" i="60"/>
  <c r="M26" i="60"/>
  <c r="I26" i="60"/>
  <c r="N26" i="60"/>
  <c r="M25" i="60"/>
  <c r="I25" i="60"/>
  <c r="N25" i="60"/>
  <c r="M24" i="60"/>
  <c r="I24" i="60"/>
  <c r="N24" i="60"/>
  <c r="M23" i="60"/>
  <c r="I23" i="60"/>
  <c r="N23" i="60"/>
  <c r="M22" i="60"/>
  <c r="I22" i="60"/>
  <c r="N22" i="60"/>
  <c r="M21" i="60"/>
  <c r="I21" i="60"/>
  <c r="N21" i="60"/>
  <c r="M20" i="60"/>
  <c r="I20" i="60"/>
  <c r="N20" i="60"/>
  <c r="M19" i="60"/>
  <c r="I19" i="60"/>
  <c r="N19" i="60"/>
  <c r="M18" i="60"/>
  <c r="I18" i="60"/>
  <c r="N18" i="60"/>
  <c r="M17" i="60"/>
  <c r="I17" i="60"/>
  <c r="N17" i="60"/>
  <c r="R35" i="60"/>
  <c r="R34" i="60" s="1"/>
  <c r="T35" i="60"/>
  <c r="U35" i="60" s="1"/>
  <c r="D17" i="60"/>
  <c r="O17" i="60"/>
  <c r="P17" i="60"/>
  <c r="Q17" i="60"/>
  <c r="V17" i="60"/>
  <c r="W17" i="60"/>
  <c r="X17" i="60"/>
  <c r="Y17" i="60"/>
  <c r="Z17" i="60"/>
  <c r="AA17" i="60"/>
  <c r="AB17" i="60"/>
  <c r="AC17" i="60"/>
  <c r="AD17" i="60"/>
  <c r="AE17" i="60"/>
  <c r="AF17" i="60"/>
  <c r="AG17" i="60"/>
  <c r="D18" i="60"/>
  <c r="O18" i="60"/>
  <c r="P18" i="60"/>
  <c r="Q18" i="60"/>
  <c r="V18" i="60"/>
  <c r="W18" i="60"/>
  <c r="X18" i="60"/>
  <c r="Y18" i="60"/>
  <c r="Z18" i="60"/>
  <c r="AA18" i="60"/>
  <c r="AB18" i="60"/>
  <c r="AC18" i="60"/>
  <c r="AD18" i="60"/>
  <c r="AE18" i="60"/>
  <c r="AF18" i="60"/>
  <c r="AG18" i="60"/>
  <c r="D19" i="60"/>
  <c r="O19" i="60"/>
  <c r="P19" i="60"/>
  <c r="Q19" i="60"/>
  <c r="V19" i="60"/>
  <c r="W19" i="60"/>
  <c r="X19" i="60"/>
  <c r="Y19" i="60"/>
  <c r="Z19" i="60"/>
  <c r="AA19" i="60"/>
  <c r="AB19" i="60"/>
  <c r="AC19" i="60"/>
  <c r="AD19" i="60"/>
  <c r="AE19" i="60"/>
  <c r="AF19" i="60"/>
  <c r="AG19" i="60"/>
  <c r="D20" i="60"/>
  <c r="O20" i="60"/>
  <c r="P20" i="60"/>
  <c r="Q20" i="60"/>
  <c r="V20" i="60"/>
  <c r="W20" i="60"/>
  <c r="X20" i="60"/>
  <c r="Y20" i="60"/>
  <c r="Z20" i="60"/>
  <c r="AA20" i="60"/>
  <c r="AB20" i="60"/>
  <c r="AC20" i="60"/>
  <c r="AD20" i="60"/>
  <c r="AE20" i="60"/>
  <c r="AF20" i="60"/>
  <c r="AG20" i="60"/>
  <c r="D21" i="60"/>
  <c r="O21" i="60"/>
  <c r="P21" i="60"/>
  <c r="Q21" i="60"/>
  <c r="V21" i="60"/>
  <c r="W21" i="60"/>
  <c r="X21" i="60"/>
  <c r="Y21" i="60"/>
  <c r="Z21" i="60"/>
  <c r="AA21" i="60"/>
  <c r="AB21" i="60"/>
  <c r="AC21" i="60"/>
  <c r="AD21" i="60"/>
  <c r="AE21" i="60"/>
  <c r="AF21" i="60"/>
  <c r="AG21" i="60"/>
  <c r="D22" i="60"/>
  <c r="O22" i="60"/>
  <c r="P22" i="60"/>
  <c r="Q22" i="60"/>
  <c r="V22" i="60"/>
  <c r="W22" i="60"/>
  <c r="X22" i="60"/>
  <c r="Y22" i="60"/>
  <c r="Z22" i="60"/>
  <c r="AA22" i="60"/>
  <c r="AB22" i="60"/>
  <c r="AC22" i="60"/>
  <c r="AD22" i="60"/>
  <c r="AE22" i="60"/>
  <c r="AF22" i="60"/>
  <c r="AG22" i="60"/>
  <c r="D23" i="60"/>
  <c r="O23" i="60"/>
  <c r="P23" i="60"/>
  <c r="Q23" i="60"/>
  <c r="V23" i="60"/>
  <c r="W23" i="60"/>
  <c r="X23" i="60"/>
  <c r="Y23" i="60"/>
  <c r="Z23" i="60"/>
  <c r="AA23" i="60"/>
  <c r="AB23" i="60"/>
  <c r="AC23" i="60"/>
  <c r="AD23" i="60"/>
  <c r="AE23" i="60"/>
  <c r="AF23" i="60"/>
  <c r="AG23" i="60"/>
  <c r="D24" i="60"/>
  <c r="O24" i="60"/>
  <c r="P24" i="60"/>
  <c r="Q24" i="60"/>
  <c r="V24" i="60"/>
  <c r="W24" i="60"/>
  <c r="X24" i="60"/>
  <c r="Y24" i="60"/>
  <c r="Z24" i="60"/>
  <c r="AA24" i="60"/>
  <c r="AB24" i="60"/>
  <c r="AC24" i="60"/>
  <c r="AD24" i="60"/>
  <c r="AE24" i="60"/>
  <c r="AF24" i="60"/>
  <c r="AG24" i="60"/>
  <c r="D25" i="60"/>
  <c r="O25" i="60"/>
  <c r="P25" i="60"/>
  <c r="Q25" i="60"/>
  <c r="V25" i="60"/>
  <c r="W25" i="60"/>
  <c r="X25" i="60"/>
  <c r="Y25" i="60"/>
  <c r="Z25" i="60"/>
  <c r="AA25" i="60"/>
  <c r="AB25" i="60"/>
  <c r="AC25" i="60"/>
  <c r="AD25" i="60"/>
  <c r="AE25" i="60"/>
  <c r="AF25" i="60"/>
  <c r="AG25" i="60"/>
  <c r="D26" i="60"/>
  <c r="O26" i="60"/>
  <c r="P26" i="60"/>
  <c r="Q26" i="60"/>
  <c r="V26" i="60"/>
  <c r="W26" i="60"/>
  <c r="X26" i="60"/>
  <c r="Y26" i="60"/>
  <c r="Z26" i="60"/>
  <c r="AA26" i="60"/>
  <c r="AB26" i="60"/>
  <c r="AC26" i="60"/>
  <c r="AD26" i="60"/>
  <c r="AE26" i="60"/>
  <c r="AF26" i="60"/>
  <c r="AG26" i="60"/>
  <c r="D27" i="60"/>
  <c r="O27" i="60"/>
  <c r="P27" i="60"/>
  <c r="Q27" i="60"/>
  <c r="V27" i="60"/>
  <c r="W27" i="60"/>
  <c r="X27" i="60"/>
  <c r="Y27" i="60"/>
  <c r="Z27" i="60"/>
  <c r="AA27" i="60"/>
  <c r="AB27" i="60"/>
  <c r="AC27" i="60"/>
  <c r="AD27" i="60"/>
  <c r="AE27" i="60"/>
  <c r="AF27" i="60"/>
  <c r="AG27" i="60"/>
  <c r="D28" i="60"/>
  <c r="O28" i="60"/>
  <c r="P28" i="60"/>
  <c r="Q28" i="60"/>
  <c r="V28" i="60"/>
  <c r="W28" i="60"/>
  <c r="X28" i="60"/>
  <c r="Y28" i="60"/>
  <c r="Z28" i="60"/>
  <c r="AA28" i="60"/>
  <c r="AB28" i="60"/>
  <c r="AC28" i="60"/>
  <c r="AD28" i="60"/>
  <c r="AE28" i="60"/>
  <c r="AF28" i="60"/>
  <c r="AG28" i="60"/>
  <c r="D29" i="60"/>
  <c r="O29" i="60"/>
  <c r="P29" i="60"/>
  <c r="Q29" i="60"/>
  <c r="V29" i="60"/>
  <c r="W29" i="60"/>
  <c r="X29" i="60"/>
  <c r="Y29" i="60"/>
  <c r="Z29" i="60"/>
  <c r="AA29" i="60"/>
  <c r="AB29" i="60"/>
  <c r="AC29" i="60"/>
  <c r="AD29" i="60"/>
  <c r="AE29" i="60"/>
  <c r="AF29" i="60"/>
  <c r="AG29" i="60"/>
  <c r="D30" i="60"/>
  <c r="O30" i="60"/>
  <c r="P30" i="60"/>
  <c r="Q30" i="60"/>
  <c r="V30" i="60"/>
  <c r="W30" i="60"/>
  <c r="X30" i="60"/>
  <c r="Y30" i="60"/>
  <c r="Z30" i="60"/>
  <c r="AA30" i="60"/>
  <c r="AB30" i="60"/>
  <c r="AC30" i="60"/>
  <c r="AD30" i="60"/>
  <c r="AE30" i="60"/>
  <c r="AF30" i="60"/>
  <c r="AG30" i="60"/>
  <c r="D31" i="60"/>
  <c r="O31" i="60"/>
  <c r="P31" i="60"/>
  <c r="Q31" i="60"/>
  <c r="V31" i="60"/>
  <c r="W31" i="60"/>
  <c r="X31" i="60"/>
  <c r="Y31" i="60"/>
  <c r="Z31" i="60"/>
  <c r="AA31" i="60"/>
  <c r="AB31" i="60"/>
  <c r="AC31" i="60"/>
  <c r="AD31" i="60"/>
  <c r="AE31" i="60"/>
  <c r="AF31" i="60"/>
  <c r="AG31" i="60"/>
  <c r="D32" i="60"/>
  <c r="O32" i="60"/>
  <c r="P32" i="60"/>
  <c r="Q32" i="60"/>
  <c r="V32" i="60"/>
  <c r="W32" i="60"/>
  <c r="X32" i="60"/>
  <c r="Y32" i="60"/>
  <c r="Z32" i="60"/>
  <c r="AA32" i="60"/>
  <c r="AB32" i="60"/>
  <c r="AC32" i="60"/>
  <c r="AD32" i="60"/>
  <c r="AE32" i="60"/>
  <c r="AF32" i="60"/>
  <c r="AG32" i="60"/>
  <c r="D33" i="60"/>
  <c r="O33" i="60"/>
  <c r="P33" i="60"/>
  <c r="Q33" i="60"/>
  <c r="V33" i="60"/>
  <c r="W33" i="60"/>
  <c r="X33" i="60"/>
  <c r="Y33" i="60"/>
  <c r="Z33" i="60"/>
  <c r="AA33" i="60"/>
  <c r="AB33" i="60"/>
  <c r="AC33" i="60"/>
  <c r="AD33" i="60"/>
  <c r="AE33" i="60"/>
  <c r="AF33" i="60"/>
  <c r="AG33" i="60"/>
  <c r="D34" i="60"/>
  <c r="O34" i="60"/>
  <c r="P34" i="60"/>
  <c r="Q34" i="60"/>
  <c r="V34" i="60"/>
  <c r="W34" i="60"/>
  <c r="X34" i="60"/>
  <c r="Y34" i="60"/>
  <c r="Z34" i="60"/>
  <c r="AA34" i="60"/>
  <c r="AB34" i="60"/>
  <c r="AC34" i="60"/>
  <c r="AD34" i="60"/>
  <c r="AE34" i="60"/>
  <c r="AF34" i="60"/>
  <c r="AG34" i="60"/>
  <c r="D35" i="60"/>
  <c r="O35" i="60"/>
  <c r="P35" i="60"/>
  <c r="Q35" i="60"/>
  <c r="V35" i="60"/>
  <c r="W35" i="60"/>
  <c r="X35" i="60"/>
  <c r="Y35" i="60"/>
  <c r="Z35" i="60"/>
  <c r="AA35" i="60"/>
  <c r="AB35" i="60"/>
  <c r="AC35" i="60"/>
  <c r="AD35" i="60"/>
  <c r="AE35" i="60"/>
  <c r="AF35" i="60"/>
  <c r="AG35" i="60"/>
  <c r="M25" i="61"/>
  <c r="I25" i="61"/>
  <c r="N25" i="61"/>
  <c r="S25" i="61"/>
  <c r="S24" i="61" s="1"/>
  <c r="S23" i="61" s="1"/>
  <c r="S22" i="61" s="1"/>
  <c r="M24" i="61"/>
  <c r="I24" i="61"/>
  <c r="N24" i="61"/>
  <c r="M23" i="61"/>
  <c r="I23" i="61"/>
  <c r="N23" i="61"/>
  <c r="M22" i="61"/>
  <c r="I22" i="61"/>
  <c r="N22" i="61"/>
  <c r="M21" i="61"/>
  <c r="I21" i="61"/>
  <c r="N21" i="61"/>
  <c r="M20" i="61"/>
  <c r="I20" i="61"/>
  <c r="N20" i="61"/>
  <c r="M19" i="61"/>
  <c r="I19" i="61"/>
  <c r="N19" i="61"/>
  <c r="M18" i="61"/>
  <c r="I18" i="61"/>
  <c r="N18" i="61"/>
  <c r="M17" i="61"/>
  <c r="I17" i="61"/>
  <c r="N17" i="61"/>
  <c r="R25" i="61"/>
  <c r="T25" i="61" s="1"/>
  <c r="D17" i="61"/>
  <c r="O17" i="61"/>
  <c r="P17" i="61"/>
  <c r="Q17" i="61"/>
  <c r="V17" i="61"/>
  <c r="W17" i="61"/>
  <c r="X17" i="61"/>
  <c r="Y17" i="61"/>
  <c r="Z17" i="61"/>
  <c r="AA17" i="61"/>
  <c r="AB17" i="61"/>
  <c r="AC17" i="61"/>
  <c r="AD17" i="61"/>
  <c r="AE17" i="61"/>
  <c r="AF17" i="61"/>
  <c r="AG17" i="61"/>
  <c r="D18" i="61"/>
  <c r="O18" i="61"/>
  <c r="P18" i="61"/>
  <c r="Q18" i="61"/>
  <c r="V18" i="61"/>
  <c r="W18" i="61"/>
  <c r="X18" i="61"/>
  <c r="Y18" i="61"/>
  <c r="Z18" i="61"/>
  <c r="AA18" i="61"/>
  <c r="AB18" i="61"/>
  <c r="AC18" i="61"/>
  <c r="AD18" i="61"/>
  <c r="AE18" i="61"/>
  <c r="AF18" i="61"/>
  <c r="AG18" i="61"/>
  <c r="D19" i="61"/>
  <c r="O19" i="61"/>
  <c r="P19" i="61"/>
  <c r="Q19" i="61"/>
  <c r="V19" i="61"/>
  <c r="W19" i="61"/>
  <c r="X19" i="61"/>
  <c r="Y19" i="61"/>
  <c r="Z19" i="61"/>
  <c r="AA19" i="61"/>
  <c r="AB19" i="61"/>
  <c r="AC19" i="61"/>
  <c r="AD19" i="61"/>
  <c r="AE19" i="61"/>
  <c r="AF19" i="61"/>
  <c r="AG19" i="61"/>
  <c r="D20" i="61"/>
  <c r="O20" i="61"/>
  <c r="P20" i="61"/>
  <c r="Q20" i="61"/>
  <c r="V20" i="61"/>
  <c r="W20" i="61"/>
  <c r="X20" i="61"/>
  <c r="Y20" i="61"/>
  <c r="Z20" i="61"/>
  <c r="AA20" i="61"/>
  <c r="AB20" i="61"/>
  <c r="AC20" i="61"/>
  <c r="AD20" i="61"/>
  <c r="AE20" i="61"/>
  <c r="AF20" i="61"/>
  <c r="AG20" i="61"/>
  <c r="D21" i="61"/>
  <c r="O21" i="61"/>
  <c r="P21" i="61"/>
  <c r="Q21" i="61"/>
  <c r="V21" i="61"/>
  <c r="W21" i="61"/>
  <c r="X21" i="61"/>
  <c r="Y21" i="61"/>
  <c r="Z21" i="61"/>
  <c r="AA21" i="61"/>
  <c r="AB21" i="61"/>
  <c r="AC21" i="61"/>
  <c r="AD21" i="61"/>
  <c r="AE21" i="61"/>
  <c r="AF21" i="61"/>
  <c r="AG21" i="61"/>
  <c r="D22" i="61"/>
  <c r="O22" i="61"/>
  <c r="P22" i="61"/>
  <c r="Q22" i="61"/>
  <c r="V22" i="61"/>
  <c r="W22" i="61"/>
  <c r="X22" i="61"/>
  <c r="Y22" i="61"/>
  <c r="Z22" i="61"/>
  <c r="AA22" i="61"/>
  <c r="AB22" i="61"/>
  <c r="AC22" i="61"/>
  <c r="AD22" i="61"/>
  <c r="AE22" i="61"/>
  <c r="AF22" i="61"/>
  <c r="AG22" i="61"/>
  <c r="D23" i="61"/>
  <c r="O23" i="61"/>
  <c r="P23" i="61"/>
  <c r="Q23" i="61"/>
  <c r="V23" i="61"/>
  <c r="W23" i="61"/>
  <c r="X23" i="61"/>
  <c r="Y23" i="61"/>
  <c r="Z23" i="61"/>
  <c r="AA23" i="61"/>
  <c r="AB23" i="61"/>
  <c r="AC23" i="61"/>
  <c r="AD23" i="61"/>
  <c r="AE23" i="61"/>
  <c r="AF23" i="61"/>
  <c r="AG23" i="61"/>
  <c r="D24" i="61"/>
  <c r="O24" i="61"/>
  <c r="P24" i="61"/>
  <c r="Q24" i="61"/>
  <c r="V24" i="61"/>
  <c r="W24" i="61"/>
  <c r="X24" i="61"/>
  <c r="Y24" i="61"/>
  <c r="Z24" i="61"/>
  <c r="AA24" i="61"/>
  <c r="AB24" i="61"/>
  <c r="AC24" i="61"/>
  <c r="AD24" i="61"/>
  <c r="AE24" i="61"/>
  <c r="AF24" i="61"/>
  <c r="AG24" i="61"/>
  <c r="D25" i="61"/>
  <c r="O25" i="61"/>
  <c r="P25" i="61"/>
  <c r="Q25" i="61"/>
  <c r="V25" i="61"/>
  <c r="W25" i="61"/>
  <c r="X25" i="61"/>
  <c r="Y25" i="61"/>
  <c r="Z25" i="61"/>
  <c r="AA25" i="61"/>
  <c r="AB25" i="61"/>
  <c r="AC25" i="61"/>
  <c r="AD25" i="61"/>
  <c r="AE25" i="61"/>
  <c r="AF25" i="61"/>
  <c r="AG25" i="61"/>
  <c r="M27" i="62"/>
  <c r="I27" i="62"/>
  <c r="N27" i="62"/>
  <c r="S27" i="62"/>
  <c r="S26" i="62" s="1"/>
  <c r="M26" i="62"/>
  <c r="I26" i="62"/>
  <c r="N26" i="62"/>
  <c r="M25" i="62"/>
  <c r="I25" i="62"/>
  <c r="N25" i="62"/>
  <c r="M24" i="62"/>
  <c r="I24" i="62"/>
  <c r="N24" i="62"/>
  <c r="M23" i="62"/>
  <c r="I23" i="62"/>
  <c r="N23" i="62"/>
  <c r="M22" i="62"/>
  <c r="I22" i="62"/>
  <c r="N22" i="62"/>
  <c r="M21" i="62"/>
  <c r="I21" i="62"/>
  <c r="N21" i="62"/>
  <c r="M20" i="62"/>
  <c r="I20" i="62"/>
  <c r="N20" i="62"/>
  <c r="M19" i="62"/>
  <c r="I19" i="62"/>
  <c r="N19" i="62"/>
  <c r="M18" i="62"/>
  <c r="I18" i="62"/>
  <c r="N18" i="62"/>
  <c r="M17" i="62"/>
  <c r="I17" i="62"/>
  <c r="N17" i="62"/>
  <c r="R27" i="62"/>
  <c r="T27" i="62" s="1"/>
  <c r="D17" i="62"/>
  <c r="O17" i="62"/>
  <c r="P17" i="62"/>
  <c r="Q17" i="62"/>
  <c r="V17" i="62"/>
  <c r="W17" i="62"/>
  <c r="X17" i="62"/>
  <c r="Y17" i="62"/>
  <c r="Z17" i="62"/>
  <c r="AA17" i="62"/>
  <c r="AB17" i="62"/>
  <c r="AC17" i="62"/>
  <c r="AD17" i="62"/>
  <c r="AE17" i="62"/>
  <c r="AF17" i="62"/>
  <c r="AG17" i="62"/>
  <c r="D18" i="62"/>
  <c r="O18" i="62"/>
  <c r="P18" i="62"/>
  <c r="Q18" i="62"/>
  <c r="V18" i="62"/>
  <c r="W18" i="62"/>
  <c r="X18" i="62"/>
  <c r="Y18" i="62"/>
  <c r="Z18" i="62"/>
  <c r="AA18" i="62"/>
  <c r="AB18" i="62"/>
  <c r="AC18" i="62"/>
  <c r="AD18" i="62"/>
  <c r="AE18" i="62"/>
  <c r="AF18" i="62"/>
  <c r="AG18" i="62"/>
  <c r="D19" i="62"/>
  <c r="O19" i="62"/>
  <c r="P19" i="62"/>
  <c r="Q19" i="62"/>
  <c r="V19" i="62"/>
  <c r="W19" i="62"/>
  <c r="X19" i="62"/>
  <c r="Y19" i="62"/>
  <c r="Z19" i="62"/>
  <c r="AA19" i="62"/>
  <c r="AB19" i="62"/>
  <c r="AC19" i="62"/>
  <c r="AD19" i="62"/>
  <c r="AE19" i="62"/>
  <c r="AF19" i="62"/>
  <c r="AG19" i="62"/>
  <c r="D20" i="62"/>
  <c r="O20" i="62"/>
  <c r="P20" i="62"/>
  <c r="Q20" i="62"/>
  <c r="V20" i="62"/>
  <c r="W20" i="62"/>
  <c r="X20" i="62"/>
  <c r="Y20" i="62"/>
  <c r="Z20" i="62"/>
  <c r="AA20" i="62"/>
  <c r="AB20" i="62"/>
  <c r="AC20" i="62"/>
  <c r="AD20" i="62"/>
  <c r="AE20" i="62"/>
  <c r="AF20" i="62"/>
  <c r="AG20" i="62"/>
  <c r="D21" i="62"/>
  <c r="O21" i="62"/>
  <c r="P21" i="62"/>
  <c r="Q21" i="62"/>
  <c r="V21" i="62"/>
  <c r="W21" i="62"/>
  <c r="X21" i="62"/>
  <c r="Y21" i="62"/>
  <c r="Z21" i="62"/>
  <c r="AA21" i="62"/>
  <c r="AB21" i="62"/>
  <c r="AC21" i="62"/>
  <c r="AD21" i="62"/>
  <c r="AE21" i="62"/>
  <c r="AF21" i="62"/>
  <c r="AG21" i="62"/>
  <c r="D22" i="62"/>
  <c r="O22" i="62"/>
  <c r="P22" i="62"/>
  <c r="Q22" i="62"/>
  <c r="V22" i="62"/>
  <c r="W22" i="62"/>
  <c r="X22" i="62"/>
  <c r="Y22" i="62"/>
  <c r="Z22" i="62"/>
  <c r="AA22" i="62"/>
  <c r="AB22" i="62"/>
  <c r="AC22" i="62"/>
  <c r="AD22" i="62"/>
  <c r="AE22" i="62"/>
  <c r="AF22" i="62"/>
  <c r="AG22" i="62"/>
  <c r="D23" i="62"/>
  <c r="O23" i="62"/>
  <c r="P23" i="62"/>
  <c r="Q23" i="62"/>
  <c r="V23" i="62"/>
  <c r="W23" i="62"/>
  <c r="X23" i="62"/>
  <c r="Y23" i="62"/>
  <c r="Z23" i="62"/>
  <c r="AA23" i="62"/>
  <c r="AB23" i="62"/>
  <c r="AC23" i="62"/>
  <c r="AD23" i="62"/>
  <c r="AE23" i="62"/>
  <c r="AF23" i="62"/>
  <c r="AG23" i="62"/>
  <c r="D24" i="62"/>
  <c r="O24" i="62"/>
  <c r="P24" i="62"/>
  <c r="Q24" i="62"/>
  <c r="V24" i="62"/>
  <c r="W24" i="62"/>
  <c r="X24" i="62"/>
  <c r="Y24" i="62"/>
  <c r="Z24" i="62"/>
  <c r="AA24" i="62"/>
  <c r="AB24" i="62"/>
  <c r="AC24" i="62"/>
  <c r="AD24" i="62"/>
  <c r="AE24" i="62"/>
  <c r="AF24" i="62"/>
  <c r="AG24" i="62"/>
  <c r="D25" i="62"/>
  <c r="O25" i="62"/>
  <c r="P25" i="62"/>
  <c r="Q25" i="62"/>
  <c r="V25" i="62"/>
  <c r="W25" i="62"/>
  <c r="X25" i="62"/>
  <c r="Y25" i="62"/>
  <c r="Z25" i="62"/>
  <c r="AA25" i="62"/>
  <c r="AB25" i="62"/>
  <c r="AC25" i="62"/>
  <c r="AD25" i="62"/>
  <c r="AE25" i="62"/>
  <c r="AF25" i="62"/>
  <c r="AG25" i="62"/>
  <c r="D26" i="62"/>
  <c r="O26" i="62"/>
  <c r="P26" i="62"/>
  <c r="Q26" i="62"/>
  <c r="V26" i="62"/>
  <c r="W26" i="62"/>
  <c r="X26" i="62"/>
  <c r="Y26" i="62"/>
  <c r="Z26" i="62"/>
  <c r="AA26" i="62"/>
  <c r="AB26" i="62"/>
  <c r="AC26" i="62"/>
  <c r="AD26" i="62"/>
  <c r="AE26" i="62"/>
  <c r="AF26" i="62"/>
  <c r="AG26" i="62"/>
  <c r="D27" i="62"/>
  <c r="O27" i="62"/>
  <c r="P27" i="62"/>
  <c r="Q27" i="62"/>
  <c r="V27" i="62"/>
  <c r="W27" i="62"/>
  <c r="X27" i="62"/>
  <c r="Y27" i="62"/>
  <c r="Z27" i="62"/>
  <c r="AA27" i="62"/>
  <c r="AB27" i="62"/>
  <c r="AC27" i="62"/>
  <c r="AD27" i="62"/>
  <c r="AE27" i="62"/>
  <c r="AF27" i="62"/>
  <c r="AG27" i="62"/>
  <c r="AG13" i="62"/>
  <c r="AF13" i="62"/>
  <c r="AE13" i="62"/>
  <c r="AD13" i="62"/>
  <c r="AC13" i="62"/>
  <c r="AB13" i="62"/>
  <c r="AA13" i="62"/>
  <c r="Z13" i="62"/>
  <c r="Y13" i="62"/>
  <c r="X13" i="62"/>
  <c r="W13" i="62"/>
  <c r="V13" i="62"/>
  <c r="Q13" i="62"/>
  <c r="P13" i="62"/>
  <c r="O13" i="62"/>
  <c r="N13" i="62"/>
  <c r="F6" i="62"/>
  <c r="F7" i="62"/>
  <c r="F8" i="62"/>
  <c r="F9" i="62"/>
  <c r="F13" i="62"/>
  <c r="J12" i="62"/>
  <c r="X10" i="62"/>
  <c r="V9" i="62"/>
  <c r="X9" i="62"/>
  <c r="H9" i="62"/>
  <c r="G9" i="62"/>
  <c r="AB8" i="62"/>
  <c r="Z8" i="62"/>
  <c r="X8" i="62"/>
  <c r="V8" i="62"/>
  <c r="G8" i="62"/>
  <c r="AB6" i="62"/>
  <c r="N6" i="62"/>
  <c r="AB7" i="62"/>
  <c r="Z6" i="62"/>
  <c r="Z7" i="62"/>
  <c r="X6" i="62"/>
  <c r="X7" i="62"/>
  <c r="V6" i="62"/>
  <c r="V7" i="62"/>
  <c r="J7" i="62"/>
  <c r="H7" i="62"/>
  <c r="I7" i="62"/>
  <c r="G7" i="62"/>
  <c r="AS4" i="62"/>
  <c r="AS5" i="62"/>
  <c r="AG13" i="61"/>
  <c r="AF13" i="61"/>
  <c r="AE13" i="61"/>
  <c r="AD13" i="61"/>
  <c r="AC13" i="61"/>
  <c r="AB13" i="61"/>
  <c r="AA13" i="61"/>
  <c r="Z13" i="61"/>
  <c r="Y13" i="61"/>
  <c r="X13" i="61"/>
  <c r="W13" i="61"/>
  <c r="V13" i="61"/>
  <c r="Q13" i="61"/>
  <c r="P13" i="61"/>
  <c r="O13" i="61"/>
  <c r="N13" i="61"/>
  <c r="F6" i="61"/>
  <c r="F7" i="61"/>
  <c r="F8" i="61"/>
  <c r="F9" i="61"/>
  <c r="F13" i="61"/>
  <c r="J12" i="61"/>
  <c r="X10" i="61"/>
  <c r="V9" i="61"/>
  <c r="X9" i="61"/>
  <c r="H9" i="61"/>
  <c r="G9" i="61"/>
  <c r="AB8" i="61"/>
  <c r="Z8" i="61"/>
  <c r="X8" i="61"/>
  <c r="V8" i="61"/>
  <c r="G8" i="61"/>
  <c r="AB6" i="61"/>
  <c r="N6" i="61"/>
  <c r="AB7" i="61"/>
  <c r="Z6" i="61"/>
  <c r="Z7" i="61"/>
  <c r="X6" i="61"/>
  <c r="X7" i="61"/>
  <c r="V6" i="61"/>
  <c r="V7" i="61"/>
  <c r="J7" i="61"/>
  <c r="H7" i="61"/>
  <c r="I7" i="61"/>
  <c r="G7" i="61"/>
  <c r="AS4" i="61"/>
  <c r="AS5" i="61"/>
  <c r="AG13" i="60"/>
  <c r="AF13" i="60"/>
  <c r="AE13" i="60"/>
  <c r="AD13" i="60"/>
  <c r="AC13" i="60"/>
  <c r="AB13" i="60"/>
  <c r="AA13" i="60"/>
  <c r="Z13" i="60"/>
  <c r="Y13" i="60"/>
  <c r="X13" i="60"/>
  <c r="W13" i="60"/>
  <c r="V13" i="60"/>
  <c r="Q13" i="60"/>
  <c r="P13" i="60"/>
  <c r="O13" i="60"/>
  <c r="N13" i="60"/>
  <c r="F6" i="60"/>
  <c r="F7" i="60"/>
  <c r="F8" i="60"/>
  <c r="F9" i="60"/>
  <c r="F13" i="60"/>
  <c r="J12" i="60"/>
  <c r="X10" i="60"/>
  <c r="V9" i="60"/>
  <c r="X9" i="60"/>
  <c r="H9" i="60"/>
  <c r="G9" i="60"/>
  <c r="AB8" i="60"/>
  <c r="Z8" i="60"/>
  <c r="X8" i="60"/>
  <c r="V8" i="60"/>
  <c r="G8" i="60"/>
  <c r="AB6" i="60"/>
  <c r="N6" i="60"/>
  <c r="AB7" i="60"/>
  <c r="Z6" i="60"/>
  <c r="Z7" i="60"/>
  <c r="X6" i="60"/>
  <c r="X7" i="60"/>
  <c r="V6" i="60"/>
  <c r="V7" i="60"/>
  <c r="J7" i="60"/>
  <c r="H7" i="60"/>
  <c r="I7" i="60"/>
  <c r="G7" i="60"/>
  <c r="AS4" i="60"/>
  <c r="AS5" i="60"/>
  <c r="AG13" i="59"/>
  <c r="AF13" i="59"/>
  <c r="AE13" i="59"/>
  <c r="AD13" i="59"/>
  <c r="AC13" i="59"/>
  <c r="AB13" i="59"/>
  <c r="AA13" i="59"/>
  <c r="Z13" i="59"/>
  <c r="Y13" i="59"/>
  <c r="X13" i="59"/>
  <c r="W13" i="59"/>
  <c r="V13" i="59"/>
  <c r="Q13" i="59"/>
  <c r="P13" i="59"/>
  <c r="O13" i="59"/>
  <c r="N13" i="59"/>
  <c r="F6" i="59"/>
  <c r="F7" i="59"/>
  <c r="F8" i="59"/>
  <c r="F9" i="59"/>
  <c r="F13" i="59"/>
  <c r="J12" i="59"/>
  <c r="X10" i="59"/>
  <c r="V9" i="59"/>
  <c r="X9" i="59"/>
  <c r="H9" i="59"/>
  <c r="G9" i="59"/>
  <c r="AB8" i="59"/>
  <c r="Z8" i="59"/>
  <c r="X8" i="59"/>
  <c r="V8" i="59"/>
  <c r="G8" i="59"/>
  <c r="AB6" i="59"/>
  <c r="N6" i="59"/>
  <c r="AB7" i="59"/>
  <c r="Z6" i="59"/>
  <c r="Z7" i="59"/>
  <c r="X6" i="59"/>
  <c r="X7" i="59"/>
  <c r="V6" i="59"/>
  <c r="V7" i="59"/>
  <c r="J7" i="59"/>
  <c r="H7" i="59"/>
  <c r="I7" i="59"/>
  <c r="G7" i="59"/>
  <c r="AS4" i="59"/>
  <c r="AS5" i="59"/>
  <c r="AG13" i="58"/>
  <c r="AF13" i="58"/>
  <c r="AE13" i="58"/>
  <c r="AD13" i="58"/>
  <c r="AC13" i="58"/>
  <c r="AB13" i="58"/>
  <c r="AA13" i="58"/>
  <c r="Z13" i="58"/>
  <c r="Y13" i="58"/>
  <c r="X13" i="58"/>
  <c r="W13" i="58"/>
  <c r="V13" i="58"/>
  <c r="Q13" i="58"/>
  <c r="P13" i="58"/>
  <c r="O13" i="58"/>
  <c r="N13" i="58"/>
  <c r="F6" i="58"/>
  <c r="F7" i="58"/>
  <c r="F8" i="58"/>
  <c r="F9" i="58"/>
  <c r="F13" i="58"/>
  <c r="J12" i="58"/>
  <c r="X10" i="58"/>
  <c r="V9" i="58"/>
  <c r="X9" i="58"/>
  <c r="H9" i="58"/>
  <c r="G9" i="58"/>
  <c r="AB8" i="58"/>
  <c r="Z8" i="58"/>
  <c r="X8" i="58"/>
  <c r="V8" i="58"/>
  <c r="G8" i="58"/>
  <c r="AB6" i="58"/>
  <c r="N6" i="58"/>
  <c r="AB7" i="58"/>
  <c r="Z6" i="58"/>
  <c r="Z7" i="58"/>
  <c r="X6" i="58"/>
  <c r="X7" i="58"/>
  <c r="V6" i="58"/>
  <c r="V7" i="58"/>
  <c r="J7" i="58"/>
  <c r="H7" i="58"/>
  <c r="I7" i="58"/>
  <c r="G7" i="58"/>
  <c r="AS4" i="58"/>
  <c r="AS5" i="58"/>
  <c r="AG13" i="57"/>
  <c r="AF13" i="57"/>
  <c r="AE13" i="57"/>
  <c r="AD13" i="57"/>
  <c r="AC13" i="57"/>
  <c r="AB13" i="57"/>
  <c r="AA13" i="57"/>
  <c r="Z13" i="57"/>
  <c r="Y13" i="57"/>
  <c r="X13" i="57"/>
  <c r="W13" i="57"/>
  <c r="V13" i="57"/>
  <c r="Q13" i="57"/>
  <c r="P13" i="57"/>
  <c r="O13" i="57"/>
  <c r="N13" i="57"/>
  <c r="F6" i="57"/>
  <c r="F7" i="57"/>
  <c r="F8" i="57"/>
  <c r="F9" i="57"/>
  <c r="F13" i="57"/>
  <c r="J12" i="57"/>
  <c r="X10" i="57"/>
  <c r="V9" i="57"/>
  <c r="X9" i="57"/>
  <c r="H9" i="57"/>
  <c r="G9" i="57"/>
  <c r="AB8" i="57"/>
  <c r="Z8" i="57"/>
  <c r="X8" i="57"/>
  <c r="V8" i="57"/>
  <c r="G8" i="57"/>
  <c r="AB6" i="57"/>
  <c r="N6" i="57"/>
  <c r="AB7" i="57"/>
  <c r="Z6" i="57"/>
  <c r="Z7" i="57"/>
  <c r="X6" i="57"/>
  <c r="X7" i="57"/>
  <c r="V6" i="57"/>
  <c r="V7" i="57"/>
  <c r="J7" i="57"/>
  <c r="H7" i="57"/>
  <c r="I7" i="57"/>
  <c r="G7" i="57"/>
  <c r="AS4" i="57"/>
  <c r="AS5" i="57"/>
  <c r="AG13" i="56"/>
  <c r="AF13" i="56"/>
  <c r="AE13" i="56"/>
  <c r="AD13" i="56"/>
  <c r="AC13" i="56"/>
  <c r="AB13" i="56"/>
  <c r="AA13" i="56"/>
  <c r="Z13" i="56"/>
  <c r="Y13" i="56"/>
  <c r="X13" i="56"/>
  <c r="W13" i="56"/>
  <c r="V13" i="56"/>
  <c r="Q13" i="56"/>
  <c r="P13" i="56"/>
  <c r="O13" i="56"/>
  <c r="N13" i="56"/>
  <c r="F6" i="56"/>
  <c r="F7" i="56"/>
  <c r="F8" i="56"/>
  <c r="F9" i="56"/>
  <c r="F13" i="56"/>
  <c r="J12" i="56"/>
  <c r="X10" i="56"/>
  <c r="V9" i="56"/>
  <c r="X9" i="56"/>
  <c r="H9" i="56"/>
  <c r="G9" i="56"/>
  <c r="AB8" i="56"/>
  <c r="Z8" i="56"/>
  <c r="X8" i="56"/>
  <c r="V8" i="56"/>
  <c r="G8" i="56"/>
  <c r="AB6" i="56"/>
  <c r="N6" i="56"/>
  <c r="AB7" i="56"/>
  <c r="Z6" i="56"/>
  <c r="Z7" i="56"/>
  <c r="X6" i="56"/>
  <c r="X7" i="56"/>
  <c r="V6" i="56"/>
  <c r="V7" i="56"/>
  <c r="J7" i="56"/>
  <c r="H7" i="56"/>
  <c r="I7" i="56"/>
  <c r="G7" i="56"/>
  <c r="AS4" i="56"/>
  <c r="AS5" i="56"/>
  <c r="AG13" i="55"/>
  <c r="AF13" i="55"/>
  <c r="AE13" i="55"/>
  <c r="AD13" i="55"/>
  <c r="AC13" i="55"/>
  <c r="AB13" i="55"/>
  <c r="AA13" i="55"/>
  <c r="Z13" i="55"/>
  <c r="Y13" i="55"/>
  <c r="X13" i="55"/>
  <c r="W13" i="55"/>
  <c r="V13" i="55"/>
  <c r="Q13" i="55"/>
  <c r="P13" i="55"/>
  <c r="O13" i="55"/>
  <c r="N13" i="55"/>
  <c r="F6" i="55"/>
  <c r="F7" i="55"/>
  <c r="F8" i="55"/>
  <c r="F9" i="55"/>
  <c r="F13" i="55"/>
  <c r="J12" i="55"/>
  <c r="X10" i="55"/>
  <c r="V9" i="55"/>
  <c r="X9" i="55"/>
  <c r="H9" i="55"/>
  <c r="G9" i="55"/>
  <c r="AB8" i="55"/>
  <c r="Z8" i="55"/>
  <c r="X8" i="55"/>
  <c r="V8" i="55"/>
  <c r="G8" i="55"/>
  <c r="AB6" i="55"/>
  <c r="N6" i="55"/>
  <c r="AB7" i="55"/>
  <c r="Z6" i="55"/>
  <c r="Z7" i="55"/>
  <c r="X6" i="55"/>
  <c r="X7" i="55"/>
  <c r="V6" i="55"/>
  <c r="V7" i="55"/>
  <c r="J7" i="55"/>
  <c r="H7" i="55"/>
  <c r="I7" i="55"/>
  <c r="G7" i="55"/>
  <c r="AS4" i="55"/>
  <c r="AS5" i="55"/>
  <c r="AG13" i="54"/>
  <c r="AF13" i="54"/>
  <c r="AE13" i="54"/>
  <c r="AD13" i="54"/>
  <c r="AC13" i="54"/>
  <c r="AB13" i="54"/>
  <c r="AA13" i="54"/>
  <c r="Z13" i="54"/>
  <c r="Y13" i="54"/>
  <c r="X13" i="54"/>
  <c r="W13" i="54"/>
  <c r="V13" i="54"/>
  <c r="Q13" i="54"/>
  <c r="P13" i="54"/>
  <c r="O13" i="54"/>
  <c r="N13" i="54"/>
  <c r="F6" i="54"/>
  <c r="F7" i="54"/>
  <c r="F8" i="54"/>
  <c r="F9" i="54"/>
  <c r="F13" i="54"/>
  <c r="J12" i="54"/>
  <c r="X10" i="54"/>
  <c r="V9" i="54"/>
  <c r="X9" i="54"/>
  <c r="H9" i="54"/>
  <c r="G9" i="54"/>
  <c r="AB8" i="54"/>
  <c r="Z8" i="54"/>
  <c r="X8" i="54"/>
  <c r="V8" i="54"/>
  <c r="G8" i="54"/>
  <c r="AB6" i="54"/>
  <c r="N6" i="54"/>
  <c r="AB7" i="54"/>
  <c r="Z6" i="54"/>
  <c r="Z7" i="54"/>
  <c r="X6" i="54"/>
  <c r="X7" i="54"/>
  <c r="V6" i="54"/>
  <c r="V7" i="54"/>
  <c r="J7" i="54"/>
  <c r="H7" i="54"/>
  <c r="I7" i="54"/>
  <c r="G7" i="54"/>
  <c r="AS4" i="54"/>
  <c r="AS5" i="54"/>
  <c r="AG13" i="53"/>
  <c r="AF13" i="53"/>
  <c r="AE13" i="53"/>
  <c r="AD13" i="53"/>
  <c r="AC13" i="53"/>
  <c r="AB13" i="53"/>
  <c r="AA13" i="53"/>
  <c r="Z13" i="53"/>
  <c r="Y13" i="53"/>
  <c r="X13" i="53"/>
  <c r="W13" i="53"/>
  <c r="V13" i="53"/>
  <c r="Q13" i="53"/>
  <c r="P13" i="53"/>
  <c r="O13" i="53"/>
  <c r="N13" i="53"/>
  <c r="F6" i="53"/>
  <c r="F7" i="53"/>
  <c r="F8" i="53"/>
  <c r="F9" i="53"/>
  <c r="F13" i="53"/>
  <c r="J12" i="53"/>
  <c r="X10" i="53"/>
  <c r="V9" i="53"/>
  <c r="X9" i="53"/>
  <c r="H9" i="53"/>
  <c r="G9" i="53"/>
  <c r="AB8" i="53"/>
  <c r="Z8" i="53"/>
  <c r="X8" i="53"/>
  <c r="V8" i="53"/>
  <c r="G8" i="53"/>
  <c r="AB6" i="53"/>
  <c r="N6" i="53"/>
  <c r="AB7" i="53"/>
  <c r="Z6" i="53"/>
  <c r="Z7" i="53"/>
  <c r="X6" i="53"/>
  <c r="X7" i="53"/>
  <c r="V6" i="53"/>
  <c r="V7" i="53"/>
  <c r="J7" i="53"/>
  <c r="H7" i="53"/>
  <c r="I7" i="53"/>
  <c r="G7" i="53"/>
  <c r="AS4" i="53"/>
  <c r="AS5" i="53"/>
  <c r="AG13" i="52"/>
  <c r="AF13" i="52"/>
  <c r="AE13" i="52"/>
  <c r="AD13" i="52"/>
  <c r="AC13" i="52"/>
  <c r="AB13" i="52"/>
  <c r="AA13" i="52"/>
  <c r="Z13" i="52"/>
  <c r="Y13" i="52"/>
  <c r="X13" i="52"/>
  <c r="W13" i="52"/>
  <c r="V13" i="52"/>
  <c r="Q13" i="52"/>
  <c r="P13" i="52"/>
  <c r="O13" i="52"/>
  <c r="N13" i="52"/>
  <c r="F6" i="52"/>
  <c r="F7" i="52"/>
  <c r="F8" i="52"/>
  <c r="F9" i="52"/>
  <c r="F13" i="52"/>
  <c r="J12" i="52"/>
  <c r="X10" i="52"/>
  <c r="V9" i="52"/>
  <c r="X9" i="52"/>
  <c r="H9" i="52"/>
  <c r="G9" i="52"/>
  <c r="AB8" i="52"/>
  <c r="Z8" i="52"/>
  <c r="X8" i="52"/>
  <c r="V8" i="52"/>
  <c r="G8" i="52"/>
  <c r="AB6" i="52"/>
  <c r="N6" i="52"/>
  <c r="AB7" i="52"/>
  <c r="Z6" i="52"/>
  <c r="Z7" i="52"/>
  <c r="X6" i="52"/>
  <c r="X7" i="52"/>
  <c r="V6" i="52"/>
  <c r="V7" i="52"/>
  <c r="J7" i="52"/>
  <c r="H7" i="52"/>
  <c r="I7" i="52"/>
  <c r="G7" i="52"/>
  <c r="AS4" i="52"/>
  <c r="AS5" i="52"/>
  <c r="AG13" i="51"/>
  <c r="AF13" i="51"/>
  <c r="AE13" i="51"/>
  <c r="AD13" i="51"/>
  <c r="AC13" i="51"/>
  <c r="AB13" i="51"/>
  <c r="AA13" i="51"/>
  <c r="Z13" i="51"/>
  <c r="Y13" i="51"/>
  <c r="X13" i="51"/>
  <c r="W13" i="51"/>
  <c r="V13" i="51"/>
  <c r="Q13" i="51"/>
  <c r="P13" i="51"/>
  <c r="O13" i="51"/>
  <c r="N13" i="51"/>
  <c r="F6" i="51"/>
  <c r="F7" i="51"/>
  <c r="F8" i="51"/>
  <c r="F9" i="51"/>
  <c r="F13" i="51"/>
  <c r="J12" i="51"/>
  <c r="X10" i="51"/>
  <c r="V9" i="51"/>
  <c r="X9" i="51"/>
  <c r="H9" i="51"/>
  <c r="G9" i="51"/>
  <c r="AB8" i="51"/>
  <c r="Z8" i="51"/>
  <c r="X8" i="51"/>
  <c r="V8" i="51"/>
  <c r="G8" i="51"/>
  <c r="AB6" i="51"/>
  <c r="N6" i="51"/>
  <c r="AB7" i="51"/>
  <c r="Z6" i="51"/>
  <c r="Z7" i="51"/>
  <c r="X6" i="51"/>
  <c r="X7" i="51"/>
  <c r="V6" i="51"/>
  <c r="V7" i="51"/>
  <c r="J7" i="51"/>
  <c r="H7" i="51"/>
  <c r="I7" i="51"/>
  <c r="G7" i="51"/>
  <c r="AS4" i="51"/>
  <c r="AS5" i="51"/>
  <c r="AG13" i="50"/>
  <c r="AF13" i="50"/>
  <c r="AE13" i="50"/>
  <c r="AD13" i="50"/>
  <c r="AC13" i="50"/>
  <c r="AB13" i="50"/>
  <c r="AA13" i="50"/>
  <c r="Z13" i="50"/>
  <c r="Y13" i="50"/>
  <c r="X13" i="50"/>
  <c r="W13" i="50"/>
  <c r="V13" i="50"/>
  <c r="Q13" i="50"/>
  <c r="P13" i="50"/>
  <c r="O13" i="50"/>
  <c r="N13" i="50"/>
  <c r="F6" i="50"/>
  <c r="F7" i="50"/>
  <c r="F8" i="50"/>
  <c r="F9" i="50"/>
  <c r="F13" i="50"/>
  <c r="J12" i="50"/>
  <c r="X10" i="50"/>
  <c r="V9" i="50"/>
  <c r="X9" i="50"/>
  <c r="H9" i="50"/>
  <c r="G9" i="50"/>
  <c r="AB8" i="50"/>
  <c r="Z8" i="50"/>
  <c r="X8" i="50"/>
  <c r="V8" i="50"/>
  <c r="G8" i="50"/>
  <c r="AB6" i="50"/>
  <c r="N6" i="50"/>
  <c r="AB7" i="50"/>
  <c r="Z6" i="50"/>
  <c r="Z7" i="50"/>
  <c r="X6" i="50"/>
  <c r="X7" i="50"/>
  <c r="V6" i="50"/>
  <c r="V7" i="50"/>
  <c r="J7" i="50"/>
  <c r="H7" i="50"/>
  <c r="I7" i="50"/>
  <c r="G7" i="50"/>
  <c r="AS4" i="50"/>
  <c r="AS5" i="50"/>
  <c r="AG13" i="49"/>
  <c r="AF13" i="49"/>
  <c r="AE13" i="49"/>
  <c r="AD13" i="49"/>
  <c r="AC13" i="49"/>
  <c r="AB13" i="49"/>
  <c r="AA13" i="49"/>
  <c r="Z13" i="49"/>
  <c r="Y13" i="49"/>
  <c r="X13" i="49"/>
  <c r="W13" i="49"/>
  <c r="V13" i="49"/>
  <c r="Q13" i="49"/>
  <c r="P13" i="49"/>
  <c r="O13" i="49"/>
  <c r="N13" i="49"/>
  <c r="F6" i="49"/>
  <c r="F7" i="49"/>
  <c r="F8" i="49"/>
  <c r="F9" i="49"/>
  <c r="F13" i="49"/>
  <c r="J12" i="49"/>
  <c r="X10" i="49"/>
  <c r="V9" i="49"/>
  <c r="X9" i="49"/>
  <c r="H9" i="49"/>
  <c r="G9" i="49"/>
  <c r="AB8" i="49"/>
  <c r="Z8" i="49"/>
  <c r="X8" i="49"/>
  <c r="V8" i="49"/>
  <c r="G8" i="49"/>
  <c r="AB6" i="49"/>
  <c r="N6" i="49"/>
  <c r="AB7" i="49"/>
  <c r="Z6" i="49"/>
  <c r="Z7" i="49"/>
  <c r="X6" i="49"/>
  <c r="X7" i="49"/>
  <c r="V6" i="49"/>
  <c r="V7" i="49"/>
  <c r="J7" i="49"/>
  <c r="H7" i="49"/>
  <c r="I7" i="49"/>
  <c r="G7" i="49"/>
  <c r="AS4" i="49"/>
  <c r="AS5" i="49"/>
  <c r="AG13" i="48"/>
  <c r="AF13" i="48"/>
  <c r="AE13" i="48"/>
  <c r="AD13" i="48"/>
  <c r="AC13" i="48"/>
  <c r="AB13" i="48"/>
  <c r="AA13" i="48"/>
  <c r="Z13" i="48"/>
  <c r="Y13" i="48"/>
  <c r="X13" i="48"/>
  <c r="W13" i="48"/>
  <c r="V13" i="48"/>
  <c r="Q13" i="48"/>
  <c r="P13" i="48"/>
  <c r="O13" i="48"/>
  <c r="N13" i="48"/>
  <c r="F6" i="48"/>
  <c r="F7" i="48"/>
  <c r="F8" i="48"/>
  <c r="F9" i="48"/>
  <c r="F13" i="48"/>
  <c r="J12" i="48"/>
  <c r="X10" i="48"/>
  <c r="V9" i="48"/>
  <c r="X9" i="48"/>
  <c r="H9" i="48"/>
  <c r="G9" i="48"/>
  <c r="AB8" i="48"/>
  <c r="Z8" i="48"/>
  <c r="X8" i="48"/>
  <c r="V8" i="48"/>
  <c r="G8" i="48"/>
  <c r="AB6" i="48"/>
  <c r="N6" i="48"/>
  <c r="AB7" i="48"/>
  <c r="Z6" i="48"/>
  <c r="Z7" i="48"/>
  <c r="X6" i="48"/>
  <c r="X7" i="48"/>
  <c r="V6" i="48"/>
  <c r="V7" i="48"/>
  <c r="J7" i="48"/>
  <c r="H7" i="48"/>
  <c r="I7" i="48"/>
  <c r="G7" i="48"/>
  <c r="AS4" i="48"/>
  <c r="AS5" i="48"/>
  <c r="AG13" i="47"/>
  <c r="AF13" i="47"/>
  <c r="AE13" i="47"/>
  <c r="AD13" i="47"/>
  <c r="AC13" i="47"/>
  <c r="AB13" i="47"/>
  <c r="AA13" i="47"/>
  <c r="Z13" i="47"/>
  <c r="Y13" i="47"/>
  <c r="X13" i="47"/>
  <c r="W13" i="47"/>
  <c r="V13" i="47"/>
  <c r="Q13" i="47"/>
  <c r="P13" i="47"/>
  <c r="O13" i="47"/>
  <c r="N13" i="47"/>
  <c r="F6" i="47"/>
  <c r="F7" i="47"/>
  <c r="F8" i="47"/>
  <c r="F9" i="47"/>
  <c r="F13" i="47"/>
  <c r="J12" i="47"/>
  <c r="X10" i="47"/>
  <c r="V9" i="47"/>
  <c r="X9" i="47"/>
  <c r="H9" i="47"/>
  <c r="G9" i="47"/>
  <c r="AB8" i="47"/>
  <c r="Z8" i="47"/>
  <c r="X8" i="47"/>
  <c r="V8" i="47"/>
  <c r="G8" i="47"/>
  <c r="AB6" i="47"/>
  <c r="N6" i="47"/>
  <c r="AB7" i="47"/>
  <c r="Z6" i="47"/>
  <c r="Z7" i="47"/>
  <c r="X6" i="47"/>
  <c r="X7" i="47"/>
  <c r="V6" i="47"/>
  <c r="V7" i="47"/>
  <c r="J7" i="47"/>
  <c r="H7" i="47"/>
  <c r="I7" i="47"/>
  <c r="G7" i="47"/>
  <c r="AS4" i="47"/>
  <c r="AS5" i="47"/>
  <c r="AG13" i="46"/>
  <c r="AF13" i="46"/>
  <c r="AE13" i="46"/>
  <c r="AD13" i="46"/>
  <c r="AC13" i="46"/>
  <c r="AB13" i="46"/>
  <c r="AA13" i="46"/>
  <c r="Z13" i="46"/>
  <c r="Y13" i="46"/>
  <c r="X13" i="46"/>
  <c r="W13" i="46"/>
  <c r="V13" i="46"/>
  <c r="Q13" i="46"/>
  <c r="P13" i="46"/>
  <c r="O13" i="46"/>
  <c r="N13" i="46"/>
  <c r="F6" i="46"/>
  <c r="F7" i="46"/>
  <c r="F8" i="46"/>
  <c r="F9" i="46"/>
  <c r="F13" i="46"/>
  <c r="J12" i="46"/>
  <c r="X10" i="46"/>
  <c r="V9" i="46"/>
  <c r="X9" i="46"/>
  <c r="H9" i="46"/>
  <c r="G9" i="46"/>
  <c r="AB8" i="46"/>
  <c r="Z8" i="46"/>
  <c r="X8" i="46"/>
  <c r="V8" i="46"/>
  <c r="G8" i="46"/>
  <c r="AB6" i="46"/>
  <c r="N6" i="46"/>
  <c r="AB7" i="46"/>
  <c r="Z6" i="46"/>
  <c r="Z7" i="46"/>
  <c r="X6" i="46"/>
  <c r="X7" i="46"/>
  <c r="V6" i="46"/>
  <c r="V7" i="46"/>
  <c r="J7" i="46"/>
  <c r="H7" i="46"/>
  <c r="I7" i="46"/>
  <c r="G7" i="46"/>
  <c r="AS4" i="46"/>
  <c r="AS5" i="46"/>
  <c r="AG13" i="45"/>
  <c r="AF13" i="45"/>
  <c r="AE13" i="45"/>
  <c r="AD13" i="45"/>
  <c r="AC13" i="45"/>
  <c r="AB13" i="45"/>
  <c r="AA13" i="45"/>
  <c r="Z13" i="45"/>
  <c r="Y13" i="45"/>
  <c r="X13" i="45"/>
  <c r="W13" i="45"/>
  <c r="V13" i="45"/>
  <c r="Q13" i="45"/>
  <c r="P13" i="45"/>
  <c r="O13" i="45"/>
  <c r="N13" i="45"/>
  <c r="F6" i="45"/>
  <c r="F7" i="45"/>
  <c r="F8" i="45"/>
  <c r="F9" i="45"/>
  <c r="F13" i="45"/>
  <c r="J12" i="45"/>
  <c r="X10" i="45"/>
  <c r="V9" i="45"/>
  <c r="X9" i="45"/>
  <c r="H9" i="45"/>
  <c r="G9" i="45"/>
  <c r="AB8" i="45"/>
  <c r="Z8" i="45"/>
  <c r="X8" i="45"/>
  <c r="V8" i="45"/>
  <c r="G8" i="45"/>
  <c r="AB6" i="45"/>
  <c r="N6" i="45"/>
  <c r="AB7" i="45"/>
  <c r="Z6" i="45"/>
  <c r="Z7" i="45"/>
  <c r="X6" i="45"/>
  <c r="X7" i="45"/>
  <c r="V6" i="45"/>
  <c r="V7" i="45"/>
  <c r="J7" i="45"/>
  <c r="H7" i="45"/>
  <c r="I7" i="45"/>
  <c r="G7" i="45"/>
  <c r="AS4" i="45"/>
  <c r="AS5" i="45"/>
  <c r="AG13" i="44"/>
  <c r="AF13" i="44"/>
  <c r="AE13" i="44"/>
  <c r="AD13" i="44"/>
  <c r="AC13" i="44"/>
  <c r="AB13" i="44"/>
  <c r="AA13" i="44"/>
  <c r="Z13" i="44"/>
  <c r="Y13" i="44"/>
  <c r="X13" i="44"/>
  <c r="W13" i="44"/>
  <c r="V13" i="44"/>
  <c r="Q13" i="44"/>
  <c r="P13" i="44"/>
  <c r="O13" i="44"/>
  <c r="N13" i="44"/>
  <c r="F6" i="44"/>
  <c r="F7" i="44"/>
  <c r="F8" i="44"/>
  <c r="F9" i="44"/>
  <c r="F13" i="44"/>
  <c r="J12" i="44"/>
  <c r="X10" i="44"/>
  <c r="V9" i="44"/>
  <c r="X9" i="44"/>
  <c r="H9" i="44"/>
  <c r="G9" i="44"/>
  <c r="AB8" i="44"/>
  <c r="Z8" i="44"/>
  <c r="X8" i="44"/>
  <c r="V8" i="44"/>
  <c r="G8" i="44"/>
  <c r="AB6" i="44"/>
  <c r="N6" i="44"/>
  <c r="AB7" i="44"/>
  <c r="Z6" i="44"/>
  <c r="Z7" i="44"/>
  <c r="X6" i="44"/>
  <c r="X7" i="44"/>
  <c r="V6" i="44"/>
  <c r="V7" i="44"/>
  <c r="J7" i="44"/>
  <c r="H7" i="44"/>
  <c r="I7" i="44"/>
  <c r="G7" i="44"/>
  <c r="AS4" i="44"/>
  <c r="AS5" i="44"/>
  <c r="AG13" i="43"/>
  <c r="AF13" i="43"/>
  <c r="AE13" i="43"/>
  <c r="AD13" i="43"/>
  <c r="AC13" i="43"/>
  <c r="AB13" i="43"/>
  <c r="AA13" i="43"/>
  <c r="Z13" i="43"/>
  <c r="Y13" i="43"/>
  <c r="X13" i="43"/>
  <c r="W13" i="43"/>
  <c r="V13" i="43"/>
  <c r="Q13" i="43"/>
  <c r="P13" i="43"/>
  <c r="O13" i="43"/>
  <c r="N13" i="43"/>
  <c r="F6" i="43"/>
  <c r="F7" i="43"/>
  <c r="F8" i="43"/>
  <c r="F9" i="43"/>
  <c r="F13" i="43"/>
  <c r="J12" i="43"/>
  <c r="X10" i="43"/>
  <c r="V9" i="43"/>
  <c r="X9" i="43"/>
  <c r="H9" i="43"/>
  <c r="G9" i="43"/>
  <c r="AB8" i="43"/>
  <c r="Z8" i="43"/>
  <c r="X8" i="43"/>
  <c r="V8" i="43"/>
  <c r="G8" i="43"/>
  <c r="AB6" i="43"/>
  <c r="N6" i="43"/>
  <c r="AB7" i="43"/>
  <c r="Z6" i="43"/>
  <c r="Z7" i="43"/>
  <c r="X6" i="43"/>
  <c r="X7" i="43"/>
  <c r="V6" i="43"/>
  <c r="V7" i="43"/>
  <c r="J7" i="43"/>
  <c r="H7" i="43"/>
  <c r="I7" i="43"/>
  <c r="G7" i="43"/>
  <c r="AS4" i="43"/>
  <c r="AS5" i="43"/>
  <c r="AG13" i="42"/>
  <c r="AF13" i="42"/>
  <c r="AE13" i="42"/>
  <c r="AD13" i="42"/>
  <c r="AC13" i="42"/>
  <c r="AB13" i="42"/>
  <c r="AA13" i="42"/>
  <c r="Z13" i="42"/>
  <c r="Y13" i="42"/>
  <c r="X13" i="42"/>
  <c r="W13" i="42"/>
  <c r="V13" i="42"/>
  <c r="Q13" i="42"/>
  <c r="P13" i="42"/>
  <c r="O13" i="42"/>
  <c r="N13" i="42"/>
  <c r="F6" i="42"/>
  <c r="F7" i="42"/>
  <c r="F8" i="42"/>
  <c r="F9" i="42"/>
  <c r="F13" i="42"/>
  <c r="J12" i="42"/>
  <c r="X10" i="42"/>
  <c r="V9" i="42"/>
  <c r="X9" i="42"/>
  <c r="H9" i="42"/>
  <c r="G9" i="42"/>
  <c r="AB8" i="42"/>
  <c r="Z8" i="42"/>
  <c r="X8" i="42"/>
  <c r="V8" i="42"/>
  <c r="G8" i="42"/>
  <c r="AB6" i="42"/>
  <c r="N6" i="42"/>
  <c r="AB7" i="42"/>
  <c r="Z6" i="42"/>
  <c r="Z7" i="42"/>
  <c r="X6" i="42"/>
  <c r="X7" i="42"/>
  <c r="V6" i="42"/>
  <c r="V7" i="42"/>
  <c r="J7" i="42"/>
  <c r="H7" i="42"/>
  <c r="I7" i="42"/>
  <c r="G7" i="42"/>
  <c r="AS4" i="42"/>
  <c r="AS5" i="42"/>
  <c r="AG13" i="41"/>
  <c r="AF13" i="41"/>
  <c r="AE13" i="41"/>
  <c r="AD13" i="41"/>
  <c r="AC13" i="41"/>
  <c r="AB13" i="41"/>
  <c r="AA13" i="41"/>
  <c r="Z13" i="41"/>
  <c r="Y13" i="41"/>
  <c r="X13" i="41"/>
  <c r="W13" i="41"/>
  <c r="V13" i="41"/>
  <c r="Q13" i="41"/>
  <c r="P13" i="41"/>
  <c r="O13" i="41"/>
  <c r="N13" i="41"/>
  <c r="F6" i="41"/>
  <c r="F7" i="41"/>
  <c r="F8" i="41"/>
  <c r="F9" i="41"/>
  <c r="F13" i="41"/>
  <c r="J12" i="41"/>
  <c r="X10" i="41"/>
  <c r="N10" i="41"/>
  <c r="V9" i="41"/>
  <c r="X9" i="41"/>
  <c r="N9" i="41"/>
  <c r="H9" i="41"/>
  <c r="G9" i="41"/>
  <c r="AB8" i="41"/>
  <c r="Z8" i="41"/>
  <c r="X8" i="41"/>
  <c r="V8" i="41"/>
  <c r="N8" i="41"/>
  <c r="G8" i="41"/>
  <c r="AB6" i="41"/>
  <c r="N6" i="41"/>
  <c r="AB7" i="41"/>
  <c r="Z6" i="41"/>
  <c r="Z7" i="41"/>
  <c r="X6" i="41"/>
  <c r="X7" i="41"/>
  <c r="V6" i="41"/>
  <c r="V7" i="41"/>
  <c r="J7" i="41"/>
  <c r="H7" i="41"/>
  <c r="I7" i="41"/>
  <c r="G7" i="41"/>
  <c r="AS4" i="41"/>
  <c r="AS5" i="41"/>
  <c r="F8" i="34"/>
  <c r="F6" i="34"/>
  <c r="F7" i="34"/>
  <c r="F9" i="34"/>
  <c r="F13" i="34"/>
  <c r="AG13" i="34"/>
  <c r="AF13" i="34"/>
  <c r="AE13" i="34"/>
  <c r="AD13" i="34"/>
  <c r="AC13" i="34"/>
  <c r="AB13" i="34"/>
  <c r="AA13" i="34"/>
  <c r="Z13" i="34"/>
  <c r="Y13" i="34"/>
  <c r="X13" i="34"/>
  <c r="W13" i="34"/>
  <c r="V13" i="34"/>
  <c r="Q13" i="34"/>
  <c r="P13" i="34"/>
  <c r="O13" i="34"/>
  <c r="N13" i="34"/>
  <c r="J12" i="34"/>
  <c r="X10" i="34"/>
  <c r="V9" i="34"/>
  <c r="X9" i="34"/>
  <c r="H9" i="34"/>
  <c r="G9" i="34"/>
  <c r="AB8" i="34"/>
  <c r="Z8" i="34"/>
  <c r="X8" i="34"/>
  <c r="V8" i="34"/>
  <c r="G8" i="34"/>
  <c r="AB6" i="34"/>
  <c r="N6" i="34"/>
  <c r="AB7" i="34"/>
  <c r="Z6" i="34"/>
  <c r="Z7" i="34"/>
  <c r="X6" i="34"/>
  <c r="X7" i="34"/>
  <c r="V6" i="34"/>
  <c r="V7" i="34"/>
  <c r="J7" i="34"/>
  <c r="H7" i="34"/>
  <c r="I7" i="34"/>
  <c r="G7" i="34"/>
  <c r="AS4" i="34"/>
  <c r="AS5" i="34"/>
  <c r="E2" i="6"/>
  <c r="E6" i="6"/>
  <c r="E5" i="6"/>
  <c r="E4" i="6"/>
  <c r="E3" i="6"/>
  <c r="G3" i="6"/>
  <c r="G2" i="6"/>
  <c r="P1" i="6"/>
  <c r="S1" i="6"/>
  <c r="M1" i="6"/>
  <c r="S25" i="62" l="1"/>
  <c r="R33" i="56"/>
  <c r="S33" i="56"/>
  <c r="U31" i="54"/>
  <c r="S30" i="54"/>
  <c r="R29" i="54" s="1"/>
  <c r="S26" i="46"/>
  <c r="U35" i="58"/>
  <c r="R38" i="49"/>
  <c r="T35" i="56"/>
  <c r="R33" i="50"/>
  <c r="R32" i="50" s="1"/>
  <c r="R30" i="54"/>
  <c r="R26" i="62"/>
  <c r="R25" i="62" s="1"/>
  <c r="R24" i="62" s="1"/>
  <c r="R24" i="61"/>
  <c r="R23" i="61" s="1"/>
  <c r="R22" i="61" s="1"/>
  <c r="R21" i="61" s="1"/>
  <c r="T34" i="48"/>
  <c r="U34" i="48" s="1"/>
  <c r="T31" i="42"/>
  <c r="U31" i="42" s="1"/>
  <c r="S48" i="57"/>
  <c r="S21" i="61"/>
  <c r="U27" i="46"/>
  <c r="T26" i="46"/>
  <c r="T24" i="61"/>
  <c r="T23" i="61" s="1"/>
  <c r="T22" i="61" s="1"/>
  <c r="T21" i="61" s="1"/>
  <c r="U25" i="61"/>
  <c r="S33" i="60"/>
  <c r="T34" i="60"/>
  <c r="T33" i="60" s="1"/>
  <c r="R33" i="60"/>
  <c r="U27" i="62"/>
  <c r="T26" i="62"/>
  <c r="T25" i="62" s="1"/>
  <c r="U25" i="62" s="1"/>
  <c r="S29" i="42"/>
  <c r="R29" i="42"/>
  <c r="T57" i="59"/>
  <c r="T56" i="59" s="1"/>
  <c r="U56" i="59" s="1"/>
  <c r="U58" i="59"/>
  <c r="S55" i="52"/>
  <c r="T30" i="42"/>
  <c r="T56" i="52"/>
  <c r="T55" i="52" s="1"/>
  <c r="U57" i="52"/>
  <c r="S29" i="54"/>
  <c r="R31" i="43"/>
  <c r="U32" i="43"/>
  <c r="S31" i="43"/>
  <c r="T30" i="54"/>
  <c r="T38" i="49"/>
  <c r="T37" i="49" s="1"/>
  <c r="U39" i="49"/>
  <c r="S33" i="48"/>
  <c r="S55" i="59"/>
  <c r="S37" i="49"/>
  <c r="R37" i="49"/>
  <c r="S28" i="53"/>
  <c r="U30" i="53"/>
  <c r="T29" i="53"/>
  <c r="U23" i="61"/>
  <c r="S34" i="58"/>
  <c r="R34" i="58"/>
  <c r="S40" i="45"/>
  <c r="T41" i="45"/>
  <c r="S24" i="62"/>
  <c r="R51" i="57"/>
  <c r="R50" i="57" s="1"/>
  <c r="R49" i="57" s="1"/>
  <c r="R48" i="57" s="1"/>
  <c r="T52" i="57"/>
  <c r="S32" i="56"/>
  <c r="R32" i="56"/>
  <c r="R35" i="44"/>
  <c r="S35" i="44"/>
  <c r="S20" i="51"/>
  <c r="U55" i="55"/>
  <c r="S54" i="55"/>
  <c r="T54" i="55" s="1"/>
  <c r="R54" i="55"/>
  <c r="U34" i="50"/>
  <c r="U33" i="50"/>
  <c r="S32" i="50"/>
  <c r="R56" i="52"/>
  <c r="R55" i="52" s="1"/>
  <c r="T21" i="51"/>
  <c r="T20" i="51" s="1"/>
  <c r="T37" i="44"/>
  <c r="S23" i="47"/>
  <c r="R29" i="53"/>
  <c r="R28" i="53" s="1"/>
  <c r="U57" i="59"/>
  <c r="R21" i="51"/>
  <c r="R20" i="51" s="1"/>
  <c r="R24" i="47"/>
  <c r="R23" i="47" s="1"/>
  <c r="R443" i="34"/>
  <c r="R442" i="34" s="1"/>
  <c r="T444" i="34"/>
  <c r="R41" i="45"/>
  <c r="R40" i="45" s="1"/>
  <c r="T24" i="47"/>
  <c r="U24" i="47" s="1"/>
  <c r="U25" i="47"/>
  <c r="R57" i="59"/>
  <c r="R56" i="59" s="1"/>
  <c r="R55" i="59" s="1"/>
  <c r="S442" i="34"/>
  <c r="T29" i="54" l="1"/>
  <c r="T34" i="56"/>
  <c r="U35" i="56"/>
  <c r="T28" i="53"/>
  <c r="R25" i="46"/>
  <c r="S25" i="46"/>
  <c r="T29" i="42"/>
  <c r="U29" i="42" s="1"/>
  <c r="U26" i="62"/>
  <c r="S54" i="59"/>
  <c r="R54" i="59"/>
  <c r="U34" i="60"/>
  <c r="U37" i="44"/>
  <c r="T36" i="44"/>
  <c r="U24" i="61"/>
  <c r="U33" i="60"/>
  <c r="S32" i="60"/>
  <c r="R32" i="60"/>
  <c r="R31" i="50"/>
  <c r="S31" i="50"/>
  <c r="U56" i="52"/>
  <c r="R441" i="34"/>
  <c r="S441" i="34"/>
  <c r="S30" i="43"/>
  <c r="R30" i="43"/>
  <c r="S54" i="52"/>
  <c r="T54" i="52" s="1"/>
  <c r="U55" i="52"/>
  <c r="R54" i="52"/>
  <c r="T23" i="47"/>
  <c r="U23" i="47" s="1"/>
  <c r="T51" i="57"/>
  <c r="U52" i="57"/>
  <c r="U26" i="46"/>
  <c r="R22" i="47"/>
  <c r="S22" i="47"/>
  <c r="T55" i="59"/>
  <c r="T54" i="59" s="1"/>
  <c r="R33" i="58"/>
  <c r="S33" i="58"/>
  <c r="T32" i="50"/>
  <c r="T31" i="50" s="1"/>
  <c r="R23" i="62"/>
  <c r="S23" i="62"/>
  <c r="U28" i="53"/>
  <c r="R27" i="53"/>
  <c r="S27" i="53"/>
  <c r="S53" i="55"/>
  <c r="T53" i="55" s="1"/>
  <c r="R53" i="55"/>
  <c r="U54" i="55"/>
  <c r="U30" i="42"/>
  <c r="U21" i="61"/>
  <c r="S20" i="61"/>
  <c r="T20" i="61" s="1"/>
  <c r="R20" i="61"/>
  <c r="R31" i="56"/>
  <c r="S31" i="56"/>
  <c r="U29" i="53"/>
  <c r="T34" i="58"/>
  <c r="U34" i="58" s="1"/>
  <c r="S28" i="42"/>
  <c r="T28" i="42" s="1"/>
  <c r="R28" i="42"/>
  <c r="U22" i="61"/>
  <c r="U21" i="51"/>
  <c r="T40" i="45"/>
  <c r="U38" i="49"/>
  <c r="T31" i="43"/>
  <c r="T30" i="43" s="1"/>
  <c r="T443" i="34"/>
  <c r="U444" i="34"/>
  <c r="R19" i="51"/>
  <c r="U20" i="51"/>
  <c r="S19" i="51"/>
  <c r="T24" i="62"/>
  <c r="R32" i="48"/>
  <c r="S32" i="48"/>
  <c r="T33" i="48"/>
  <c r="T32" i="48" s="1"/>
  <c r="S36" i="49"/>
  <c r="T36" i="49" s="1"/>
  <c r="R36" i="49"/>
  <c r="U37" i="49"/>
  <c r="U30" i="54"/>
  <c r="R39" i="45"/>
  <c r="S39" i="45"/>
  <c r="S34" i="44"/>
  <c r="R34" i="44"/>
  <c r="U41" i="45"/>
  <c r="U29" i="54"/>
  <c r="S28" i="54"/>
  <c r="R28" i="54"/>
  <c r="R47" i="57"/>
  <c r="S47" i="57"/>
  <c r="S24" i="46" l="1"/>
  <c r="R24" i="46"/>
  <c r="T39" i="45"/>
  <c r="T25" i="46"/>
  <c r="T33" i="56"/>
  <c r="U34" i="56"/>
  <c r="S18" i="51"/>
  <c r="R18" i="51"/>
  <c r="R22" i="62"/>
  <c r="S22" i="62"/>
  <c r="S30" i="50"/>
  <c r="R30" i="50"/>
  <c r="U31" i="50"/>
  <c r="R30" i="56"/>
  <c r="S30" i="56"/>
  <c r="S32" i="58"/>
  <c r="R32" i="58"/>
  <c r="U54" i="52"/>
  <c r="S53" i="52"/>
  <c r="R53" i="52"/>
  <c r="S31" i="60"/>
  <c r="R31" i="60"/>
  <c r="U443" i="34"/>
  <c r="T442" i="34"/>
  <c r="U20" i="61"/>
  <c r="S19" i="61"/>
  <c r="R19" i="61"/>
  <c r="U31" i="43"/>
  <c r="T53" i="52"/>
  <c r="S29" i="43"/>
  <c r="T29" i="43" s="1"/>
  <c r="U30" i="43"/>
  <c r="R29" i="43"/>
  <c r="R21" i="47"/>
  <c r="S21" i="47"/>
  <c r="S440" i="34"/>
  <c r="R440" i="34"/>
  <c r="T35" i="44"/>
  <c r="U36" i="44"/>
  <c r="R35" i="49"/>
  <c r="S35" i="49"/>
  <c r="T35" i="49" s="1"/>
  <c r="U36" i="49"/>
  <c r="S52" i="55"/>
  <c r="R52" i="55"/>
  <c r="U53" i="55"/>
  <c r="T24" i="46"/>
  <c r="U25" i="46"/>
  <c r="R46" i="57"/>
  <c r="S46" i="57"/>
  <c r="T19" i="51"/>
  <c r="T18" i="51" s="1"/>
  <c r="S33" i="44"/>
  <c r="R33" i="44"/>
  <c r="U40" i="45"/>
  <c r="U32" i="48"/>
  <c r="S31" i="48"/>
  <c r="R31" i="48"/>
  <c r="R27" i="42"/>
  <c r="S27" i="42"/>
  <c r="U28" i="42"/>
  <c r="S26" i="53"/>
  <c r="R26" i="53"/>
  <c r="T32" i="60"/>
  <c r="T31" i="60" s="1"/>
  <c r="T50" i="57"/>
  <c r="U51" i="57"/>
  <c r="R38" i="45"/>
  <c r="S38" i="45"/>
  <c r="T38" i="45" s="1"/>
  <c r="U39" i="45"/>
  <c r="R27" i="54"/>
  <c r="S27" i="54"/>
  <c r="T33" i="58"/>
  <c r="T32" i="58" s="1"/>
  <c r="T22" i="47"/>
  <c r="T21" i="47" s="1"/>
  <c r="T28" i="54"/>
  <c r="T27" i="54" s="1"/>
  <c r="U55" i="59"/>
  <c r="T31" i="48"/>
  <c r="U33" i="48"/>
  <c r="T23" i="62"/>
  <c r="T22" i="62" s="1"/>
  <c r="U24" i="62"/>
  <c r="T27" i="53"/>
  <c r="U32" i="50"/>
  <c r="R53" i="59"/>
  <c r="U54" i="59"/>
  <c r="S53" i="59"/>
  <c r="T53" i="59" s="1"/>
  <c r="U33" i="56" l="1"/>
  <c r="T32" i="56"/>
  <c r="T26" i="53"/>
  <c r="R23" i="46"/>
  <c r="S23" i="46"/>
  <c r="S32" i="44"/>
  <c r="R32" i="44"/>
  <c r="R29" i="56"/>
  <c r="S29" i="56"/>
  <c r="S18" i="61"/>
  <c r="R18" i="61"/>
  <c r="S439" i="34"/>
  <c r="R439" i="34"/>
  <c r="T34" i="44"/>
  <c r="U35" i="44"/>
  <c r="S20" i="47"/>
  <c r="R20" i="47"/>
  <c r="U21" i="47"/>
  <c r="T441" i="34"/>
  <c r="U442" i="34"/>
  <c r="S29" i="50"/>
  <c r="R29" i="50"/>
  <c r="U27" i="53"/>
  <c r="U22" i="47"/>
  <c r="T19" i="61"/>
  <c r="U19" i="61" s="1"/>
  <c r="R21" i="62"/>
  <c r="S21" i="62"/>
  <c r="T21" i="62" s="1"/>
  <c r="U22" i="62"/>
  <c r="R26" i="42"/>
  <c r="S26" i="42"/>
  <c r="U32" i="60"/>
  <c r="U23" i="62"/>
  <c r="T20" i="47"/>
  <c r="T23" i="46"/>
  <c r="U24" i="46"/>
  <c r="U31" i="60"/>
  <c r="S30" i="60"/>
  <c r="R30" i="60"/>
  <c r="T49" i="57"/>
  <c r="U50" i="57"/>
  <c r="R52" i="52"/>
  <c r="U53" i="52"/>
  <c r="S52" i="52"/>
  <c r="U19" i="51"/>
  <c r="R45" i="57"/>
  <c r="S45" i="57"/>
  <c r="R51" i="55"/>
  <c r="S51" i="55"/>
  <c r="S17" i="51"/>
  <c r="U18" i="51"/>
  <c r="R17" i="51"/>
  <c r="T17" i="51"/>
  <c r="S30" i="48"/>
  <c r="T30" i="48" s="1"/>
  <c r="U31" i="48"/>
  <c r="R30" i="48"/>
  <c r="U28" i="54"/>
  <c r="U29" i="43"/>
  <c r="S28" i="43"/>
  <c r="R28" i="43"/>
  <c r="U33" i="58"/>
  <c r="U26" i="53"/>
  <c r="S25" i="53"/>
  <c r="R25" i="53"/>
  <c r="U27" i="54"/>
  <c r="R26" i="54"/>
  <c r="S26" i="54"/>
  <c r="T26" i="54" s="1"/>
  <c r="R34" i="49"/>
  <c r="S34" i="49"/>
  <c r="T34" i="49" s="1"/>
  <c r="U35" i="49"/>
  <c r="T27" i="42"/>
  <c r="T26" i="42" s="1"/>
  <c r="T30" i="60"/>
  <c r="R52" i="59"/>
  <c r="U53" i="59"/>
  <c r="S52" i="59"/>
  <c r="S37" i="45"/>
  <c r="R37" i="45"/>
  <c r="U38" i="45"/>
  <c r="T30" i="50"/>
  <c r="T29" i="50" s="1"/>
  <c r="R31" i="58"/>
  <c r="S31" i="58"/>
  <c r="T31" i="58" s="1"/>
  <c r="U32" i="58"/>
  <c r="T52" i="55"/>
  <c r="U52" i="55" s="1"/>
  <c r="R22" i="46" l="1"/>
  <c r="S22" i="46"/>
  <c r="U32" i="56"/>
  <c r="T31" i="56"/>
  <c r="S50" i="55"/>
  <c r="R50" i="55"/>
  <c r="S24" i="53"/>
  <c r="R24" i="53"/>
  <c r="S44" i="57"/>
  <c r="R44" i="57"/>
  <c r="T22" i="46"/>
  <c r="U23" i="46"/>
  <c r="T19" i="47"/>
  <c r="S28" i="50"/>
  <c r="T28" i="50" s="1"/>
  <c r="U29" i="50"/>
  <c r="R28" i="50"/>
  <c r="R17" i="61"/>
  <c r="S17" i="61"/>
  <c r="S51" i="59"/>
  <c r="R51" i="59"/>
  <c r="T440" i="34"/>
  <c r="U441" i="34"/>
  <c r="S28" i="56"/>
  <c r="R28" i="56"/>
  <c r="R438" i="34"/>
  <c r="S438" i="34"/>
  <c r="S36" i="45"/>
  <c r="R36" i="45"/>
  <c r="R27" i="43"/>
  <c r="S27" i="43"/>
  <c r="R51" i="52"/>
  <c r="S51" i="52"/>
  <c r="U27" i="42"/>
  <c r="U30" i="50"/>
  <c r="S25" i="42"/>
  <c r="R25" i="42"/>
  <c r="U26" i="42"/>
  <c r="T25" i="42"/>
  <c r="R19" i="47"/>
  <c r="S19" i="47"/>
  <c r="U20" i="47"/>
  <c r="T52" i="52"/>
  <c r="T51" i="52" s="1"/>
  <c r="U30" i="48"/>
  <c r="S29" i="48"/>
  <c r="T29" i="48" s="1"/>
  <c r="R29" i="48"/>
  <c r="T48" i="57"/>
  <c r="U49" i="57"/>
  <c r="R31" i="44"/>
  <c r="S31" i="44"/>
  <c r="T25" i="53"/>
  <c r="T24" i="53" s="1"/>
  <c r="T28" i="43"/>
  <c r="S20" i="62"/>
  <c r="R20" i="62"/>
  <c r="U21" i="62"/>
  <c r="S25" i="54"/>
  <c r="R25" i="54"/>
  <c r="U26" i="54"/>
  <c r="T20" i="62"/>
  <c r="T51" i="55"/>
  <c r="T50" i="55" s="1"/>
  <c r="T18" i="61"/>
  <c r="T17" i="61" s="1"/>
  <c r="T33" i="44"/>
  <c r="U34" i="44"/>
  <c r="T52" i="59"/>
  <c r="T51" i="59" s="1"/>
  <c r="S33" i="49"/>
  <c r="T33" i="49" s="1"/>
  <c r="R33" i="49"/>
  <c r="U34" i="49"/>
  <c r="S30" i="58"/>
  <c r="T30" i="58" s="1"/>
  <c r="R30" i="58"/>
  <c r="U31" i="58"/>
  <c r="U17" i="51"/>
  <c r="N8" i="51"/>
  <c r="R29" i="60"/>
  <c r="U30" i="60"/>
  <c r="S29" i="60"/>
  <c r="T37" i="45"/>
  <c r="T27" i="43" l="1"/>
  <c r="U31" i="56"/>
  <c r="T30" i="56"/>
  <c r="U52" i="52"/>
  <c r="R21" i="46"/>
  <c r="S21" i="46"/>
  <c r="T36" i="45"/>
  <c r="T47" i="57"/>
  <c r="U48" i="57"/>
  <c r="S24" i="42"/>
  <c r="T24" i="42" s="1"/>
  <c r="R24" i="42"/>
  <c r="U25" i="42"/>
  <c r="R28" i="60"/>
  <c r="S28" i="60"/>
  <c r="T21" i="46"/>
  <c r="U22" i="46"/>
  <c r="S27" i="56"/>
  <c r="R27" i="56"/>
  <c r="U28" i="50"/>
  <c r="S27" i="50"/>
  <c r="R27" i="50"/>
  <c r="T32" i="44"/>
  <c r="U33" i="44"/>
  <c r="T439" i="34"/>
  <c r="U440" i="34"/>
  <c r="S43" i="57"/>
  <c r="R43" i="57"/>
  <c r="N9" i="51"/>
  <c r="N10" i="51"/>
  <c r="S24" i="54"/>
  <c r="R24" i="54"/>
  <c r="R50" i="52"/>
  <c r="U51" i="52"/>
  <c r="S50" i="52"/>
  <c r="U52" i="59"/>
  <c r="U25" i="53"/>
  <c r="T29" i="60"/>
  <c r="R28" i="48"/>
  <c r="S28" i="48"/>
  <c r="U29" i="48"/>
  <c r="S26" i="43"/>
  <c r="U27" i="43"/>
  <c r="R26" i="43"/>
  <c r="R50" i="59"/>
  <c r="U51" i="59"/>
  <c r="S50" i="59"/>
  <c r="R23" i="53"/>
  <c r="U24" i="53"/>
  <c r="S23" i="53"/>
  <c r="R29" i="58"/>
  <c r="U30" i="58"/>
  <c r="S29" i="58"/>
  <c r="U18" i="61"/>
  <c r="T50" i="52"/>
  <c r="U28" i="43"/>
  <c r="N8" i="61"/>
  <c r="U17" i="61"/>
  <c r="U51" i="55"/>
  <c r="U37" i="45"/>
  <c r="S49" i="55"/>
  <c r="U50" i="55"/>
  <c r="R49" i="55"/>
  <c r="T49" i="55"/>
  <c r="S19" i="62"/>
  <c r="T19" i="62" s="1"/>
  <c r="R19" i="62"/>
  <c r="U20" i="62"/>
  <c r="T23" i="53"/>
  <c r="R18" i="47"/>
  <c r="U19" i="47"/>
  <c r="S18" i="47"/>
  <c r="T18" i="47" s="1"/>
  <c r="R437" i="34"/>
  <c r="S437" i="34"/>
  <c r="S32" i="49"/>
  <c r="T32" i="49" s="1"/>
  <c r="R32" i="49"/>
  <c r="U33" i="49"/>
  <c r="S30" i="44"/>
  <c r="R30" i="44"/>
  <c r="S35" i="45"/>
  <c r="R35" i="45"/>
  <c r="U36" i="45"/>
  <c r="T25" i="54"/>
  <c r="T28" i="60" l="1"/>
  <c r="S20" i="46"/>
  <c r="R20" i="46"/>
  <c r="T29" i="56"/>
  <c r="U30" i="56"/>
  <c r="S25" i="43"/>
  <c r="R25" i="43"/>
  <c r="T20" i="46"/>
  <c r="U21" i="46"/>
  <c r="R42" i="57"/>
  <c r="S42" i="57"/>
  <c r="U28" i="60"/>
  <c r="S27" i="60"/>
  <c r="R27" i="60"/>
  <c r="T49" i="52"/>
  <c r="T24" i="54"/>
  <c r="U24" i="54" s="1"/>
  <c r="R34" i="45"/>
  <c r="S34" i="45"/>
  <c r="T438" i="34"/>
  <c r="U439" i="34"/>
  <c r="U29" i="60"/>
  <c r="S22" i="53"/>
  <c r="U23" i="53"/>
  <c r="R22" i="53"/>
  <c r="U50" i="52"/>
  <c r="R49" i="52"/>
  <c r="S49" i="52"/>
  <c r="T18" i="62"/>
  <c r="T31" i="44"/>
  <c r="U32" i="44"/>
  <c r="S27" i="48"/>
  <c r="R27" i="48"/>
  <c r="T35" i="45"/>
  <c r="T34" i="45" s="1"/>
  <c r="S23" i="42"/>
  <c r="R23" i="42"/>
  <c r="U24" i="42"/>
  <c r="U49" i="55"/>
  <c r="S48" i="55"/>
  <c r="R48" i="55"/>
  <c r="R49" i="59"/>
  <c r="U50" i="59"/>
  <c r="S49" i="59"/>
  <c r="S26" i="50"/>
  <c r="U27" i="50"/>
  <c r="R26" i="50"/>
  <c r="U18" i="47"/>
  <c r="R17" i="47"/>
  <c r="S17" i="47"/>
  <c r="R18" i="62"/>
  <c r="S18" i="62"/>
  <c r="U19" i="62"/>
  <c r="T46" i="57"/>
  <c r="U47" i="57"/>
  <c r="S23" i="54"/>
  <c r="R23" i="54"/>
  <c r="T28" i="48"/>
  <c r="S28" i="58"/>
  <c r="R28" i="58"/>
  <c r="S29" i="44"/>
  <c r="R29" i="44"/>
  <c r="T50" i="59"/>
  <c r="S31" i="49"/>
  <c r="R31" i="49"/>
  <c r="U32" i="49"/>
  <c r="S436" i="34"/>
  <c r="R436" i="34"/>
  <c r="N10" i="61"/>
  <c r="N9" i="61"/>
  <c r="U25" i="54"/>
  <c r="T29" i="58"/>
  <c r="U29" i="58" s="1"/>
  <c r="T22" i="53"/>
  <c r="T48" i="55"/>
  <c r="T26" i="43"/>
  <c r="T25" i="43" s="1"/>
  <c r="R26" i="56"/>
  <c r="S26" i="56"/>
  <c r="T27" i="50"/>
  <c r="T27" i="48" l="1"/>
  <c r="U29" i="56"/>
  <c r="T28" i="56"/>
  <c r="S19" i="46"/>
  <c r="R19" i="46"/>
  <c r="T30" i="44"/>
  <c r="U31" i="44"/>
  <c r="R26" i="60"/>
  <c r="S26" i="60"/>
  <c r="U49" i="52"/>
  <c r="R48" i="52"/>
  <c r="S48" i="52"/>
  <c r="T48" i="52"/>
  <c r="R41" i="57"/>
  <c r="S41" i="57"/>
  <c r="R47" i="55"/>
  <c r="U48" i="55"/>
  <c r="S47" i="55"/>
  <c r="R22" i="54"/>
  <c r="S22" i="54"/>
  <c r="S30" i="49"/>
  <c r="R30" i="49"/>
  <c r="T45" i="57"/>
  <c r="U46" i="57"/>
  <c r="R21" i="53"/>
  <c r="S21" i="53"/>
  <c r="T21" i="53" s="1"/>
  <c r="U22" i="53"/>
  <c r="T19" i="46"/>
  <c r="U20" i="46"/>
  <c r="T26" i="50"/>
  <c r="T25" i="50" s="1"/>
  <c r="R25" i="56"/>
  <c r="S25" i="56"/>
  <c r="T49" i="59"/>
  <c r="T27" i="60"/>
  <c r="T26" i="60" s="1"/>
  <c r="S25" i="50"/>
  <c r="R25" i="50"/>
  <c r="S435" i="34"/>
  <c r="R435" i="34"/>
  <c r="R17" i="62"/>
  <c r="U18" i="62"/>
  <c r="S17" i="62"/>
  <c r="U23" i="42"/>
  <c r="R22" i="42"/>
  <c r="S22" i="42"/>
  <c r="R48" i="59"/>
  <c r="S48" i="59"/>
  <c r="T437" i="34"/>
  <c r="U438" i="34"/>
  <c r="U26" i="43"/>
  <c r="N8" i="47"/>
  <c r="U28" i="48"/>
  <c r="S33" i="45"/>
  <c r="T33" i="45" s="1"/>
  <c r="R33" i="45"/>
  <c r="U34" i="45"/>
  <c r="U25" i="43"/>
  <c r="S24" i="43"/>
  <c r="T24" i="43" s="1"/>
  <c r="R24" i="43"/>
  <c r="S27" i="58"/>
  <c r="U28" i="58"/>
  <c r="R27" i="58"/>
  <c r="T47" i="55"/>
  <c r="U35" i="45"/>
  <c r="T23" i="42"/>
  <c r="S28" i="44"/>
  <c r="R28" i="44"/>
  <c r="R26" i="48"/>
  <c r="S26" i="48"/>
  <c r="T26" i="48" s="1"/>
  <c r="U27" i="48"/>
  <c r="T17" i="47"/>
  <c r="U17" i="47" s="1"/>
  <c r="T28" i="58"/>
  <c r="T23" i="54"/>
  <c r="T22" i="54" s="1"/>
  <c r="T31" i="49"/>
  <c r="T30" i="49" s="1"/>
  <c r="S18" i="46" l="1"/>
  <c r="R18" i="46"/>
  <c r="T27" i="56"/>
  <c r="U28" i="56"/>
  <c r="T22" i="42"/>
  <c r="T18" i="46"/>
  <c r="U19" i="46"/>
  <c r="S40" i="57"/>
  <c r="R40" i="57"/>
  <c r="N10" i="47"/>
  <c r="N9" i="47"/>
  <c r="R20" i="53"/>
  <c r="S20" i="53"/>
  <c r="U21" i="53"/>
  <c r="T47" i="52"/>
  <c r="U48" i="52"/>
  <c r="S47" i="52"/>
  <c r="R47" i="52"/>
  <c r="T436" i="34"/>
  <c r="U437" i="34"/>
  <c r="S434" i="34"/>
  <c r="R434" i="34"/>
  <c r="T44" i="57"/>
  <c r="U45" i="57"/>
  <c r="T20" i="53"/>
  <c r="U26" i="50"/>
  <c r="U31" i="49"/>
  <c r="R24" i="50"/>
  <c r="U25" i="50"/>
  <c r="S24" i="50"/>
  <c r="T24" i="50" s="1"/>
  <c r="R25" i="60"/>
  <c r="S25" i="60"/>
  <c r="U26" i="60"/>
  <c r="T25" i="60"/>
  <c r="S29" i="49"/>
  <c r="U30" i="49"/>
  <c r="R29" i="49"/>
  <c r="S47" i="59"/>
  <c r="R47" i="59"/>
  <c r="T48" i="59"/>
  <c r="S21" i="54"/>
  <c r="T21" i="54" s="1"/>
  <c r="U22" i="54"/>
  <c r="R21" i="54"/>
  <c r="U27" i="60"/>
  <c r="N8" i="62"/>
  <c r="R26" i="58"/>
  <c r="S26" i="58"/>
  <c r="U24" i="43"/>
  <c r="S23" i="43"/>
  <c r="T23" i="43" s="1"/>
  <c r="R23" i="43"/>
  <c r="S24" i="56"/>
  <c r="R24" i="56"/>
  <c r="T17" i="62"/>
  <c r="U17" i="62" s="1"/>
  <c r="U49" i="59"/>
  <c r="U23" i="54"/>
  <c r="S32" i="45"/>
  <c r="U33" i="45"/>
  <c r="R32" i="45"/>
  <c r="S27" i="44"/>
  <c r="R27" i="44"/>
  <c r="T27" i="58"/>
  <c r="R25" i="48"/>
  <c r="S25" i="48"/>
  <c r="U26" i="48"/>
  <c r="S21" i="42"/>
  <c r="T21" i="42" s="1"/>
  <c r="U22" i="42"/>
  <c r="R21" i="42"/>
  <c r="R46" i="55"/>
  <c r="S46" i="55"/>
  <c r="T46" i="55" s="1"/>
  <c r="U47" i="55"/>
  <c r="T29" i="44"/>
  <c r="U30" i="44"/>
  <c r="T47" i="59" l="1"/>
  <c r="T26" i="56"/>
  <c r="U27" i="56"/>
  <c r="S17" i="46"/>
  <c r="N8" i="46" s="1"/>
  <c r="R17" i="46"/>
  <c r="N10" i="62"/>
  <c r="N9" i="62"/>
  <c r="S20" i="42"/>
  <c r="U21" i="42"/>
  <c r="R20" i="42"/>
  <c r="U47" i="59"/>
  <c r="S46" i="59"/>
  <c r="R46" i="59"/>
  <c r="R19" i="53"/>
  <c r="U20" i="53"/>
  <c r="S19" i="53"/>
  <c r="U48" i="59"/>
  <c r="T26" i="58"/>
  <c r="T43" i="57"/>
  <c r="U44" i="57"/>
  <c r="U27" i="58"/>
  <c r="S28" i="49"/>
  <c r="R28" i="49"/>
  <c r="S23" i="56"/>
  <c r="R23" i="56"/>
  <c r="S26" i="44"/>
  <c r="R26" i="44"/>
  <c r="R25" i="58"/>
  <c r="S25" i="58"/>
  <c r="U26" i="58"/>
  <c r="R433" i="34"/>
  <c r="S433" i="34"/>
  <c r="S39" i="57"/>
  <c r="R39" i="57"/>
  <c r="S31" i="45"/>
  <c r="R31" i="45"/>
  <c r="R24" i="60"/>
  <c r="S24" i="60"/>
  <c r="U25" i="60"/>
  <c r="T435" i="34"/>
  <c r="U436" i="34"/>
  <c r="T17" i="46"/>
  <c r="U17" i="46" s="1"/>
  <c r="U18" i="46"/>
  <c r="R24" i="48"/>
  <c r="S24" i="48"/>
  <c r="T28" i="44"/>
  <c r="U29" i="44"/>
  <c r="R45" i="55"/>
  <c r="S45" i="55"/>
  <c r="T45" i="55" s="1"/>
  <c r="U46" i="55"/>
  <c r="R23" i="50"/>
  <c r="U24" i="50"/>
  <c r="S23" i="50"/>
  <c r="T23" i="50" s="1"/>
  <c r="S46" i="52"/>
  <c r="T46" i="52" s="1"/>
  <c r="R46" i="52"/>
  <c r="U47" i="52"/>
  <c r="T32" i="45"/>
  <c r="U32" i="45" s="1"/>
  <c r="S22" i="43"/>
  <c r="R22" i="43"/>
  <c r="U23" i="43"/>
  <c r="T29" i="49"/>
  <c r="T28" i="49" s="1"/>
  <c r="S20" i="54"/>
  <c r="T20" i="54" s="1"/>
  <c r="U21" i="54"/>
  <c r="R20" i="54"/>
  <c r="T25" i="48"/>
  <c r="T24" i="48" l="1"/>
  <c r="U26" i="56"/>
  <c r="T25" i="56"/>
  <c r="S23" i="60"/>
  <c r="R23" i="60"/>
  <c r="S18" i="53"/>
  <c r="R18" i="53"/>
  <c r="S22" i="56"/>
  <c r="R22" i="56"/>
  <c r="R25" i="44"/>
  <c r="S25" i="44"/>
  <c r="S30" i="45"/>
  <c r="R30" i="45"/>
  <c r="R45" i="59"/>
  <c r="S45" i="59"/>
  <c r="T24" i="60"/>
  <c r="T23" i="60" s="1"/>
  <c r="S38" i="57"/>
  <c r="R38" i="57"/>
  <c r="T27" i="44"/>
  <c r="U28" i="44"/>
  <c r="U29" i="49"/>
  <c r="R27" i="49"/>
  <c r="U28" i="49"/>
  <c r="S27" i="49"/>
  <c r="T27" i="49" s="1"/>
  <c r="S19" i="42"/>
  <c r="R19" i="42"/>
  <c r="S23" i="48"/>
  <c r="R23" i="48"/>
  <c r="U24" i="48"/>
  <c r="U25" i="48"/>
  <c r="S432" i="34"/>
  <c r="R432" i="34"/>
  <c r="T46" i="59"/>
  <c r="R21" i="43"/>
  <c r="S21" i="43"/>
  <c r="R19" i="54"/>
  <c r="U20" i="54"/>
  <c r="S19" i="54"/>
  <c r="N10" i="46"/>
  <c r="N9" i="46"/>
  <c r="S24" i="58"/>
  <c r="R24" i="58"/>
  <c r="T42" i="57"/>
  <c r="U43" i="57"/>
  <c r="T25" i="58"/>
  <c r="T24" i="58" s="1"/>
  <c r="T23" i="48"/>
  <c r="T31" i="45"/>
  <c r="T434" i="34"/>
  <c r="U435" i="34"/>
  <c r="T20" i="42"/>
  <c r="S22" i="50"/>
  <c r="T22" i="50" s="1"/>
  <c r="R22" i="50"/>
  <c r="U23" i="50"/>
  <c r="R44" i="55"/>
  <c r="U45" i="55"/>
  <c r="S44" i="55"/>
  <c r="R45" i="52"/>
  <c r="S45" i="52"/>
  <c r="T45" i="52" s="1"/>
  <c r="U46" i="52"/>
  <c r="T19" i="53"/>
  <c r="T18" i="53" s="1"/>
  <c r="T22" i="43"/>
  <c r="U22" i="43" s="1"/>
  <c r="T19" i="42" l="1"/>
  <c r="U25" i="56"/>
  <c r="T24" i="56"/>
  <c r="T45" i="59"/>
  <c r="T30" i="45"/>
  <c r="T433" i="34"/>
  <c r="U434" i="34"/>
  <c r="T26" i="44"/>
  <c r="U27" i="44"/>
  <c r="R21" i="56"/>
  <c r="S21" i="56"/>
  <c r="T17" i="53"/>
  <c r="U19" i="53"/>
  <c r="R24" i="44"/>
  <c r="S24" i="44"/>
  <c r="T41" i="57"/>
  <c r="U42" i="57"/>
  <c r="S431" i="34"/>
  <c r="R431" i="34"/>
  <c r="R37" i="57"/>
  <c r="S37" i="57"/>
  <c r="R20" i="43"/>
  <c r="S20" i="43"/>
  <c r="R17" i="53"/>
  <c r="S17" i="53"/>
  <c r="U18" i="53"/>
  <c r="R23" i="58"/>
  <c r="S23" i="58"/>
  <c r="T23" i="58" s="1"/>
  <c r="U24" i="58"/>
  <c r="U24" i="60"/>
  <c r="R44" i="59"/>
  <c r="S44" i="59"/>
  <c r="U45" i="59"/>
  <c r="S22" i="48"/>
  <c r="T22" i="48" s="1"/>
  <c r="R22" i="48"/>
  <c r="U23" i="48"/>
  <c r="S22" i="60"/>
  <c r="T22" i="60" s="1"/>
  <c r="R22" i="60"/>
  <c r="U23" i="60"/>
  <c r="R43" i="55"/>
  <c r="S43" i="55"/>
  <c r="U46" i="59"/>
  <c r="T21" i="43"/>
  <c r="T20" i="43" s="1"/>
  <c r="U19" i="42"/>
  <c r="S18" i="42"/>
  <c r="R18" i="42"/>
  <c r="T44" i="55"/>
  <c r="U25" i="58"/>
  <c r="R18" i="54"/>
  <c r="S18" i="54"/>
  <c r="U20" i="42"/>
  <c r="S29" i="45"/>
  <c r="T29" i="45" s="1"/>
  <c r="U30" i="45"/>
  <c r="R29" i="45"/>
  <c r="R44" i="52"/>
  <c r="U45" i="52"/>
  <c r="S44" i="52"/>
  <c r="R21" i="50"/>
  <c r="U22" i="50"/>
  <c r="S21" i="50"/>
  <c r="R26" i="49"/>
  <c r="S26" i="49"/>
  <c r="T26" i="49" s="1"/>
  <c r="U27" i="49"/>
  <c r="U31" i="45"/>
  <c r="T19" i="54"/>
  <c r="T18" i="54" s="1"/>
  <c r="U21" i="43" l="1"/>
  <c r="T43" i="55"/>
  <c r="U24" i="56"/>
  <c r="T23" i="56"/>
  <c r="U17" i="53"/>
  <c r="N8" i="53"/>
  <c r="R19" i="43"/>
  <c r="S19" i="43"/>
  <c r="T19" i="43" s="1"/>
  <c r="U20" i="43"/>
  <c r="R17" i="54"/>
  <c r="S17" i="54"/>
  <c r="U18" i="54"/>
  <c r="S36" i="57"/>
  <c r="R36" i="57"/>
  <c r="S20" i="56"/>
  <c r="R20" i="56"/>
  <c r="R17" i="42"/>
  <c r="S17" i="42"/>
  <c r="S43" i="59"/>
  <c r="R43" i="59"/>
  <c r="T25" i="44"/>
  <c r="U26" i="44"/>
  <c r="T17" i="54"/>
  <c r="T18" i="42"/>
  <c r="T17" i="42" s="1"/>
  <c r="S430" i="34"/>
  <c r="R430" i="34"/>
  <c r="T44" i="59"/>
  <c r="U44" i="59" s="1"/>
  <c r="R20" i="50"/>
  <c r="S20" i="50"/>
  <c r="R21" i="60"/>
  <c r="S21" i="60"/>
  <c r="U22" i="60"/>
  <c r="U19" i="54"/>
  <c r="R25" i="49"/>
  <c r="S25" i="49"/>
  <c r="U26" i="49"/>
  <c r="S42" i="55"/>
  <c r="U43" i="55"/>
  <c r="R42" i="55"/>
  <c r="T40" i="57"/>
  <c r="U41" i="57"/>
  <c r="T432" i="34"/>
  <c r="U433" i="34"/>
  <c r="R21" i="48"/>
  <c r="U22" i="48"/>
  <c r="S21" i="48"/>
  <c r="S43" i="52"/>
  <c r="R43" i="52"/>
  <c r="U44" i="55"/>
  <c r="S22" i="58"/>
  <c r="T22" i="58" s="1"/>
  <c r="R22" i="58"/>
  <c r="U23" i="58"/>
  <c r="T42" i="55"/>
  <c r="R23" i="44"/>
  <c r="S23" i="44"/>
  <c r="T21" i="50"/>
  <c r="S28" i="45"/>
  <c r="T28" i="45" s="1"/>
  <c r="U29" i="45"/>
  <c r="R28" i="45"/>
  <c r="T44" i="52"/>
  <c r="T43" i="52" s="1"/>
  <c r="T20" i="50" l="1"/>
  <c r="T22" i="56"/>
  <c r="U23" i="56"/>
  <c r="R35" i="57"/>
  <c r="S35" i="57"/>
  <c r="S24" i="49"/>
  <c r="R24" i="49"/>
  <c r="T24" i="44"/>
  <c r="U25" i="44"/>
  <c r="U17" i="54"/>
  <c r="N8" i="54"/>
  <c r="T39" i="57"/>
  <c r="U40" i="57"/>
  <c r="U44" i="52"/>
  <c r="S429" i="34"/>
  <c r="R429" i="34"/>
  <c r="S42" i="52"/>
  <c r="R42" i="52"/>
  <c r="U43" i="52"/>
  <c r="R20" i="60"/>
  <c r="S20" i="60"/>
  <c r="S42" i="59"/>
  <c r="R42" i="59"/>
  <c r="S18" i="43"/>
  <c r="R18" i="43"/>
  <c r="U19" i="43"/>
  <c r="R20" i="48"/>
  <c r="S20" i="48"/>
  <c r="U18" i="42"/>
  <c r="T42" i="52"/>
  <c r="U20" i="50"/>
  <c r="R19" i="50"/>
  <c r="S19" i="50"/>
  <c r="U17" i="42"/>
  <c r="N8" i="42"/>
  <c r="N10" i="53"/>
  <c r="N9" i="53"/>
  <c r="T19" i="50"/>
  <c r="U21" i="50"/>
  <c r="T21" i="60"/>
  <c r="T20" i="60" s="1"/>
  <c r="T41" i="55"/>
  <c r="R21" i="58"/>
  <c r="S21" i="58"/>
  <c r="U22" i="58"/>
  <c r="R27" i="45"/>
  <c r="U28" i="45"/>
  <c r="S27" i="45"/>
  <c r="T431" i="34"/>
  <c r="U432" i="34"/>
  <c r="T43" i="59"/>
  <c r="T21" i="48"/>
  <c r="U42" i="55"/>
  <c r="R41" i="55"/>
  <c r="S41" i="55"/>
  <c r="S22" i="44"/>
  <c r="R22" i="44"/>
  <c r="R19" i="56"/>
  <c r="S19" i="56"/>
  <c r="T25" i="49"/>
  <c r="T24" i="49" s="1"/>
  <c r="T42" i="59" l="1"/>
  <c r="U22" i="56"/>
  <c r="T21" i="56"/>
  <c r="T20" i="48"/>
  <c r="S17" i="43"/>
  <c r="R17" i="43"/>
  <c r="U41" i="55"/>
  <c r="R40" i="55"/>
  <c r="S40" i="55"/>
  <c r="U43" i="59"/>
  <c r="N9" i="54"/>
  <c r="N10" i="54"/>
  <c r="T18" i="43"/>
  <c r="T17" i="43" s="1"/>
  <c r="S41" i="59"/>
  <c r="T41" i="59" s="1"/>
  <c r="R41" i="59"/>
  <c r="U42" i="59"/>
  <c r="N10" i="42"/>
  <c r="N9" i="42"/>
  <c r="S19" i="60"/>
  <c r="U20" i="60"/>
  <c r="R19" i="60"/>
  <c r="T23" i="44"/>
  <c r="U24" i="44"/>
  <c r="T38" i="57"/>
  <c r="U39" i="57"/>
  <c r="U19" i="50"/>
  <c r="S18" i="50"/>
  <c r="R18" i="50"/>
  <c r="T430" i="34"/>
  <c r="U431" i="34"/>
  <c r="U21" i="60"/>
  <c r="U25" i="49"/>
  <c r="S21" i="44"/>
  <c r="R21" i="44"/>
  <c r="R26" i="45"/>
  <c r="S26" i="45"/>
  <c r="S23" i="49"/>
  <c r="U24" i="49"/>
  <c r="R23" i="49"/>
  <c r="T23" i="49"/>
  <c r="S41" i="52"/>
  <c r="T41" i="52" s="1"/>
  <c r="U42" i="52"/>
  <c r="R41" i="52"/>
  <c r="R34" i="57"/>
  <c r="S34" i="57"/>
  <c r="R18" i="56"/>
  <c r="S18" i="56"/>
  <c r="U20" i="48"/>
  <c r="S19" i="48"/>
  <c r="T19" i="48" s="1"/>
  <c r="R19" i="48"/>
  <c r="T40" i="55"/>
  <c r="S20" i="58"/>
  <c r="R20" i="58"/>
  <c r="T21" i="58"/>
  <c r="T20" i="58" s="1"/>
  <c r="T19" i="60"/>
  <c r="U21" i="48"/>
  <c r="S428" i="34"/>
  <c r="R428" i="34"/>
  <c r="T27" i="45"/>
  <c r="T26" i="45" s="1"/>
  <c r="T20" i="56" l="1"/>
  <c r="U21" i="56"/>
  <c r="R427" i="34"/>
  <c r="S427" i="34"/>
  <c r="U41" i="59"/>
  <c r="R40" i="59"/>
  <c r="S40" i="59"/>
  <c r="T429" i="34"/>
  <c r="U430" i="34"/>
  <c r="S17" i="50"/>
  <c r="R17" i="50"/>
  <c r="T18" i="50"/>
  <c r="T17" i="50" s="1"/>
  <c r="U41" i="52"/>
  <c r="R40" i="52"/>
  <c r="S40" i="52"/>
  <c r="R22" i="49"/>
  <c r="U23" i="49"/>
  <c r="S22" i="49"/>
  <c r="T37" i="57"/>
  <c r="U38" i="57"/>
  <c r="T19" i="58"/>
  <c r="U21" i="58"/>
  <c r="U19" i="48"/>
  <c r="S18" i="48"/>
  <c r="R18" i="48"/>
  <c r="S25" i="45"/>
  <c r="T25" i="45" s="1"/>
  <c r="R25" i="45"/>
  <c r="U26" i="45"/>
  <c r="U40" i="55"/>
  <c r="R39" i="55"/>
  <c r="S39" i="55"/>
  <c r="R19" i="58"/>
  <c r="U20" i="58"/>
  <c r="S19" i="58"/>
  <c r="U27" i="45"/>
  <c r="T22" i="44"/>
  <c r="U23" i="44"/>
  <c r="T22" i="49"/>
  <c r="R17" i="56"/>
  <c r="S17" i="56"/>
  <c r="U18" i="43"/>
  <c r="S18" i="60"/>
  <c r="U19" i="60"/>
  <c r="R18" i="60"/>
  <c r="R20" i="44"/>
  <c r="S20" i="44"/>
  <c r="U17" i="43"/>
  <c r="N8" i="43"/>
  <c r="R33" i="57"/>
  <c r="S33" i="57"/>
  <c r="U20" i="56" l="1"/>
  <c r="T19" i="56"/>
  <c r="N8" i="50"/>
  <c r="U17" i="50"/>
  <c r="T428" i="34"/>
  <c r="U429" i="34"/>
  <c r="U18" i="50"/>
  <c r="T21" i="44"/>
  <c r="U22" i="44"/>
  <c r="S39" i="59"/>
  <c r="R39" i="59"/>
  <c r="S17" i="48"/>
  <c r="R17" i="48"/>
  <c r="N8" i="56"/>
  <c r="S32" i="57"/>
  <c r="R32" i="57"/>
  <c r="U19" i="58"/>
  <c r="R18" i="58"/>
  <c r="S18" i="58"/>
  <c r="S21" i="49"/>
  <c r="R21" i="49"/>
  <c r="U22" i="49"/>
  <c r="S17" i="60"/>
  <c r="R17" i="60"/>
  <c r="N9" i="43"/>
  <c r="N10" i="43"/>
  <c r="T40" i="59"/>
  <c r="U40" i="59" s="1"/>
  <c r="S38" i="55"/>
  <c r="R38" i="55"/>
  <c r="T18" i="60"/>
  <c r="U18" i="60" s="1"/>
  <c r="R426" i="34"/>
  <c r="S426" i="34"/>
  <c r="T39" i="55"/>
  <c r="U25" i="45"/>
  <c r="R24" i="45"/>
  <c r="S24" i="45"/>
  <c r="T36" i="57"/>
  <c r="U37" i="57"/>
  <c r="S39" i="52"/>
  <c r="R39" i="52"/>
  <c r="T18" i="48"/>
  <c r="U18" i="48" s="1"/>
  <c r="R19" i="44"/>
  <c r="S19" i="44"/>
  <c r="T40" i="52"/>
  <c r="T38" i="55" l="1"/>
  <c r="U19" i="56"/>
  <c r="T18" i="56"/>
  <c r="N8" i="48"/>
  <c r="S38" i="59"/>
  <c r="R38" i="59"/>
  <c r="S38" i="52"/>
  <c r="R38" i="52"/>
  <c r="S20" i="49"/>
  <c r="R20" i="49"/>
  <c r="T20" i="44"/>
  <c r="U21" i="44"/>
  <c r="R425" i="34"/>
  <c r="S425" i="34"/>
  <c r="R17" i="58"/>
  <c r="S17" i="58"/>
  <c r="T35" i="57"/>
  <c r="U36" i="57"/>
  <c r="T17" i="60"/>
  <c r="T427" i="34"/>
  <c r="U428" i="34"/>
  <c r="T39" i="52"/>
  <c r="T38" i="52" s="1"/>
  <c r="T18" i="58"/>
  <c r="S37" i="55"/>
  <c r="R37" i="55"/>
  <c r="U38" i="55"/>
  <c r="T21" i="49"/>
  <c r="T20" i="49" s="1"/>
  <c r="T37" i="55"/>
  <c r="R31" i="57"/>
  <c r="S31" i="57"/>
  <c r="N9" i="50"/>
  <c r="N10" i="50"/>
  <c r="R23" i="45"/>
  <c r="S23" i="45"/>
  <c r="S18" i="44"/>
  <c r="R18" i="44"/>
  <c r="T39" i="59"/>
  <c r="T38" i="59" s="1"/>
  <c r="U17" i="60"/>
  <c r="N8" i="60"/>
  <c r="T17" i="48"/>
  <c r="U17" i="48" s="1"/>
  <c r="U39" i="55"/>
  <c r="U40" i="52"/>
  <c r="T24" i="45"/>
  <c r="T23" i="45" s="1"/>
  <c r="T17" i="58" l="1"/>
  <c r="T17" i="56"/>
  <c r="U17" i="56" s="1"/>
  <c r="U18" i="56"/>
  <c r="N10" i="48"/>
  <c r="N9" i="48"/>
  <c r="T19" i="44"/>
  <c r="U20" i="44"/>
  <c r="U21" i="49"/>
  <c r="R19" i="49"/>
  <c r="U20" i="49"/>
  <c r="S19" i="49"/>
  <c r="N10" i="60"/>
  <c r="N9" i="60"/>
  <c r="S424" i="34"/>
  <c r="R424" i="34"/>
  <c r="R22" i="45"/>
  <c r="S22" i="45"/>
  <c r="U23" i="45"/>
  <c r="T426" i="34"/>
  <c r="U427" i="34"/>
  <c r="U39" i="52"/>
  <c r="U38" i="52"/>
  <c r="S37" i="52"/>
  <c r="R37" i="52"/>
  <c r="S36" i="55"/>
  <c r="R36" i="55"/>
  <c r="U37" i="55"/>
  <c r="T36" i="55"/>
  <c r="T34" i="57"/>
  <c r="U35" i="57"/>
  <c r="U39" i="59"/>
  <c r="T22" i="45"/>
  <c r="U18" i="58"/>
  <c r="R37" i="59"/>
  <c r="U38" i="59"/>
  <c r="S37" i="59"/>
  <c r="U17" i="58"/>
  <c r="N8" i="58"/>
  <c r="S17" i="44"/>
  <c r="R17" i="44"/>
  <c r="U24" i="45"/>
  <c r="R30" i="57"/>
  <c r="S30" i="57"/>
  <c r="N10" i="56" l="1"/>
  <c r="N9" i="56"/>
  <c r="T33" i="57"/>
  <c r="U34" i="57"/>
  <c r="R18" i="49"/>
  <c r="S18" i="49"/>
  <c r="R35" i="55"/>
  <c r="U36" i="55"/>
  <c r="S35" i="55"/>
  <c r="T35" i="55" s="1"/>
  <c r="R36" i="52"/>
  <c r="S36" i="52"/>
  <c r="T37" i="52"/>
  <c r="T36" i="52" s="1"/>
  <c r="S423" i="34"/>
  <c r="R423" i="34"/>
  <c r="N9" i="58"/>
  <c r="N10" i="58"/>
  <c r="T19" i="49"/>
  <c r="R29" i="57"/>
  <c r="S29" i="57"/>
  <c r="R36" i="59"/>
  <c r="S36" i="59"/>
  <c r="T37" i="59"/>
  <c r="T36" i="59" s="1"/>
  <c r="N8" i="44"/>
  <c r="T425" i="34"/>
  <c r="U426" i="34"/>
  <c r="T18" i="44"/>
  <c r="U19" i="44"/>
  <c r="S21" i="45"/>
  <c r="R21" i="45"/>
  <c r="U22" i="45"/>
  <c r="T21" i="45"/>
  <c r="T18" i="49" l="1"/>
  <c r="T424" i="34"/>
  <c r="U425" i="34"/>
  <c r="R35" i="52"/>
  <c r="S35" i="52"/>
  <c r="U36" i="52"/>
  <c r="T17" i="44"/>
  <c r="U17" i="44" s="1"/>
  <c r="U18" i="44"/>
  <c r="U37" i="52"/>
  <c r="S34" i="55"/>
  <c r="U35" i="55"/>
  <c r="R34" i="55"/>
  <c r="R422" i="34"/>
  <c r="S422" i="34"/>
  <c r="T35" i="52"/>
  <c r="S28" i="57"/>
  <c r="R28" i="57"/>
  <c r="S35" i="59"/>
  <c r="R35" i="59"/>
  <c r="U36" i="59"/>
  <c r="S17" i="49"/>
  <c r="R17" i="49"/>
  <c r="U18" i="49"/>
  <c r="U19" i="49"/>
  <c r="T17" i="49"/>
  <c r="T35" i="59"/>
  <c r="U37" i="59"/>
  <c r="S20" i="45"/>
  <c r="R20" i="45"/>
  <c r="U21" i="45"/>
  <c r="T32" i="57"/>
  <c r="U33" i="57"/>
  <c r="S19" i="45" l="1"/>
  <c r="R19" i="45"/>
  <c r="N10" i="44"/>
  <c r="N9" i="44"/>
  <c r="R34" i="52"/>
  <c r="U35" i="52"/>
  <c r="S34" i="52"/>
  <c r="R421" i="34"/>
  <c r="S421" i="34"/>
  <c r="N8" i="49"/>
  <c r="U17" i="49"/>
  <c r="T20" i="45"/>
  <c r="T19" i="45" s="1"/>
  <c r="R34" i="59"/>
  <c r="U35" i="59"/>
  <c r="S34" i="59"/>
  <c r="T34" i="59" s="1"/>
  <c r="T423" i="34"/>
  <c r="U424" i="34"/>
  <c r="S33" i="55"/>
  <c r="R33" i="55"/>
  <c r="T31" i="57"/>
  <c r="U32" i="57"/>
  <c r="S27" i="57"/>
  <c r="R27" i="57"/>
  <c r="T34" i="55"/>
  <c r="T33" i="55" s="1"/>
  <c r="R33" i="52" l="1"/>
  <c r="S33" i="52"/>
  <c r="R26" i="57"/>
  <c r="S26" i="57"/>
  <c r="T34" i="52"/>
  <c r="T33" i="52" s="1"/>
  <c r="U33" i="55"/>
  <c r="S32" i="55"/>
  <c r="R32" i="55"/>
  <c r="S420" i="34"/>
  <c r="R420" i="34"/>
  <c r="U34" i="55"/>
  <c r="T30" i="57"/>
  <c r="U31" i="57"/>
  <c r="R33" i="59"/>
  <c r="U34" i="59"/>
  <c r="S33" i="59"/>
  <c r="U20" i="45"/>
  <c r="N10" i="49"/>
  <c r="N9" i="49"/>
  <c r="T422" i="34"/>
  <c r="U423" i="34"/>
  <c r="R18" i="45"/>
  <c r="U19" i="45"/>
  <c r="S18" i="45"/>
  <c r="T18" i="45" s="1"/>
  <c r="S17" i="45" l="1"/>
  <c r="R17" i="45"/>
  <c r="U18" i="45"/>
  <c r="R25" i="57"/>
  <c r="S25" i="57"/>
  <c r="R31" i="55"/>
  <c r="S31" i="55"/>
  <c r="U33" i="52"/>
  <c r="R32" i="52"/>
  <c r="S32" i="52"/>
  <c r="T421" i="34"/>
  <c r="U422" i="34"/>
  <c r="T29" i="57"/>
  <c r="U30" i="57"/>
  <c r="U34" i="52"/>
  <c r="S419" i="34"/>
  <c r="R419" i="34"/>
  <c r="R32" i="59"/>
  <c r="S32" i="59"/>
  <c r="T32" i="55"/>
  <c r="T33" i="59"/>
  <c r="T32" i="59" s="1"/>
  <c r="T31" i="55" l="1"/>
  <c r="T420" i="34"/>
  <c r="U421" i="34"/>
  <c r="S31" i="59"/>
  <c r="U32" i="59"/>
  <c r="R31" i="59"/>
  <c r="T31" i="59"/>
  <c r="U32" i="55"/>
  <c r="U33" i="59"/>
  <c r="S24" i="57"/>
  <c r="R24" i="57"/>
  <c r="N8" i="45"/>
  <c r="S31" i="52"/>
  <c r="R31" i="52"/>
  <c r="T32" i="52"/>
  <c r="U32" i="52" s="1"/>
  <c r="R30" i="55"/>
  <c r="S30" i="55"/>
  <c r="T30" i="55" s="1"/>
  <c r="U31" i="55"/>
  <c r="S418" i="34"/>
  <c r="R418" i="34"/>
  <c r="T28" i="57"/>
  <c r="U29" i="57"/>
  <c r="T17" i="45"/>
  <c r="U17" i="45" s="1"/>
  <c r="N10" i="45" l="1"/>
  <c r="N9" i="45"/>
  <c r="S23" i="57"/>
  <c r="R23" i="57"/>
  <c r="T27" i="57"/>
  <c r="U28" i="57"/>
  <c r="S30" i="52"/>
  <c r="R30" i="52"/>
  <c r="U31" i="52"/>
  <c r="R29" i="55"/>
  <c r="S29" i="55"/>
  <c r="U30" i="55"/>
  <c r="U31" i="59"/>
  <c r="S30" i="59"/>
  <c r="T30" i="59" s="1"/>
  <c r="R30" i="59"/>
  <c r="R417" i="34"/>
  <c r="S417" i="34"/>
  <c r="T31" i="52"/>
  <c r="T419" i="34"/>
  <c r="U420" i="34"/>
  <c r="R29" i="52" l="1"/>
  <c r="S29" i="52"/>
  <c r="R28" i="55"/>
  <c r="S28" i="55"/>
  <c r="T26" i="57"/>
  <c r="U27" i="57"/>
  <c r="T29" i="59"/>
  <c r="S22" i="57"/>
  <c r="R22" i="57"/>
  <c r="S416" i="34"/>
  <c r="R416" i="34"/>
  <c r="T29" i="55"/>
  <c r="T28" i="55" s="1"/>
  <c r="T418" i="34"/>
  <c r="U419" i="34"/>
  <c r="T30" i="52"/>
  <c r="T29" i="52" s="1"/>
  <c r="U30" i="59"/>
  <c r="R29" i="59"/>
  <c r="S29" i="59"/>
  <c r="T25" i="57" l="1"/>
  <c r="U26" i="57"/>
  <c r="S21" i="57"/>
  <c r="R21" i="57"/>
  <c r="R27" i="55"/>
  <c r="U28" i="55"/>
  <c r="S27" i="55"/>
  <c r="U29" i="55"/>
  <c r="T27" i="55"/>
  <c r="R28" i="59"/>
  <c r="U29" i="59"/>
  <c r="S28" i="59"/>
  <c r="T28" i="52"/>
  <c r="U30" i="52"/>
  <c r="S415" i="34"/>
  <c r="R415" i="34"/>
  <c r="R28" i="52"/>
  <c r="U29" i="52"/>
  <c r="S28" i="52"/>
  <c r="T417" i="34"/>
  <c r="U418" i="34"/>
  <c r="S414" i="34" l="1"/>
  <c r="R414" i="34"/>
  <c r="S27" i="59"/>
  <c r="R27" i="59"/>
  <c r="S27" i="52"/>
  <c r="R27" i="52"/>
  <c r="U28" i="52"/>
  <c r="T416" i="34"/>
  <c r="U417" i="34"/>
  <c r="T28" i="59"/>
  <c r="T27" i="59" s="1"/>
  <c r="S20" i="57"/>
  <c r="R20" i="57"/>
  <c r="S26" i="55"/>
  <c r="T26" i="55" s="1"/>
  <c r="U27" i="55"/>
  <c r="R26" i="55"/>
  <c r="T24" i="57"/>
  <c r="U25" i="57"/>
  <c r="R19" i="57" l="1"/>
  <c r="S19" i="57"/>
  <c r="T415" i="34"/>
  <c r="U416" i="34"/>
  <c r="U28" i="59"/>
  <c r="S26" i="52"/>
  <c r="R26" i="52"/>
  <c r="T27" i="52"/>
  <c r="T26" i="52" s="1"/>
  <c r="S26" i="59"/>
  <c r="R26" i="59"/>
  <c r="U27" i="59"/>
  <c r="U26" i="55"/>
  <c r="R25" i="55"/>
  <c r="S25" i="55"/>
  <c r="T25" i="55" s="1"/>
  <c r="T23" i="57"/>
  <c r="U24" i="57"/>
  <c r="S413" i="34"/>
  <c r="R413" i="34"/>
  <c r="S25" i="52" l="1"/>
  <c r="U26" i="52"/>
  <c r="R25" i="52"/>
  <c r="U27" i="52"/>
  <c r="S25" i="59"/>
  <c r="R25" i="59"/>
  <c r="T414" i="34"/>
  <c r="U415" i="34"/>
  <c r="T24" i="55"/>
  <c r="T25" i="52"/>
  <c r="T26" i="59"/>
  <c r="T25" i="59" s="1"/>
  <c r="T22" i="57"/>
  <c r="U23" i="57"/>
  <c r="S412" i="34"/>
  <c r="R412" i="34"/>
  <c r="U25" i="55"/>
  <c r="R24" i="55"/>
  <c r="S24" i="55"/>
  <c r="R18" i="57"/>
  <c r="S18" i="57"/>
  <c r="T21" i="57" l="1"/>
  <c r="U22" i="57"/>
  <c r="U26" i="59"/>
  <c r="T413" i="34"/>
  <c r="U414" i="34"/>
  <c r="U25" i="59"/>
  <c r="R24" i="59"/>
  <c r="S24" i="59"/>
  <c r="R17" i="57"/>
  <c r="S17" i="57"/>
  <c r="R411" i="34"/>
  <c r="S411" i="34"/>
  <c r="T24" i="52"/>
  <c r="U24" i="55"/>
  <c r="R23" i="55"/>
  <c r="S23" i="55"/>
  <c r="U25" i="52"/>
  <c r="R24" i="52"/>
  <c r="S24" i="52"/>
  <c r="T412" i="34" l="1"/>
  <c r="U413" i="34"/>
  <c r="S23" i="52"/>
  <c r="U24" i="52"/>
  <c r="R23" i="52"/>
  <c r="S23" i="59"/>
  <c r="R23" i="59"/>
  <c r="S22" i="55"/>
  <c r="R22" i="55"/>
  <c r="T23" i="55"/>
  <c r="T22" i="55" s="1"/>
  <c r="R410" i="34"/>
  <c r="S410" i="34"/>
  <c r="N8" i="57"/>
  <c r="T24" i="59"/>
  <c r="U24" i="59" s="1"/>
  <c r="T20" i="57"/>
  <c r="U21" i="57"/>
  <c r="S22" i="59" l="1"/>
  <c r="R22" i="59"/>
  <c r="U23" i="55"/>
  <c r="S21" i="55"/>
  <c r="R21" i="55"/>
  <c r="U22" i="55"/>
  <c r="S22" i="52"/>
  <c r="U23" i="52"/>
  <c r="R22" i="52"/>
  <c r="T23" i="59"/>
  <c r="T22" i="59" s="1"/>
  <c r="R409" i="34"/>
  <c r="S409" i="34"/>
  <c r="T411" i="34"/>
  <c r="U412" i="34"/>
  <c r="T19" i="57"/>
  <c r="U20" i="57"/>
  <c r="T23" i="52"/>
  <c r="S408" i="34" l="1"/>
  <c r="R408" i="34"/>
  <c r="S20" i="55"/>
  <c r="R20" i="55"/>
  <c r="S21" i="52"/>
  <c r="R21" i="52"/>
  <c r="T410" i="34"/>
  <c r="U411" i="34"/>
  <c r="T22" i="52"/>
  <c r="T21" i="52" s="1"/>
  <c r="U23" i="59"/>
  <c r="T18" i="57"/>
  <c r="U19" i="57"/>
  <c r="R21" i="59"/>
  <c r="U22" i="59"/>
  <c r="S21" i="59"/>
  <c r="T21" i="55"/>
  <c r="T20" i="55" s="1"/>
  <c r="T409" i="34" l="1"/>
  <c r="U410" i="34"/>
  <c r="U21" i="55"/>
  <c r="R19" i="55"/>
  <c r="U20" i="55"/>
  <c r="S19" i="55"/>
  <c r="U22" i="52"/>
  <c r="T17" i="57"/>
  <c r="U17" i="57" s="1"/>
  <c r="U18" i="57"/>
  <c r="R20" i="59"/>
  <c r="U21" i="59"/>
  <c r="S20" i="59"/>
  <c r="S407" i="34"/>
  <c r="R407" i="34"/>
  <c r="R20" i="52"/>
  <c r="U21" i="52"/>
  <c r="S20" i="52"/>
  <c r="T20" i="52" s="1"/>
  <c r="T21" i="59"/>
  <c r="R406" i="34" l="1"/>
  <c r="S406" i="34"/>
  <c r="S18" i="55"/>
  <c r="R18" i="55"/>
  <c r="T19" i="55"/>
  <c r="T18" i="55" s="1"/>
  <c r="N10" i="57"/>
  <c r="N9" i="57"/>
  <c r="T20" i="59"/>
  <c r="S19" i="59"/>
  <c r="R19" i="59"/>
  <c r="U20" i="59"/>
  <c r="R19" i="52"/>
  <c r="S19" i="52"/>
  <c r="U20" i="52"/>
  <c r="T408" i="34"/>
  <c r="U409" i="34"/>
  <c r="T19" i="59" l="1"/>
  <c r="U19" i="55"/>
  <c r="S17" i="55"/>
  <c r="U18" i="55"/>
  <c r="R17" i="55"/>
  <c r="R18" i="52"/>
  <c r="S18" i="52"/>
  <c r="R405" i="34"/>
  <c r="S405" i="34"/>
  <c r="T17" i="55"/>
  <c r="R18" i="59"/>
  <c r="U19" i="59"/>
  <c r="S18" i="59"/>
  <c r="T407" i="34"/>
  <c r="U408" i="34"/>
  <c r="T19" i="52"/>
  <c r="T18" i="52" s="1"/>
  <c r="T406" i="34" l="1"/>
  <c r="U407" i="34"/>
  <c r="R17" i="59"/>
  <c r="S17" i="59"/>
  <c r="T18" i="59"/>
  <c r="U19" i="52"/>
  <c r="U18" i="52"/>
  <c r="R17" i="52"/>
  <c r="S17" i="52"/>
  <c r="S404" i="34"/>
  <c r="R404" i="34"/>
  <c r="T17" i="52"/>
  <c r="U17" i="55"/>
  <c r="N8" i="55"/>
  <c r="S403" i="34" l="1"/>
  <c r="R403" i="34"/>
  <c r="N10" i="55"/>
  <c r="N9" i="55"/>
  <c r="N8" i="59"/>
  <c r="T17" i="59"/>
  <c r="U17" i="59" s="1"/>
  <c r="U18" i="59"/>
  <c r="U17" i="52"/>
  <c r="N8" i="52"/>
  <c r="T405" i="34"/>
  <c r="U406" i="34"/>
  <c r="N9" i="59" l="1"/>
  <c r="N10" i="59"/>
  <c r="N9" i="52"/>
  <c r="N10" i="52"/>
  <c r="T404" i="34"/>
  <c r="U405" i="34"/>
  <c r="S402" i="34"/>
  <c r="R402" i="34"/>
  <c r="R401" i="34" l="1"/>
  <c r="S401" i="34"/>
  <c r="T403" i="34"/>
  <c r="U404" i="34"/>
  <c r="T402" i="34" l="1"/>
  <c r="U403" i="34"/>
  <c r="S400" i="34"/>
  <c r="R400" i="34"/>
  <c r="S399" i="34" l="1"/>
  <c r="R399" i="34"/>
  <c r="T401" i="34"/>
  <c r="U402" i="34"/>
  <c r="T400" i="34" l="1"/>
  <c r="U401" i="34"/>
  <c r="S398" i="34"/>
  <c r="R398" i="34"/>
  <c r="S397" i="34" l="1"/>
  <c r="R397" i="34"/>
  <c r="T399" i="34"/>
  <c r="U400" i="34"/>
  <c r="T398" i="34" l="1"/>
  <c r="U399" i="34"/>
  <c r="S396" i="34"/>
  <c r="R396" i="34"/>
  <c r="R395" i="34" l="1"/>
  <c r="S395" i="34"/>
  <c r="T397" i="34"/>
  <c r="U398" i="34"/>
  <c r="T396" i="34" l="1"/>
  <c r="U397" i="34"/>
  <c r="R394" i="34"/>
  <c r="S394" i="34"/>
  <c r="R393" i="34" l="1"/>
  <c r="S393" i="34"/>
  <c r="T395" i="34"/>
  <c r="U396" i="34"/>
  <c r="T394" i="34" l="1"/>
  <c r="U395" i="34"/>
  <c r="S392" i="34"/>
  <c r="R392" i="34"/>
  <c r="S391" i="34" l="1"/>
  <c r="R391" i="34"/>
  <c r="T393" i="34"/>
  <c r="U394" i="34"/>
  <c r="T392" i="34" l="1"/>
  <c r="U393" i="34"/>
  <c r="R390" i="34"/>
  <c r="S390" i="34"/>
  <c r="R389" i="34" l="1"/>
  <c r="S389" i="34"/>
  <c r="T391" i="34"/>
  <c r="U392" i="34"/>
  <c r="T390" i="34" l="1"/>
  <c r="U391" i="34"/>
  <c r="S388" i="34"/>
  <c r="R388" i="34"/>
  <c r="S387" i="34" l="1"/>
  <c r="R387" i="34"/>
  <c r="T389" i="34"/>
  <c r="U390" i="34"/>
  <c r="T388" i="34" l="1"/>
  <c r="U389" i="34"/>
  <c r="S386" i="34"/>
  <c r="R386" i="34"/>
  <c r="R385" i="34" l="1"/>
  <c r="S385" i="34"/>
  <c r="T387" i="34"/>
  <c r="U388" i="34"/>
  <c r="T386" i="34" l="1"/>
  <c r="U387" i="34"/>
  <c r="S384" i="34"/>
  <c r="R384" i="34"/>
  <c r="S383" i="34" l="1"/>
  <c r="R383" i="34"/>
  <c r="T385" i="34"/>
  <c r="U386" i="34"/>
  <c r="T384" i="34" l="1"/>
  <c r="U385" i="34"/>
  <c r="S382" i="34"/>
  <c r="R382" i="34"/>
  <c r="S381" i="34" l="1"/>
  <c r="R381" i="34"/>
  <c r="T383" i="34"/>
  <c r="U384" i="34"/>
  <c r="T382" i="34" l="1"/>
  <c r="U383" i="34"/>
  <c r="S380" i="34"/>
  <c r="R380" i="34"/>
  <c r="R379" i="34" l="1"/>
  <c r="S379" i="34"/>
  <c r="T381" i="34"/>
  <c r="U382" i="34"/>
  <c r="T380" i="34" l="1"/>
  <c r="U381" i="34"/>
  <c r="R378" i="34"/>
  <c r="S378" i="34"/>
  <c r="R377" i="34" l="1"/>
  <c r="S377" i="34"/>
  <c r="T379" i="34"/>
  <c r="U380" i="34"/>
  <c r="T378" i="34" l="1"/>
  <c r="U379" i="34"/>
  <c r="S376" i="34"/>
  <c r="R376" i="34"/>
  <c r="S375" i="34" l="1"/>
  <c r="R375" i="34"/>
  <c r="T377" i="34"/>
  <c r="U378" i="34"/>
  <c r="T376" i="34" l="1"/>
  <c r="U377" i="34"/>
  <c r="R374" i="34"/>
  <c r="S374" i="34"/>
  <c r="R373" i="34" l="1"/>
  <c r="S373" i="34"/>
  <c r="T375" i="34"/>
  <c r="U376" i="34"/>
  <c r="T374" i="34" l="1"/>
  <c r="U375" i="34"/>
  <c r="S372" i="34"/>
  <c r="R372" i="34"/>
  <c r="S371" i="34" l="1"/>
  <c r="R371" i="34"/>
  <c r="T373" i="34"/>
  <c r="U374" i="34"/>
  <c r="T372" i="34" l="1"/>
  <c r="U373" i="34"/>
  <c r="S370" i="34"/>
  <c r="R370" i="34"/>
  <c r="R369" i="34" l="1"/>
  <c r="S369" i="34"/>
  <c r="T371" i="34"/>
  <c r="U372" i="34"/>
  <c r="T370" i="34" l="1"/>
  <c r="U371" i="34"/>
  <c r="S368" i="34"/>
  <c r="R368" i="34"/>
  <c r="S367" i="34" l="1"/>
  <c r="R367" i="34"/>
  <c r="T369" i="34"/>
  <c r="U370" i="34"/>
  <c r="T368" i="34" l="1"/>
  <c r="U369" i="34"/>
  <c r="S366" i="34"/>
  <c r="R366" i="34"/>
  <c r="S365" i="34" l="1"/>
  <c r="R365" i="34"/>
  <c r="T367" i="34"/>
  <c r="U368" i="34"/>
  <c r="T366" i="34" l="1"/>
  <c r="U367" i="34"/>
  <c r="S364" i="34"/>
  <c r="R364" i="34"/>
  <c r="R363" i="34" l="1"/>
  <c r="S363" i="34"/>
  <c r="T365" i="34"/>
  <c r="U366" i="34"/>
  <c r="T364" i="34" l="1"/>
  <c r="U365" i="34"/>
  <c r="R362" i="34"/>
  <c r="S362" i="34"/>
  <c r="R361" i="34" l="1"/>
  <c r="S361" i="34"/>
  <c r="T363" i="34"/>
  <c r="U364" i="34"/>
  <c r="T362" i="34" l="1"/>
  <c r="U363" i="34"/>
  <c r="S360" i="34"/>
  <c r="R360" i="34"/>
  <c r="S359" i="34" l="1"/>
  <c r="R359" i="34"/>
  <c r="T361" i="34"/>
  <c r="U362" i="34"/>
  <c r="T360" i="34" l="1"/>
  <c r="U361" i="34"/>
  <c r="R358" i="34"/>
  <c r="S358" i="34"/>
  <c r="R357" i="34" l="1"/>
  <c r="S357" i="34"/>
  <c r="T359" i="34"/>
  <c r="U360" i="34"/>
  <c r="T358" i="34" l="1"/>
  <c r="U359" i="34"/>
  <c r="S356" i="34"/>
  <c r="R356" i="34"/>
  <c r="S355" i="34" l="1"/>
  <c r="R355" i="34"/>
  <c r="T357" i="34"/>
  <c r="U358" i="34"/>
  <c r="T356" i="34" l="1"/>
  <c r="U357" i="34"/>
  <c r="S354" i="34"/>
  <c r="R354" i="34"/>
  <c r="R353" i="34" l="1"/>
  <c r="S353" i="34"/>
  <c r="T355" i="34"/>
  <c r="U356" i="34"/>
  <c r="T354" i="34" l="1"/>
  <c r="U355" i="34"/>
  <c r="S352" i="34"/>
  <c r="R352" i="34"/>
  <c r="S351" i="34" l="1"/>
  <c r="R351" i="34"/>
  <c r="T353" i="34"/>
  <c r="U354" i="34"/>
  <c r="T352" i="34" l="1"/>
  <c r="U353" i="34"/>
  <c r="S350" i="34"/>
  <c r="R350" i="34"/>
  <c r="S349" i="34" l="1"/>
  <c r="R349" i="34"/>
  <c r="T351" i="34"/>
  <c r="U352" i="34"/>
  <c r="T350" i="34" l="1"/>
  <c r="U351" i="34"/>
  <c r="S348" i="34"/>
  <c r="R348" i="34"/>
  <c r="R347" i="34" l="1"/>
  <c r="S347" i="34"/>
  <c r="T349" i="34"/>
  <c r="U350" i="34"/>
  <c r="T348" i="34" l="1"/>
  <c r="U349" i="34"/>
  <c r="R346" i="34"/>
  <c r="S346" i="34"/>
  <c r="R345" i="34" l="1"/>
  <c r="S345" i="34"/>
  <c r="T347" i="34"/>
  <c r="U348" i="34"/>
  <c r="S344" i="34" l="1"/>
  <c r="R344" i="34"/>
  <c r="T346" i="34"/>
  <c r="U347" i="34"/>
  <c r="T345" i="34" l="1"/>
  <c r="U346" i="34"/>
  <c r="S343" i="34"/>
  <c r="R343" i="34"/>
  <c r="R342" i="34" l="1"/>
  <c r="S342" i="34"/>
  <c r="T344" i="34"/>
  <c r="U345" i="34"/>
  <c r="T343" i="34" l="1"/>
  <c r="U344" i="34"/>
  <c r="R341" i="34"/>
  <c r="S341" i="34"/>
  <c r="S340" i="34" l="1"/>
  <c r="R340" i="34"/>
  <c r="T342" i="34"/>
  <c r="U343" i="34"/>
  <c r="T341" i="34" l="1"/>
  <c r="U342" i="34"/>
  <c r="S339" i="34"/>
  <c r="R339" i="34"/>
  <c r="S338" i="34" l="1"/>
  <c r="R338" i="34"/>
  <c r="T340" i="34"/>
  <c r="U341" i="34"/>
  <c r="T339" i="34" l="1"/>
  <c r="U340" i="34"/>
  <c r="R337" i="34"/>
  <c r="S337" i="34"/>
  <c r="S336" i="34" l="1"/>
  <c r="R336" i="34"/>
  <c r="T338" i="34"/>
  <c r="U339" i="34"/>
  <c r="T337" i="34" l="1"/>
  <c r="U338" i="34"/>
  <c r="S335" i="34"/>
  <c r="R335" i="34"/>
  <c r="S334" i="34" l="1"/>
  <c r="R334" i="34"/>
  <c r="T336" i="34"/>
  <c r="U337" i="34"/>
  <c r="T335" i="34" l="1"/>
  <c r="U336" i="34"/>
  <c r="S333" i="34"/>
  <c r="R333" i="34"/>
  <c r="S332" i="34" l="1"/>
  <c r="R332" i="34"/>
  <c r="T334" i="34"/>
  <c r="U335" i="34"/>
  <c r="T333" i="34" l="1"/>
  <c r="U334" i="34"/>
  <c r="R331" i="34"/>
  <c r="S331" i="34"/>
  <c r="R330" i="34" l="1"/>
  <c r="S330" i="34"/>
  <c r="T332" i="34"/>
  <c r="U333" i="34"/>
  <c r="T331" i="34" l="1"/>
  <c r="U332" i="34"/>
  <c r="R329" i="34"/>
  <c r="S329" i="34"/>
  <c r="S328" i="34" l="1"/>
  <c r="R328" i="34"/>
  <c r="T330" i="34"/>
  <c r="U331" i="34"/>
  <c r="T329" i="34" l="1"/>
  <c r="U330" i="34"/>
  <c r="S327" i="34"/>
  <c r="R327" i="34"/>
  <c r="R326" i="34" l="1"/>
  <c r="S326" i="34"/>
  <c r="T328" i="34"/>
  <c r="U329" i="34"/>
  <c r="T327" i="34" l="1"/>
  <c r="U328" i="34"/>
  <c r="R325" i="34"/>
  <c r="S325" i="34"/>
  <c r="S324" i="34" l="1"/>
  <c r="R324" i="34"/>
  <c r="T326" i="34"/>
  <c r="U327" i="34"/>
  <c r="T325" i="34" l="1"/>
  <c r="U326" i="34"/>
  <c r="S323" i="34"/>
  <c r="R323" i="34"/>
  <c r="S322" i="34" l="1"/>
  <c r="R322" i="34"/>
  <c r="T324" i="34"/>
  <c r="U325" i="34"/>
  <c r="T323" i="34" l="1"/>
  <c r="U324" i="34"/>
  <c r="R321" i="34"/>
  <c r="S321" i="34"/>
  <c r="S320" i="34" l="1"/>
  <c r="R320" i="34"/>
  <c r="T322" i="34"/>
  <c r="U323" i="34"/>
  <c r="T321" i="34" l="1"/>
  <c r="U322" i="34"/>
  <c r="S319" i="34"/>
  <c r="R319" i="34"/>
  <c r="S318" i="34" l="1"/>
  <c r="R318" i="34"/>
  <c r="T320" i="34"/>
  <c r="U321" i="34"/>
  <c r="T319" i="34" l="1"/>
  <c r="U320" i="34"/>
  <c r="S317" i="34"/>
  <c r="R317" i="34"/>
  <c r="S316" i="34" l="1"/>
  <c r="R316" i="34"/>
  <c r="T318" i="34"/>
  <c r="U319" i="34"/>
  <c r="T317" i="34" l="1"/>
  <c r="U318" i="34"/>
  <c r="R315" i="34"/>
  <c r="S315" i="34"/>
  <c r="R314" i="34" l="1"/>
  <c r="S314" i="34"/>
  <c r="T316" i="34"/>
  <c r="U317" i="34"/>
  <c r="T315" i="34" l="1"/>
  <c r="U316" i="34"/>
  <c r="R313" i="34"/>
  <c r="S313" i="34"/>
  <c r="S312" i="34" l="1"/>
  <c r="R312" i="34"/>
  <c r="T314" i="34"/>
  <c r="U315" i="34"/>
  <c r="T313" i="34" l="1"/>
  <c r="U314" i="34"/>
  <c r="S311" i="34"/>
  <c r="R311" i="34"/>
  <c r="R310" i="34" l="1"/>
  <c r="S310" i="34"/>
  <c r="T312" i="34"/>
  <c r="U313" i="34"/>
  <c r="T311" i="34" l="1"/>
  <c r="U312" i="34"/>
  <c r="R309" i="34"/>
  <c r="S309" i="34"/>
  <c r="S308" i="34" l="1"/>
  <c r="R308" i="34"/>
  <c r="T310" i="34"/>
  <c r="U311" i="34"/>
  <c r="T309" i="34" l="1"/>
  <c r="U310" i="34"/>
  <c r="S307" i="34"/>
  <c r="R307" i="34"/>
  <c r="S306" i="34" l="1"/>
  <c r="R306" i="34"/>
  <c r="T308" i="34"/>
  <c r="U309" i="34"/>
  <c r="T307" i="34" l="1"/>
  <c r="U308" i="34"/>
  <c r="R305" i="34"/>
  <c r="S305" i="34"/>
  <c r="S304" i="34" l="1"/>
  <c r="R304" i="34"/>
  <c r="T306" i="34"/>
  <c r="U307" i="34"/>
  <c r="T305" i="34" l="1"/>
  <c r="U306" i="34"/>
  <c r="S303" i="34"/>
  <c r="R303" i="34"/>
  <c r="S302" i="34" l="1"/>
  <c r="R302" i="34"/>
  <c r="T304" i="34"/>
  <c r="U305" i="34"/>
  <c r="T303" i="34" l="1"/>
  <c r="U304" i="34"/>
  <c r="S301" i="34"/>
  <c r="R301" i="34"/>
  <c r="S300" i="34" l="1"/>
  <c r="R300" i="34"/>
  <c r="T302" i="34"/>
  <c r="U303" i="34"/>
  <c r="T301" i="34" l="1"/>
  <c r="U302" i="34"/>
  <c r="R299" i="34"/>
  <c r="S299" i="34"/>
  <c r="R298" i="34" l="1"/>
  <c r="S298" i="34"/>
  <c r="T300" i="34"/>
  <c r="U301" i="34"/>
  <c r="R297" i="34" l="1"/>
  <c r="S297" i="34"/>
  <c r="T299" i="34"/>
  <c r="U300" i="34"/>
  <c r="T298" i="34" l="1"/>
  <c r="U299" i="34"/>
  <c r="S296" i="34"/>
  <c r="R296" i="34"/>
  <c r="S295" i="34" l="1"/>
  <c r="R295" i="34"/>
  <c r="T297" i="34"/>
  <c r="U298" i="34"/>
  <c r="T296" i="34" l="1"/>
  <c r="U297" i="34"/>
  <c r="R294" i="34"/>
  <c r="S294" i="34"/>
  <c r="R293" i="34" l="1"/>
  <c r="S293" i="34"/>
  <c r="T295" i="34"/>
  <c r="U296" i="34"/>
  <c r="T294" i="34" l="1"/>
  <c r="U295" i="34"/>
  <c r="S292" i="34"/>
  <c r="R292" i="34"/>
  <c r="S291" i="34" l="1"/>
  <c r="R291" i="34"/>
  <c r="T293" i="34"/>
  <c r="U294" i="34"/>
  <c r="T292" i="34" l="1"/>
  <c r="U293" i="34"/>
  <c r="S290" i="34"/>
  <c r="R290" i="34"/>
  <c r="R289" i="34" l="1"/>
  <c r="S289" i="34"/>
  <c r="T291" i="34"/>
  <c r="U292" i="34"/>
  <c r="T290" i="34" l="1"/>
  <c r="U291" i="34"/>
  <c r="R288" i="34"/>
  <c r="S288" i="34"/>
  <c r="S287" i="34" l="1"/>
  <c r="R287" i="34"/>
  <c r="T289" i="34"/>
  <c r="U290" i="34"/>
  <c r="T288" i="34" l="1"/>
  <c r="U289" i="34"/>
  <c r="S286" i="34"/>
  <c r="R286" i="34"/>
  <c r="S285" i="34" l="1"/>
  <c r="R285" i="34"/>
  <c r="T287" i="34"/>
  <c r="U288" i="34"/>
  <c r="T286" i="34" l="1"/>
  <c r="U287" i="34"/>
  <c r="R284" i="34"/>
  <c r="S284" i="34"/>
  <c r="R283" i="34" l="1"/>
  <c r="S283" i="34"/>
  <c r="T285" i="34"/>
  <c r="U286" i="34"/>
  <c r="T284" i="34" l="1"/>
  <c r="U285" i="34"/>
  <c r="R282" i="34"/>
  <c r="S282" i="34"/>
  <c r="R281" i="34" l="1"/>
  <c r="S281" i="34"/>
  <c r="T283" i="34"/>
  <c r="U284" i="34"/>
  <c r="T282" i="34" l="1"/>
  <c r="U283" i="34"/>
  <c r="R280" i="34"/>
  <c r="S280" i="34"/>
  <c r="S279" i="34" l="1"/>
  <c r="R279" i="34"/>
  <c r="T281" i="34"/>
  <c r="U282" i="34"/>
  <c r="T280" i="34" l="1"/>
  <c r="U281" i="34"/>
  <c r="S278" i="34"/>
  <c r="R278" i="34"/>
  <c r="R277" i="34" l="1"/>
  <c r="S277" i="34"/>
  <c r="T279" i="34"/>
  <c r="U280" i="34"/>
  <c r="T278" i="34" l="1"/>
  <c r="U279" i="34"/>
  <c r="R276" i="34"/>
  <c r="S276" i="34"/>
  <c r="S275" i="34" l="1"/>
  <c r="R275" i="34"/>
  <c r="T277" i="34"/>
  <c r="U278" i="34"/>
  <c r="T276" i="34" l="1"/>
  <c r="U277" i="34"/>
  <c r="S274" i="34"/>
  <c r="R274" i="34"/>
  <c r="S273" i="34" l="1"/>
  <c r="R273" i="34"/>
  <c r="T275" i="34"/>
  <c r="U276" i="34"/>
  <c r="T274" i="34" l="1"/>
  <c r="U275" i="34"/>
  <c r="S272" i="34"/>
  <c r="R272" i="34"/>
  <c r="R271" i="34" l="1"/>
  <c r="S271" i="34"/>
  <c r="T273" i="34"/>
  <c r="U274" i="34"/>
  <c r="T272" i="34" l="1"/>
  <c r="U273" i="34"/>
  <c r="S270" i="34"/>
  <c r="R270" i="34"/>
  <c r="S269" i="34" l="1"/>
  <c r="R269" i="34"/>
  <c r="T271" i="34"/>
  <c r="U272" i="34"/>
  <c r="T270" i="34" l="1"/>
  <c r="U271" i="34"/>
  <c r="S268" i="34"/>
  <c r="R268" i="34"/>
  <c r="R267" i="34" l="1"/>
  <c r="S267" i="34"/>
  <c r="T269" i="34"/>
  <c r="U270" i="34"/>
  <c r="T268" i="34" l="1"/>
  <c r="U269" i="34"/>
  <c r="R266" i="34"/>
  <c r="S266" i="34"/>
  <c r="R265" i="34" l="1"/>
  <c r="S265" i="34"/>
  <c r="T267" i="34"/>
  <c r="U268" i="34"/>
  <c r="T266" i="34" l="1"/>
  <c r="U267" i="34"/>
  <c r="R264" i="34"/>
  <c r="S264" i="34"/>
  <c r="R263" i="34" l="1"/>
  <c r="S263" i="34"/>
  <c r="T265" i="34"/>
  <c r="U266" i="34"/>
  <c r="T264" i="34" l="1"/>
  <c r="U265" i="34"/>
  <c r="R262" i="34"/>
  <c r="S262" i="34"/>
  <c r="R261" i="34" l="1"/>
  <c r="S261" i="34"/>
  <c r="T263" i="34"/>
  <c r="U264" i="34"/>
  <c r="T262" i="34" l="1"/>
  <c r="U263" i="34"/>
  <c r="R260" i="34"/>
  <c r="S260" i="34"/>
  <c r="S259" i="34" l="1"/>
  <c r="R259" i="34"/>
  <c r="T261" i="34"/>
  <c r="U262" i="34"/>
  <c r="T260" i="34" l="1"/>
  <c r="U261" i="34"/>
  <c r="S258" i="34"/>
  <c r="R258" i="34"/>
  <c r="S257" i="34" l="1"/>
  <c r="R257" i="34"/>
  <c r="T259" i="34"/>
  <c r="U260" i="34"/>
  <c r="T258" i="34" l="1"/>
  <c r="U259" i="34"/>
  <c r="S256" i="34"/>
  <c r="R256" i="34"/>
  <c r="S255" i="34" l="1"/>
  <c r="R255" i="34"/>
  <c r="T257" i="34"/>
  <c r="U258" i="34"/>
  <c r="T256" i="34" l="1"/>
  <c r="U257" i="34"/>
  <c r="R254" i="34"/>
  <c r="S254" i="34"/>
  <c r="S253" i="34" l="1"/>
  <c r="R253" i="34"/>
  <c r="T255" i="34"/>
  <c r="U256" i="34"/>
  <c r="S252" i="34" l="1"/>
  <c r="R252" i="34"/>
  <c r="T254" i="34"/>
  <c r="U255" i="34"/>
  <c r="T253" i="34" l="1"/>
  <c r="U254" i="34"/>
  <c r="R251" i="34"/>
  <c r="S251" i="34"/>
  <c r="R250" i="34" l="1"/>
  <c r="S250" i="34"/>
  <c r="T252" i="34"/>
  <c r="U253" i="34"/>
  <c r="T251" i="34" l="1"/>
  <c r="U252" i="34"/>
  <c r="S249" i="34"/>
  <c r="R249" i="34"/>
  <c r="R248" i="34" l="1"/>
  <c r="S248" i="34"/>
  <c r="T250" i="34"/>
  <c r="U251" i="34"/>
  <c r="T249" i="34" l="1"/>
  <c r="U250" i="34"/>
  <c r="R247" i="34"/>
  <c r="S247" i="34"/>
  <c r="R246" i="34" l="1"/>
  <c r="S246" i="34"/>
  <c r="T248" i="34"/>
  <c r="U249" i="34"/>
  <c r="T247" i="34" l="1"/>
  <c r="U248" i="34"/>
  <c r="S245" i="34"/>
  <c r="R245" i="34"/>
  <c r="S244" i="34" l="1"/>
  <c r="R244" i="34"/>
  <c r="T246" i="34"/>
  <c r="U247" i="34"/>
  <c r="T245" i="34" l="1"/>
  <c r="U246" i="34"/>
  <c r="R243" i="34"/>
  <c r="S243" i="34"/>
  <c r="R242" i="34" l="1"/>
  <c r="S242" i="34"/>
  <c r="T244" i="34"/>
  <c r="U245" i="34"/>
  <c r="T243" i="34" l="1"/>
  <c r="U244" i="34"/>
  <c r="S241" i="34"/>
  <c r="R241" i="34"/>
  <c r="S240" i="34" l="1"/>
  <c r="R240" i="34"/>
  <c r="T242" i="34"/>
  <c r="U243" i="34"/>
  <c r="T241" i="34" l="1"/>
  <c r="U242" i="34"/>
  <c r="S239" i="34"/>
  <c r="R239" i="34"/>
  <c r="R238" i="34" l="1"/>
  <c r="S238" i="34"/>
  <c r="T240" i="34"/>
  <c r="U241" i="34"/>
  <c r="T239" i="34" l="1"/>
  <c r="U240" i="34"/>
  <c r="R237" i="34"/>
  <c r="S237" i="34"/>
  <c r="S236" i="34" l="1"/>
  <c r="R236" i="34"/>
  <c r="T238" i="34"/>
  <c r="U239" i="34"/>
  <c r="T237" i="34" l="1"/>
  <c r="U238" i="34"/>
  <c r="S235" i="34"/>
  <c r="R235" i="34"/>
  <c r="R234" i="34" l="1"/>
  <c r="S234" i="34"/>
  <c r="T236" i="34"/>
  <c r="U237" i="34"/>
  <c r="T235" i="34" l="1"/>
  <c r="U236" i="34"/>
  <c r="S233" i="34"/>
  <c r="R233" i="34"/>
  <c r="S232" i="34" l="1"/>
  <c r="R232" i="34"/>
  <c r="T234" i="34"/>
  <c r="U235" i="34"/>
  <c r="T233" i="34" l="1"/>
  <c r="U234" i="34"/>
  <c r="S231" i="34"/>
  <c r="R231" i="34"/>
  <c r="S230" i="34" l="1"/>
  <c r="R230" i="34"/>
  <c r="T232" i="34"/>
  <c r="U233" i="34"/>
  <c r="T231" i="34" l="1"/>
  <c r="U232" i="34"/>
  <c r="R229" i="34"/>
  <c r="S229" i="34"/>
  <c r="R228" i="34" l="1"/>
  <c r="S228" i="34"/>
  <c r="T230" i="34"/>
  <c r="U231" i="34"/>
  <c r="T229" i="34" l="1"/>
  <c r="U230" i="34"/>
  <c r="S227" i="34"/>
  <c r="R227" i="34"/>
  <c r="R226" i="34" l="1"/>
  <c r="S226" i="34"/>
  <c r="T228" i="34"/>
  <c r="U229" i="34"/>
  <c r="T227" i="34" l="1"/>
  <c r="U228" i="34"/>
  <c r="S225" i="34"/>
  <c r="R225" i="34"/>
  <c r="R224" i="34" l="1"/>
  <c r="S224" i="34"/>
  <c r="T226" i="34"/>
  <c r="U227" i="34"/>
  <c r="T225" i="34" l="1"/>
  <c r="U226" i="34"/>
  <c r="S223" i="34"/>
  <c r="R223" i="34"/>
  <c r="S222" i="34" l="1"/>
  <c r="R222" i="34"/>
  <c r="T224" i="34"/>
  <c r="U225" i="34"/>
  <c r="T223" i="34" l="1"/>
  <c r="U224" i="34"/>
  <c r="R221" i="34"/>
  <c r="S221" i="34"/>
  <c r="R220" i="34" l="1"/>
  <c r="S220" i="34"/>
  <c r="T222" i="34"/>
  <c r="U223" i="34"/>
  <c r="T221" i="34" l="1"/>
  <c r="U222" i="34"/>
  <c r="R219" i="34"/>
  <c r="S219" i="34"/>
  <c r="R218" i="34" l="1"/>
  <c r="S218" i="34"/>
  <c r="T220" i="34"/>
  <c r="U221" i="34"/>
  <c r="T219" i="34" l="1"/>
  <c r="U220" i="34"/>
  <c r="S217" i="34"/>
  <c r="R217" i="34"/>
  <c r="S216" i="34" l="1"/>
  <c r="R216" i="34"/>
  <c r="T218" i="34"/>
  <c r="U219" i="34"/>
  <c r="T217" i="34" l="1"/>
  <c r="U218" i="34"/>
  <c r="S215" i="34"/>
  <c r="R215" i="34"/>
  <c r="S214" i="34" l="1"/>
  <c r="R214" i="34"/>
  <c r="T216" i="34"/>
  <c r="U217" i="34"/>
  <c r="T215" i="34" l="1"/>
  <c r="U216" i="34"/>
  <c r="R213" i="34"/>
  <c r="S213" i="34"/>
  <c r="R212" i="34" l="1"/>
  <c r="S212" i="34"/>
  <c r="T214" i="34"/>
  <c r="U215" i="34"/>
  <c r="T213" i="34" l="1"/>
  <c r="U214" i="34"/>
  <c r="R211" i="34"/>
  <c r="S211" i="34"/>
  <c r="R210" i="34" l="1"/>
  <c r="S210" i="34"/>
  <c r="T212" i="34"/>
  <c r="U213" i="34"/>
  <c r="T211" i="34" l="1"/>
  <c r="U212" i="34"/>
  <c r="S209" i="34"/>
  <c r="R209" i="34"/>
  <c r="S208" i="34" l="1"/>
  <c r="R208" i="34"/>
  <c r="T210" i="34"/>
  <c r="U211" i="34"/>
  <c r="T209" i="34" l="1"/>
  <c r="U210" i="34"/>
  <c r="R207" i="34"/>
  <c r="S207" i="34"/>
  <c r="R206" i="34" l="1"/>
  <c r="S206" i="34"/>
  <c r="T208" i="34"/>
  <c r="U209" i="34"/>
  <c r="T207" i="34" l="1"/>
  <c r="U208" i="34"/>
  <c r="S205" i="34"/>
  <c r="R205" i="34"/>
  <c r="S204" i="34" l="1"/>
  <c r="R204" i="34"/>
  <c r="T206" i="34"/>
  <c r="U207" i="34"/>
  <c r="T205" i="34" l="1"/>
  <c r="U206" i="34"/>
  <c r="S203" i="34"/>
  <c r="R203" i="34"/>
  <c r="R202" i="34" l="1"/>
  <c r="S202" i="34"/>
  <c r="T204" i="34"/>
  <c r="U205" i="34"/>
  <c r="S201" i="34" l="1"/>
  <c r="R201" i="34"/>
  <c r="T203" i="34"/>
  <c r="U204" i="34"/>
  <c r="T202" i="34" l="1"/>
  <c r="U203" i="34"/>
  <c r="S200" i="34"/>
  <c r="R200" i="34"/>
  <c r="S199" i="34" l="1"/>
  <c r="R199" i="34"/>
  <c r="T201" i="34"/>
  <c r="U202" i="34"/>
  <c r="T200" i="34" l="1"/>
  <c r="U201" i="34"/>
  <c r="S198" i="34"/>
  <c r="R198" i="34"/>
  <c r="R197" i="34" l="1"/>
  <c r="S197" i="34"/>
  <c r="T199" i="34"/>
  <c r="U200" i="34"/>
  <c r="T198" i="34" l="1"/>
  <c r="U199" i="34"/>
  <c r="S196" i="34"/>
  <c r="R196" i="34"/>
  <c r="R195" i="34" l="1"/>
  <c r="S195" i="34"/>
  <c r="T197" i="34"/>
  <c r="U198" i="34"/>
  <c r="T196" i="34" l="1"/>
  <c r="U197" i="34"/>
  <c r="R194" i="34"/>
  <c r="S194" i="34"/>
  <c r="S193" i="34" l="1"/>
  <c r="R193" i="34"/>
  <c r="T195" i="34"/>
  <c r="U196" i="34"/>
  <c r="T194" i="34" l="1"/>
  <c r="U195" i="34"/>
  <c r="S192" i="34"/>
  <c r="R192" i="34"/>
  <c r="R191" i="34" l="1"/>
  <c r="S191" i="34"/>
  <c r="T193" i="34"/>
  <c r="U194" i="34"/>
  <c r="T192" i="34" l="1"/>
  <c r="U193" i="34"/>
  <c r="R190" i="34"/>
  <c r="S190" i="34"/>
  <c r="R189" i="34" l="1"/>
  <c r="S189" i="34"/>
  <c r="T191" i="34"/>
  <c r="U192" i="34"/>
  <c r="T190" i="34" l="1"/>
  <c r="U191" i="34"/>
  <c r="S188" i="34"/>
  <c r="R188" i="34"/>
  <c r="S187" i="34" l="1"/>
  <c r="R187" i="34"/>
  <c r="T189" i="34"/>
  <c r="U190" i="34"/>
  <c r="T188" i="34" l="1"/>
  <c r="U189" i="34"/>
  <c r="S186" i="34"/>
  <c r="R186" i="34"/>
  <c r="R185" i="34" l="1"/>
  <c r="S185" i="34"/>
  <c r="T187" i="34"/>
  <c r="U188" i="34"/>
  <c r="S184" i="34" l="1"/>
  <c r="R184" i="34"/>
  <c r="T186" i="34"/>
  <c r="U187" i="34"/>
  <c r="T185" i="34" l="1"/>
  <c r="U186" i="34"/>
  <c r="S183" i="34"/>
  <c r="R183" i="34"/>
  <c r="S182" i="34" l="1"/>
  <c r="R182" i="34"/>
  <c r="T184" i="34"/>
  <c r="U185" i="34"/>
  <c r="T183" i="34" l="1"/>
  <c r="U184" i="34"/>
  <c r="R181" i="34"/>
  <c r="S181" i="34"/>
  <c r="S180" i="34" l="1"/>
  <c r="R180" i="34"/>
  <c r="T182" i="34"/>
  <c r="U183" i="34"/>
  <c r="T181" i="34" l="1"/>
  <c r="U182" i="34"/>
  <c r="R179" i="34"/>
  <c r="S179" i="34"/>
  <c r="R178" i="34" l="1"/>
  <c r="S178" i="34"/>
  <c r="T180" i="34"/>
  <c r="U181" i="34"/>
  <c r="T179" i="34" l="1"/>
  <c r="U180" i="34"/>
  <c r="R177" i="34"/>
  <c r="S177" i="34"/>
  <c r="S176" i="34" l="1"/>
  <c r="R176" i="34"/>
  <c r="T178" i="34"/>
  <c r="U179" i="34"/>
  <c r="T177" i="34" l="1"/>
  <c r="U178" i="34"/>
  <c r="S175" i="34"/>
  <c r="R175" i="34"/>
  <c r="R174" i="34" l="1"/>
  <c r="S174" i="34"/>
  <c r="T176" i="34"/>
  <c r="U177" i="34"/>
  <c r="T175" i="34" l="1"/>
  <c r="U176" i="34"/>
  <c r="R173" i="34"/>
  <c r="S173" i="34"/>
  <c r="S172" i="34" l="1"/>
  <c r="R172" i="34"/>
  <c r="T174" i="34"/>
  <c r="U175" i="34"/>
  <c r="T173" i="34" l="1"/>
  <c r="U174" i="34"/>
  <c r="S171" i="34"/>
  <c r="R171" i="34"/>
  <c r="S170" i="34" l="1"/>
  <c r="R170" i="34"/>
  <c r="T172" i="34"/>
  <c r="U173" i="34"/>
  <c r="T171" i="34" l="1"/>
  <c r="U172" i="34"/>
  <c r="S169" i="34"/>
  <c r="R169" i="34"/>
  <c r="S168" i="34" l="1"/>
  <c r="R168" i="34"/>
  <c r="T170" i="34"/>
  <c r="U171" i="34"/>
  <c r="T169" i="34" l="1"/>
  <c r="U170" i="34"/>
  <c r="S167" i="34"/>
  <c r="R167" i="34"/>
  <c r="S166" i="34" l="1"/>
  <c r="R166" i="34"/>
  <c r="T168" i="34"/>
  <c r="U169" i="34"/>
  <c r="T167" i="34" l="1"/>
  <c r="U168" i="34"/>
  <c r="R165" i="34"/>
  <c r="S165" i="34"/>
  <c r="S164" i="34" l="1"/>
  <c r="R164" i="34"/>
  <c r="T166" i="34"/>
  <c r="U167" i="34"/>
  <c r="T165" i="34" l="1"/>
  <c r="U166" i="34"/>
  <c r="S163" i="34"/>
  <c r="R163" i="34"/>
  <c r="R162" i="34" l="1"/>
  <c r="S162" i="34"/>
  <c r="T164" i="34"/>
  <c r="U165" i="34"/>
  <c r="S161" i="34" l="1"/>
  <c r="R161" i="34"/>
  <c r="T163" i="34"/>
  <c r="U164" i="34"/>
  <c r="T162" i="34" l="1"/>
  <c r="U163" i="34"/>
  <c r="S160" i="34"/>
  <c r="R160" i="34"/>
  <c r="R159" i="34" l="1"/>
  <c r="S159" i="34"/>
  <c r="T161" i="34"/>
  <c r="U162" i="34"/>
  <c r="T160" i="34" l="1"/>
  <c r="U161" i="34"/>
  <c r="R158" i="34"/>
  <c r="S158" i="34"/>
  <c r="S157" i="34" l="1"/>
  <c r="R157" i="34"/>
  <c r="T159" i="34"/>
  <c r="U160" i="34"/>
  <c r="T158" i="34" l="1"/>
  <c r="U159" i="34"/>
  <c r="S156" i="34"/>
  <c r="R156" i="34"/>
  <c r="S155" i="34" l="1"/>
  <c r="R155" i="34"/>
  <c r="T157" i="34"/>
  <c r="U158" i="34"/>
  <c r="T156" i="34" l="1"/>
  <c r="U157" i="34"/>
  <c r="R154" i="34"/>
  <c r="S154" i="34"/>
  <c r="S153" i="34" l="1"/>
  <c r="R153" i="34"/>
  <c r="T155" i="34"/>
  <c r="U156" i="34"/>
  <c r="T154" i="34" l="1"/>
  <c r="U155" i="34"/>
  <c r="S152" i="34"/>
  <c r="R152" i="34"/>
  <c r="S151" i="34" l="1"/>
  <c r="R151" i="34"/>
  <c r="T153" i="34"/>
  <c r="U154" i="34"/>
  <c r="T152" i="34" l="1"/>
  <c r="U153" i="34"/>
  <c r="R150" i="34"/>
  <c r="S150" i="34"/>
  <c r="R149" i="34" l="1"/>
  <c r="S149" i="34"/>
  <c r="T151" i="34"/>
  <c r="U152" i="34"/>
  <c r="T150" i="34" l="1"/>
  <c r="U151" i="34"/>
  <c r="S148" i="34"/>
  <c r="R148" i="34"/>
  <c r="R147" i="34" l="1"/>
  <c r="S147" i="34"/>
  <c r="T149" i="34"/>
  <c r="U150" i="34"/>
  <c r="T148" i="34" l="1"/>
  <c r="U149" i="34"/>
  <c r="R146" i="34"/>
  <c r="S146" i="34"/>
  <c r="S145" i="34" l="1"/>
  <c r="R145" i="34"/>
  <c r="T147" i="34"/>
  <c r="U148" i="34"/>
  <c r="T146" i="34" l="1"/>
  <c r="U147" i="34"/>
  <c r="S144" i="34"/>
  <c r="R144" i="34"/>
  <c r="R143" i="34" l="1"/>
  <c r="S143" i="34"/>
  <c r="T145" i="34"/>
  <c r="U146" i="34"/>
  <c r="T144" i="34" l="1"/>
  <c r="U145" i="34"/>
  <c r="R142" i="34"/>
  <c r="S142" i="34"/>
  <c r="S141" i="34" l="1"/>
  <c r="R141" i="34"/>
  <c r="T143" i="34"/>
  <c r="U144" i="34"/>
  <c r="T142" i="34" l="1"/>
  <c r="U143" i="34"/>
  <c r="S140" i="34"/>
  <c r="R140" i="34"/>
  <c r="S139" i="34" l="1"/>
  <c r="R139" i="34"/>
  <c r="T141" i="34"/>
  <c r="U142" i="34"/>
  <c r="T140" i="34" l="1"/>
  <c r="U141" i="34"/>
  <c r="S138" i="34"/>
  <c r="R138" i="34"/>
  <c r="S137" i="34" l="1"/>
  <c r="R137" i="34"/>
  <c r="T139" i="34"/>
  <c r="U140" i="34"/>
  <c r="T138" i="34" l="1"/>
  <c r="U139" i="34"/>
  <c r="S136" i="34"/>
  <c r="R136" i="34"/>
  <c r="S135" i="34" l="1"/>
  <c r="R135" i="34"/>
  <c r="T137" i="34"/>
  <c r="U138" i="34"/>
  <c r="T136" i="34" l="1"/>
  <c r="U137" i="34"/>
  <c r="S134" i="34"/>
  <c r="R134" i="34"/>
  <c r="S133" i="34" l="1"/>
  <c r="R133" i="34"/>
  <c r="T135" i="34"/>
  <c r="U136" i="34"/>
  <c r="T134" i="34" l="1"/>
  <c r="U135" i="34"/>
  <c r="S132" i="34"/>
  <c r="R132" i="34"/>
  <c r="S131" i="34" l="1"/>
  <c r="R131" i="34"/>
  <c r="T133" i="34"/>
  <c r="U134" i="34"/>
  <c r="T132" i="34" l="1"/>
  <c r="U133" i="34"/>
  <c r="S130" i="34"/>
  <c r="R130" i="34"/>
  <c r="R129" i="34" l="1"/>
  <c r="S129" i="34"/>
  <c r="T131" i="34"/>
  <c r="U132" i="34"/>
  <c r="T130" i="34" l="1"/>
  <c r="U131" i="34"/>
  <c r="S128" i="34"/>
  <c r="R128" i="34"/>
  <c r="S127" i="34" l="1"/>
  <c r="R127" i="34"/>
  <c r="T129" i="34"/>
  <c r="U130" i="34"/>
  <c r="T128" i="34" l="1"/>
  <c r="U129" i="34"/>
  <c r="S126" i="34"/>
  <c r="R126" i="34"/>
  <c r="S125" i="34" l="1"/>
  <c r="R125" i="34"/>
  <c r="T127" i="34"/>
  <c r="U128" i="34"/>
  <c r="T126" i="34" l="1"/>
  <c r="U127" i="34"/>
  <c r="S124" i="34"/>
  <c r="R124" i="34"/>
  <c r="S123" i="34" l="1"/>
  <c r="R123" i="34"/>
  <c r="T125" i="34"/>
  <c r="U126" i="34"/>
  <c r="T124" i="34" l="1"/>
  <c r="U125" i="34"/>
  <c r="S122" i="34"/>
  <c r="R122" i="34"/>
  <c r="S121" i="34" l="1"/>
  <c r="R121" i="34"/>
  <c r="T123" i="34"/>
  <c r="U124" i="34"/>
  <c r="T122" i="34" l="1"/>
  <c r="U123" i="34"/>
  <c r="S120" i="34"/>
  <c r="R120" i="34"/>
  <c r="S119" i="34" l="1"/>
  <c r="R119" i="34"/>
  <c r="T121" i="34"/>
  <c r="U122" i="34"/>
  <c r="T120" i="34" l="1"/>
  <c r="U121" i="34"/>
  <c r="S118" i="34"/>
  <c r="R118" i="34"/>
  <c r="S117" i="34" l="1"/>
  <c r="R117" i="34"/>
  <c r="T119" i="34"/>
  <c r="U120" i="34"/>
  <c r="T118" i="34" l="1"/>
  <c r="U119" i="34"/>
  <c r="S116" i="34"/>
  <c r="R116" i="34"/>
  <c r="R115" i="34" l="1"/>
  <c r="S115" i="34"/>
  <c r="T117" i="34"/>
  <c r="U118" i="34"/>
  <c r="T116" i="34" l="1"/>
  <c r="U117" i="34"/>
  <c r="S114" i="34"/>
  <c r="R114" i="34"/>
  <c r="S113" i="34" l="1"/>
  <c r="R113" i="34"/>
  <c r="T115" i="34"/>
  <c r="U116" i="34"/>
  <c r="T114" i="34" l="1"/>
  <c r="U115" i="34"/>
  <c r="S112" i="34"/>
  <c r="R112" i="34"/>
  <c r="S111" i="34" l="1"/>
  <c r="R111" i="34"/>
  <c r="T113" i="34"/>
  <c r="U114" i="34"/>
  <c r="T112" i="34" l="1"/>
  <c r="U113" i="34"/>
  <c r="S110" i="34"/>
  <c r="R110" i="34"/>
  <c r="S109" i="34" l="1"/>
  <c r="R109" i="34"/>
  <c r="T111" i="34"/>
  <c r="U112" i="34"/>
  <c r="T110" i="34" l="1"/>
  <c r="U111" i="34"/>
  <c r="S108" i="34"/>
  <c r="R108" i="34"/>
  <c r="R107" i="34" l="1"/>
  <c r="S107" i="34"/>
  <c r="T109" i="34"/>
  <c r="U110" i="34"/>
  <c r="T108" i="34" l="1"/>
  <c r="U109" i="34"/>
  <c r="S106" i="34"/>
  <c r="R106" i="34"/>
  <c r="S105" i="34" l="1"/>
  <c r="R105" i="34"/>
  <c r="T107" i="34"/>
  <c r="U108" i="34"/>
  <c r="T106" i="34" l="1"/>
  <c r="U107" i="34"/>
  <c r="S104" i="34"/>
  <c r="R104" i="34"/>
  <c r="S103" i="34" l="1"/>
  <c r="R103" i="34"/>
  <c r="T105" i="34"/>
  <c r="U106" i="34"/>
  <c r="T104" i="34" l="1"/>
  <c r="U105" i="34"/>
  <c r="S102" i="34"/>
  <c r="R102" i="34"/>
  <c r="S101" i="34" l="1"/>
  <c r="R101" i="34"/>
  <c r="T103" i="34"/>
  <c r="U104" i="34"/>
  <c r="T102" i="34" l="1"/>
  <c r="U103" i="34"/>
  <c r="S100" i="34"/>
  <c r="R100" i="34"/>
  <c r="R99" i="34" l="1"/>
  <c r="S99" i="34"/>
  <c r="T101" i="34"/>
  <c r="U102" i="34"/>
  <c r="T100" i="34" l="1"/>
  <c r="U101" i="34"/>
  <c r="S98" i="34"/>
  <c r="R98" i="34"/>
  <c r="S97" i="34" l="1"/>
  <c r="R97" i="34"/>
  <c r="T99" i="34"/>
  <c r="U100" i="34"/>
  <c r="T98" i="34" l="1"/>
  <c r="U99" i="34"/>
  <c r="S96" i="34"/>
  <c r="R96" i="34"/>
  <c r="R95" i="34" l="1"/>
  <c r="S95" i="34"/>
  <c r="T97" i="34"/>
  <c r="U98" i="34"/>
  <c r="T96" i="34" l="1"/>
  <c r="U97" i="34"/>
  <c r="S94" i="34"/>
  <c r="R94" i="34"/>
  <c r="S93" i="34" l="1"/>
  <c r="R93" i="34"/>
  <c r="T95" i="34"/>
  <c r="U96" i="34"/>
  <c r="T94" i="34" l="1"/>
  <c r="U95" i="34"/>
  <c r="S92" i="34"/>
  <c r="R92" i="34"/>
  <c r="S91" i="34" l="1"/>
  <c r="R91" i="34"/>
  <c r="T93" i="34"/>
  <c r="U94" i="34"/>
  <c r="S90" i="34" l="1"/>
  <c r="R90" i="34"/>
  <c r="T92" i="34"/>
  <c r="U93" i="34"/>
  <c r="T91" i="34" l="1"/>
  <c r="U92" i="34"/>
  <c r="S89" i="34"/>
  <c r="R89" i="34"/>
  <c r="S88" i="34" l="1"/>
  <c r="R88" i="34"/>
  <c r="T90" i="34"/>
  <c r="U91" i="34"/>
  <c r="T89" i="34" l="1"/>
  <c r="U90" i="34"/>
  <c r="S87" i="34"/>
  <c r="R87" i="34"/>
  <c r="S86" i="34" l="1"/>
  <c r="R86" i="34"/>
  <c r="T88" i="34"/>
  <c r="U89" i="34"/>
  <c r="T87" i="34" l="1"/>
  <c r="U88" i="34"/>
  <c r="S85" i="34"/>
  <c r="R85" i="34"/>
  <c r="R84" i="34" l="1"/>
  <c r="S84" i="34"/>
  <c r="T86" i="34"/>
  <c r="U87" i="34"/>
  <c r="T85" i="34" l="1"/>
  <c r="U86" i="34"/>
  <c r="S83" i="34"/>
  <c r="R83" i="34"/>
  <c r="S82" i="34" l="1"/>
  <c r="R82" i="34"/>
  <c r="T84" i="34"/>
  <c r="U85" i="34"/>
  <c r="T83" i="34" l="1"/>
  <c r="U84" i="34"/>
  <c r="S81" i="34"/>
  <c r="R81" i="34"/>
  <c r="S80" i="34" l="1"/>
  <c r="R80" i="34"/>
  <c r="T82" i="34"/>
  <c r="U83" i="34"/>
  <c r="T81" i="34" l="1"/>
  <c r="U82" i="34"/>
  <c r="S79" i="34"/>
  <c r="R79" i="34"/>
  <c r="S78" i="34" l="1"/>
  <c r="R78" i="34"/>
  <c r="T80" i="34"/>
  <c r="U81" i="34"/>
  <c r="T79" i="34" l="1"/>
  <c r="U80" i="34"/>
  <c r="S77" i="34"/>
  <c r="R77" i="34"/>
  <c r="S76" i="34" l="1"/>
  <c r="R76" i="34"/>
  <c r="T78" i="34"/>
  <c r="U79" i="34"/>
  <c r="T77" i="34" l="1"/>
  <c r="U78" i="34"/>
  <c r="S75" i="34"/>
  <c r="R75" i="34"/>
  <c r="S74" i="34" l="1"/>
  <c r="R74" i="34"/>
  <c r="T76" i="34"/>
  <c r="U77" i="34"/>
  <c r="T75" i="34" l="1"/>
  <c r="U76" i="34"/>
  <c r="S73" i="34"/>
  <c r="R73" i="34"/>
  <c r="R72" i="34" l="1"/>
  <c r="S72" i="34"/>
  <c r="T74" i="34"/>
  <c r="U75" i="34"/>
  <c r="T73" i="34" l="1"/>
  <c r="U74" i="34"/>
  <c r="S71" i="34"/>
  <c r="R71" i="34"/>
  <c r="S70" i="34" l="1"/>
  <c r="R70" i="34"/>
  <c r="T72" i="34"/>
  <c r="U73" i="34"/>
  <c r="T71" i="34" l="1"/>
  <c r="U72" i="34"/>
  <c r="S69" i="34"/>
  <c r="R69" i="34"/>
  <c r="R68" i="34" l="1"/>
  <c r="S68" i="34"/>
  <c r="T70" i="34"/>
  <c r="U71" i="34"/>
  <c r="T69" i="34" l="1"/>
  <c r="U70" i="34"/>
  <c r="S67" i="34"/>
  <c r="R67" i="34"/>
  <c r="S66" i="34" l="1"/>
  <c r="R66" i="34"/>
  <c r="T68" i="34"/>
  <c r="U69" i="34"/>
  <c r="T67" i="34" l="1"/>
  <c r="U68" i="34"/>
  <c r="S65" i="34"/>
  <c r="R65" i="34"/>
  <c r="R64" i="34" l="1"/>
  <c r="S64" i="34"/>
  <c r="T66" i="34"/>
  <c r="U67" i="34"/>
  <c r="S63" i="34" l="1"/>
  <c r="R63" i="34"/>
  <c r="T65" i="34"/>
  <c r="U66" i="34"/>
  <c r="T64" i="34" l="1"/>
  <c r="U65" i="34"/>
  <c r="S62" i="34"/>
  <c r="R62" i="34"/>
  <c r="S61" i="34" l="1"/>
  <c r="R61" i="34"/>
  <c r="T63" i="34"/>
  <c r="U64" i="34"/>
  <c r="T62" i="34" l="1"/>
  <c r="U63" i="34"/>
  <c r="S60" i="34"/>
  <c r="R60" i="34"/>
  <c r="S59" i="34" l="1"/>
  <c r="R59" i="34"/>
  <c r="T61" i="34"/>
  <c r="U62" i="34"/>
  <c r="T60" i="34" l="1"/>
  <c r="U61" i="34"/>
  <c r="S58" i="34"/>
  <c r="R58" i="34"/>
  <c r="S57" i="34" l="1"/>
  <c r="R57" i="34"/>
  <c r="T59" i="34"/>
  <c r="U60" i="34"/>
  <c r="T58" i="34" l="1"/>
  <c r="U59" i="34"/>
  <c r="S56" i="34"/>
  <c r="R56" i="34"/>
  <c r="S55" i="34" l="1"/>
  <c r="R55" i="34"/>
  <c r="T57" i="34"/>
  <c r="U58" i="34"/>
  <c r="T56" i="34" l="1"/>
  <c r="U57" i="34"/>
  <c r="S54" i="34"/>
  <c r="R54" i="34"/>
  <c r="S53" i="34" l="1"/>
  <c r="R53" i="34"/>
  <c r="T55" i="34"/>
  <c r="U56" i="34"/>
  <c r="T54" i="34" l="1"/>
  <c r="U55" i="34"/>
  <c r="R52" i="34"/>
  <c r="S52" i="34"/>
  <c r="S51" i="34" l="1"/>
  <c r="R51" i="34"/>
  <c r="T53" i="34"/>
  <c r="U54" i="34"/>
  <c r="T52" i="34" l="1"/>
  <c r="U53" i="34"/>
  <c r="S50" i="34"/>
  <c r="R50" i="34"/>
  <c r="S49" i="34" l="1"/>
  <c r="R49" i="34"/>
  <c r="T51" i="34"/>
  <c r="U52" i="34"/>
  <c r="T50" i="34" l="1"/>
  <c r="U51" i="34"/>
  <c r="R48" i="34"/>
  <c r="S48" i="34"/>
  <c r="S47" i="34" l="1"/>
  <c r="R47" i="34"/>
  <c r="T49" i="34"/>
  <c r="U50" i="34"/>
  <c r="T48" i="34" l="1"/>
  <c r="U49" i="34"/>
  <c r="S46" i="34"/>
  <c r="R46" i="34"/>
  <c r="S45" i="34" l="1"/>
  <c r="R45" i="34"/>
  <c r="T47" i="34"/>
  <c r="U48" i="34"/>
  <c r="T46" i="34" l="1"/>
  <c r="U47" i="34"/>
  <c r="S44" i="34"/>
  <c r="R44" i="34"/>
  <c r="S43" i="34" l="1"/>
  <c r="R43" i="34"/>
  <c r="T45" i="34"/>
  <c r="U46" i="34"/>
  <c r="T44" i="34" l="1"/>
  <c r="U45" i="34"/>
  <c r="S42" i="34"/>
  <c r="R42" i="34"/>
  <c r="S41" i="34" l="1"/>
  <c r="R41" i="34"/>
  <c r="T43" i="34"/>
  <c r="U44" i="34"/>
  <c r="T42" i="34" l="1"/>
  <c r="U43" i="34"/>
  <c r="R40" i="34"/>
  <c r="S40" i="34"/>
  <c r="R39" i="34" l="1"/>
  <c r="S39" i="34"/>
  <c r="T41" i="34"/>
  <c r="U42" i="34"/>
  <c r="T40" i="34" l="1"/>
  <c r="U41" i="34"/>
  <c r="S38" i="34"/>
  <c r="R38" i="34"/>
  <c r="R37" i="34" l="1"/>
  <c r="S37" i="34"/>
  <c r="T39" i="34"/>
  <c r="U40" i="34"/>
  <c r="T38" i="34" l="1"/>
  <c r="U39" i="34"/>
  <c r="R36" i="34"/>
  <c r="S36" i="34"/>
  <c r="R35" i="34" l="1"/>
  <c r="S35" i="34"/>
  <c r="T37" i="34"/>
  <c r="U38" i="34"/>
  <c r="T36" i="34" l="1"/>
  <c r="U37" i="34"/>
  <c r="S34" i="34"/>
  <c r="R34" i="34"/>
  <c r="S33" i="34" l="1"/>
  <c r="R33" i="34"/>
  <c r="T35" i="34"/>
  <c r="U36" i="34"/>
  <c r="S32" i="34" l="1"/>
  <c r="R32" i="34"/>
  <c r="T34" i="34"/>
  <c r="U35" i="34"/>
  <c r="T33" i="34" l="1"/>
  <c r="U34" i="34"/>
  <c r="R31" i="34"/>
  <c r="S31" i="34"/>
  <c r="R30" i="34" l="1"/>
  <c r="S30" i="34"/>
  <c r="T32" i="34"/>
  <c r="U33" i="34"/>
  <c r="T31" i="34" l="1"/>
  <c r="U32" i="34"/>
  <c r="R29" i="34"/>
  <c r="S29" i="34"/>
  <c r="S28" i="34" l="1"/>
  <c r="R28" i="34"/>
  <c r="T30" i="34"/>
  <c r="U31" i="34"/>
  <c r="T29" i="34" l="1"/>
  <c r="U30" i="34"/>
  <c r="S27" i="34"/>
  <c r="R27" i="34"/>
  <c r="S26" i="34" l="1"/>
  <c r="R26" i="34"/>
  <c r="T28" i="34"/>
  <c r="U29" i="34"/>
  <c r="T27" i="34" l="1"/>
  <c r="U28" i="34"/>
  <c r="S25" i="34"/>
  <c r="R25" i="34"/>
  <c r="S24" i="34" l="1"/>
  <c r="R24" i="34"/>
  <c r="T26" i="34"/>
  <c r="U27" i="34"/>
  <c r="T25" i="34" l="1"/>
  <c r="U26" i="34"/>
  <c r="R23" i="34"/>
  <c r="S23" i="34"/>
  <c r="R22" i="34" l="1"/>
  <c r="S22" i="34"/>
  <c r="T24" i="34"/>
  <c r="U25" i="34"/>
  <c r="R21" i="34" l="1"/>
  <c r="S21" i="34"/>
  <c r="T23" i="34"/>
  <c r="U24" i="34"/>
  <c r="T22" i="34" l="1"/>
  <c r="U23" i="34"/>
  <c r="S20" i="34"/>
  <c r="R20" i="34"/>
  <c r="R19" i="34" l="1"/>
  <c r="S19" i="34"/>
  <c r="T21" i="34"/>
  <c r="U22" i="34"/>
  <c r="T20" i="34" l="1"/>
  <c r="U21" i="34"/>
  <c r="R18" i="34"/>
  <c r="S18" i="34"/>
  <c r="S17" i="34" l="1"/>
  <c r="R17" i="34"/>
  <c r="T19" i="34"/>
  <c r="U20" i="34"/>
  <c r="T18" i="34" l="1"/>
  <c r="U19" i="34"/>
  <c r="N8" i="34"/>
  <c r="T17" i="34" l="1"/>
  <c r="U17" i="34" s="1"/>
  <c r="U18" i="34"/>
  <c r="N10" i="34" l="1"/>
  <c r="N9" i="34"/>
</calcChain>
</file>

<file path=xl/sharedStrings.xml><?xml version="1.0" encoding="utf-8"?>
<sst xmlns="http://schemas.openxmlformats.org/spreadsheetml/2006/main" count="5224" uniqueCount="124">
  <si>
    <t>x/check</t>
  </si>
  <si>
    <t>LOSERS</t>
  </si>
  <si>
    <t>PERCENTAGE</t>
  </si>
  <si>
    <t>BREAKEVEN</t>
  </si>
  <si>
    <t>WINNERS</t>
  </si>
  <si>
    <t>IND</t>
  </si>
  <si>
    <t>COMM</t>
  </si>
  <si>
    <t>FX</t>
  </si>
  <si>
    <t>AVERAGE</t>
  </si>
  <si>
    <t>PERCENT</t>
  </si>
  <si>
    <t>TOTAL TRADES</t>
  </si>
  <si>
    <t>Entry &gt; 2ATR from Resistance / Support.</t>
  </si>
  <si>
    <t>BUT only if :</t>
  </si>
  <si>
    <t>S</t>
  </si>
  <si>
    <t>Short</t>
  </si>
  <si>
    <t>L</t>
  </si>
  <si>
    <t>Long</t>
  </si>
  <si>
    <t>Trade Direction:</t>
  </si>
  <si>
    <t>Index</t>
  </si>
  <si>
    <t>COM</t>
  </si>
  <si>
    <t>Commodities</t>
  </si>
  <si>
    <t>Currency</t>
  </si>
  <si>
    <t>RESULT</t>
  </si>
  <si>
    <t>EXIT</t>
  </si>
  <si>
    <t>DATE</t>
  </si>
  <si>
    <t xml:space="preserve">STOP </t>
  </si>
  <si>
    <t xml:space="preserve">ENTRY </t>
  </si>
  <si>
    <t>INST.</t>
  </si>
  <si>
    <t>L/S</t>
  </si>
  <si>
    <t>Inst</t>
  </si>
  <si>
    <t>No. of Rs</t>
  </si>
  <si>
    <t>Open</t>
  </si>
  <si>
    <t>Closed</t>
  </si>
  <si>
    <t>O</t>
  </si>
  <si>
    <t>C</t>
  </si>
  <si>
    <t>O/C</t>
  </si>
  <si>
    <t>Heat</t>
  </si>
  <si>
    <t>O / C Trades</t>
  </si>
  <si>
    <t>Length of 
Trade</t>
  </si>
  <si>
    <t>Win</t>
  </si>
  <si>
    <t>Loss</t>
  </si>
  <si>
    <t>Breakeven</t>
  </si>
  <si>
    <t>Average Hold Times</t>
  </si>
  <si>
    <t xml:space="preserve"> TR WIN</t>
  </si>
  <si>
    <t xml:space="preserve"> TR LOSS</t>
  </si>
  <si>
    <t>TR
(in Pips)</t>
  </si>
  <si>
    <t xml:space="preserve">Max Portfolio Risk is: </t>
  </si>
  <si>
    <t>GROUP PROFITS in TR</t>
  </si>
  <si>
    <t>DATE2</t>
  </si>
  <si>
    <t>Heat3</t>
  </si>
  <si>
    <t>Heat4</t>
  </si>
  <si>
    <t>Heat5</t>
  </si>
  <si>
    <t>TARGET</t>
  </si>
  <si>
    <t xml:space="preserve">Across </t>
  </si>
  <si>
    <t>Positions</t>
  </si>
  <si>
    <t xml:space="preserve">ENTRY PRICE </t>
  </si>
  <si>
    <t xml:space="preserve">INITIAL STOP </t>
  </si>
  <si>
    <t>EXIT DATE</t>
  </si>
  <si>
    <t xml:space="preserve">STOP/EXIT PRICE </t>
  </si>
  <si>
    <t>ENTRY DATE</t>
  </si>
  <si>
    <t>TOTAL PORTFOLIO RISK</t>
  </si>
  <si>
    <t>WIN/LOSS RATIO</t>
  </si>
  <si>
    <t>EXPECTANCY
ie Mean TR</t>
  </si>
  <si>
    <t>MARKET RISK</t>
  </si>
  <si>
    <t>Date</t>
  </si>
  <si>
    <t>Profits in TR</t>
  </si>
  <si>
    <t>$ Value of TR</t>
  </si>
  <si>
    <t>Profits in $</t>
  </si>
  <si>
    <t>Cumulative Equity</t>
  </si>
  <si>
    <t>Closed Weekending Friday</t>
  </si>
  <si>
    <t>Current Capital</t>
  </si>
  <si>
    <t>Profit to Date</t>
  </si>
  <si>
    <t>% Profit</t>
  </si>
  <si>
    <t>Starting Capital</t>
  </si>
  <si>
    <t>Grand Total</t>
  </si>
  <si>
    <t>Sum of Cumulative Equity</t>
  </si>
  <si>
    <t>Total Positions Open</t>
  </si>
  <si>
    <t>AATS H4 SYSTEM 2022</t>
  </si>
  <si>
    <t>Sheet Name</t>
  </si>
  <si>
    <t>Instrument</t>
  </si>
  <si>
    <t>BTCUSD</t>
  </si>
  <si>
    <t>AUDJPY</t>
  </si>
  <si>
    <t>ETHUSD</t>
  </si>
  <si>
    <t>AUDUSD</t>
  </si>
  <si>
    <t>CRYPTO</t>
  </si>
  <si>
    <t>GBPJPY</t>
  </si>
  <si>
    <t>Cryptocurrency</t>
  </si>
  <si>
    <t>Instrument Type:</t>
  </si>
  <si>
    <t>XAUUSD</t>
  </si>
  <si>
    <t>XAGUSD</t>
  </si>
  <si>
    <t>ASX200</t>
  </si>
  <si>
    <t>GER30</t>
  </si>
  <si>
    <t>NDX100</t>
  </si>
  <si>
    <t>SPX500</t>
  </si>
  <si>
    <t>UK100</t>
  </si>
  <si>
    <t>US30</t>
  </si>
  <si>
    <t>EURAUD</t>
  </si>
  <si>
    <t>EURGBP</t>
  </si>
  <si>
    <t>EURJPY</t>
  </si>
  <si>
    <t>EURUSD</t>
  </si>
  <si>
    <t>GBPAUD</t>
  </si>
  <si>
    <t>GBPUSD</t>
  </si>
  <si>
    <t>USDJPY</t>
  </si>
  <si>
    <t>Heat6</t>
  </si>
  <si>
    <t>Equity</t>
  </si>
  <si>
    <t>Drawdown</t>
  </si>
  <si>
    <t>Maximum DrawDown:</t>
  </si>
  <si>
    <t>Equity Peak</t>
  </si>
  <si>
    <t>USOUSD</t>
  </si>
  <si>
    <t>Initial Losing Trade</t>
  </si>
  <si>
    <t>Current DrawDown:</t>
  </si>
  <si>
    <t>Total Profits in R:</t>
  </si>
  <si>
    <t>Capital at End:</t>
  </si>
  <si>
    <t>USD/JPY</t>
  </si>
  <si>
    <t>GBP/USD</t>
  </si>
  <si>
    <t>GBP/JPY</t>
  </si>
  <si>
    <t>GBP/AUD</t>
  </si>
  <si>
    <t>EUR/USD</t>
  </si>
  <si>
    <t>EUR/JPY</t>
  </si>
  <si>
    <t>EUR/GBP</t>
  </si>
  <si>
    <t>EUR/AUD</t>
  </si>
  <si>
    <t>AUD/USD</t>
  </si>
  <si>
    <t>AUD/JPY</t>
  </si>
  <si>
    <t>AATS H4 SYSTEM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</si>
</sst>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;[Red]\-&quot;$&quot;#,##0"/>
    <numFmt numFmtId="8" formatCode="&quot;$&quot;#,##0.00;[Red]\-&quot;$&quot;#,##0.00"/>
    <numFmt numFmtId="164" formatCode="#,##0.00_ ;[Red]\-#,##0.00\ "/>
    <numFmt numFmtId="165" formatCode="0.0%"/>
    <numFmt numFmtId="166" formatCode="#,##0.0000_ ;[Red]\-#,##0.0000\ "/>
    <numFmt numFmtId="167" formatCode="#,##0.0_ ;[Red]\-#,##0.0\ "/>
    <numFmt numFmtId="168" formatCode="#,##0_ ;[Red]\-#,##0\ "/>
    <numFmt numFmtId="169" formatCode="dd/mm/yy;@"/>
    <numFmt numFmtId="170" formatCode="#,##0.000_ ;[Red]\-#,##0.000\ "/>
  </numFmts>
  <fonts count="37" x14ac:knownFonts="1">
    <font>
      <sz val="10"/>
      <name val="Verdana"/>
    </font>
    <font>
      <sz val="10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0"/>
      <name val="Gill Sans MT"/>
      <family val="2"/>
    </font>
    <font>
      <b/>
      <sz val="10"/>
      <name val="Gill Sans MT"/>
      <family val="2"/>
    </font>
    <font>
      <i/>
      <sz val="9"/>
      <name val="Gill Sans MT"/>
      <family val="2"/>
    </font>
    <font>
      <b/>
      <sz val="20"/>
      <name val="Gill Sans MT"/>
      <family val="2"/>
    </font>
    <font>
      <b/>
      <sz val="10"/>
      <color rgb="FFFF0000"/>
      <name val="Gill Sans MT"/>
      <family val="2"/>
    </font>
    <font>
      <b/>
      <sz val="9"/>
      <name val="Gill Sans MT"/>
      <family val="2"/>
    </font>
    <font>
      <sz val="9"/>
      <name val="Gill Sans MT"/>
      <family val="2"/>
    </font>
    <font>
      <sz val="10"/>
      <color rgb="FFFF0000"/>
      <name val="Gill Sans MT"/>
      <family val="2"/>
    </font>
    <font>
      <b/>
      <sz val="9"/>
      <color rgb="FFFF0000"/>
      <name val="Gill Sans MT"/>
      <family val="2"/>
    </font>
    <font>
      <i/>
      <sz val="10"/>
      <name val="Gill Sans MT"/>
      <family val="2"/>
    </font>
    <font>
      <b/>
      <i/>
      <sz val="10"/>
      <name val="Gill Sans MT"/>
      <family val="2"/>
    </font>
    <font>
      <b/>
      <sz val="10"/>
      <color theme="0" tint="-4.9989318521683403E-2"/>
      <name val="Gill Sans MT"/>
      <family val="2"/>
    </font>
    <font>
      <b/>
      <i/>
      <sz val="10"/>
      <color theme="1"/>
      <name val="Gill Sans MT"/>
      <family val="2"/>
    </font>
    <font>
      <b/>
      <i/>
      <sz val="10"/>
      <color theme="0"/>
      <name val="Gill Sans MT"/>
      <family val="2"/>
    </font>
    <font>
      <b/>
      <sz val="7"/>
      <name val="Gill Sans MT"/>
      <family val="2"/>
    </font>
    <font>
      <sz val="10"/>
      <color theme="1"/>
      <name val="Gill Sans MT"/>
      <family val="2"/>
    </font>
    <font>
      <b/>
      <sz val="12"/>
      <name val="Gill Sans MT"/>
      <family val="2"/>
    </font>
    <font>
      <b/>
      <sz val="12"/>
      <color rgb="FFFF0000"/>
      <name val="Gill Sans MT"/>
      <family val="2"/>
    </font>
    <font>
      <sz val="10"/>
      <color theme="1"/>
      <name val="Gill Sans MT"/>
      <family val="2"/>
    </font>
    <font>
      <b/>
      <i/>
      <sz val="9"/>
      <color theme="1"/>
      <name val="Gill Sans MT"/>
      <family val="2"/>
    </font>
    <font>
      <sz val="10"/>
      <color theme="0"/>
      <name val="Verdana"/>
      <family val="2"/>
    </font>
    <font>
      <b/>
      <i/>
      <sz val="9"/>
      <name val="Gill Sans MT"/>
      <family val="2"/>
    </font>
    <font>
      <sz val="12"/>
      <color theme="1"/>
      <name val="Calibri"/>
      <family val="2"/>
      <scheme val="minor"/>
    </font>
    <font>
      <b/>
      <sz val="10"/>
      <color theme="0"/>
      <name val="Gill Sans MT"/>
      <family val="2"/>
    </font>
    <font>
      <sz val="10"/>
      <color theme="0"/>
      <name val="Gill Sans MT"/>
      <family val="2"/>
    </font>
    <font>
      <b/>
      <sz val="20"/>
      <color theme="0"/>
      <name val="Gill Sans MT"/>
      <family val="2"/>
    </font>
    <font>
      <b/>
      <sz val="9"/>
      <color theme="0"/>
      <name val="Gill Sans MT"/>
      <family val="2"/>
    </font>
    <font>
      <sz val="9"/>
      <color theme="0"/>
      <name val="Gill Sans MT"/>
      <family val="2"/>
    </font>
    <font>
      <i/>
      <sz val="10"/>
      <color theme="0"/>
      <name val="Gill Sans MT"/>
      <family val="2"/>
    </font>
    <font>
      <i/>
      <sz val="9"/>
      <color theme="0"/>
      <name val="Gill Sans MT"/>
      <family val="2"/>
    </font>
    <font>
      <sz val="10"/>
      <name val="Gill Sans MT"/>
    </font>
    <font>
      <sz val="10"/>
      <color theme="1"/>
      <name val="Gill Sans MT"/>
    </font>
    <font>
      <sz val="10"/>
      <color theme="0"/>
      <name val="Gill Sans MT"/>
    </font>
  </fonts>
  <fills count="2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00FE"/>
        <bgColor indexed="64"/>
      </patternFill>
    </fill>
  </fills>
  <borders count="3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theme="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2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26" fillId="0" borderId="0"/>
  </cellStyleXfs>
  <cellXfs count="232">
    <xf numFmtId="0" fontId="0" fillId="0" borderId="0" xfId="0"/>
    <xf numFmtId="0" fontId="4" fillId="17" borderId="0" xfId="0" applyFont="1" applyFill="1" applyAlignment="1">
      <alignment vertical="center"/>
    </xf>
    <xf numFmtId="164" fontId="4" fillId="17" borderId="0" xfId="0" applyNumberFormat="1" applyFont="1" applyFill="1" applyAlignment="1">
      <alignment vertical="center"/>
    </xf>
    <xf numFmtId="0" fontId="4" fillId="17" borderId="0" xfId="0" applyFont="1" applyFill="1"/>
    <xf numFmtId="0" fontId="9" fillId="11" borderId="8" xfId="0" applyFont="1" applyFill="1" applyBorder="1" applyAlignment="1">
      <alignment vertical="center"/>
    </xf>
    <xf numFmtId="0" fontId="9" fillId="11" borderId="5" xfId="0" applyFont="1" applyFill="1" applyBorder="1" applyAlignment="1">
      <alignment vertical="center"/>
    </xf>
    <xf numFmtId="0" fontId="9" fillId="11" borderId="9" xfId="0" applyFont="1" applyFill="1" applyBorder="1" applyAlignment="1">
      <alignment vertical="center"/>
    </xf>
    <xf numFmtId="0" fontId="10" fillId="11" borderId="15" xfId="0" applyFont="1" applyFill="1" applyBorder="1"/>
    <xf numFmtId="0" fontId="10" fillId="11" borderId="16" xfId="0" applyFont="1" applyFill="1" applyBorder="1"/>
    <xf numFmtId="0" fontId="10" fillId="11" borderId="17" xfId="0" applyFont="1" applyFill="1" applyBorder="1"/>
    <xf numFmtId="0" fontId="9" fillId="17" borderId="0" xfId="0" applyFont="1" applyFill="1" applyAlignment="1">
      <alignment horizontal="center"/>
    </xf>
    <xf numFmtId="0" fontId="10" fillId="11" borderId="18" xfId="0" applyFont="1" applyFill="1" applyBorder="1"/>
    <xf numFmtId="0" fontId="10" fillId="11" borderId="0" xfId="0" applyFont="1" applyFill="1"/>
    <xf numFmtId="0" fontId="10" fillId="11" borderId="19" xfId="0" applyFont="1" applyFill="1" applyBorder="1"/>
    <xf numFmtId="1" fontId="11" fillId="11" borderId="14" xfId="0" applyNumberFormat="1" applyFont="1" applyFill="1" applyBorder="1" applyAlignment="1">
      <alignment horizontal="center" vertical="center"/>
    </xf>
    <xf numFmtId="0" fontId="12" fillId="11" borderId="14" xfId="0" applyFont="1" applyFill="1" applyBorder="1" applyAlignment="1">
      <alignment horizontal="center" vertical="center"/>
    </xf>
    <xf numFmtId="164" fontId="5" fillId="11" borderId="0" xfId="0" applyNumberFormat="1" applyFont="1" applyFill="1"/>
    <xf numFmtId="164" fontId="11" fillId="11" borderId="20" xfId="0" applyNumberFormat="1" applyFont="1" applyFill="1" applyBorder="1" applyAlignment="1">
      <alignment horizontal="center" vertical="center"/>
    </xf>
    <xf numFmtId="0" fontId="4" fillId="11" borderId="14" xfId="0" applyFont="1" applyFill="1" applyBorder="1"/>
    <xf numFmtId="0" fontId="8" fillId="11" borderId="16" xfId="0" applyFont="1" applyFill="1" applyBorder="1"/>
    <xf numFmtId="0" fontId="10" fillId="11" borderId="12" xfId="0" applyFont="1" applyFill="1" applyBorder="1"/>
    <xf numFmtId="0" fontId="10" fillId="11" borderId="13" xfId="0" applyFont="1" applyFill="1" applyBorder="1"/>
    <xf numFmtId="0" fontId="10" fillId="11" borderId="11" xfId="0" applyFont="1" applyFill="1" applyBorder="1"/>
    <xf numFmtId="1" fontId="11" fillId="11" borderId="21" xfId="0" applyNumberFormat="1" applyFont="1" applyFill="1" applyBorder="1" applyAlignment="1">
      <alignment horizontal="center"/>
    </xf>
    <xf numFmtId="165" fontId="11" fillId="11" borderId="21" xfId="1" applyNumberFormat="1" applyFont="1" applyFill="1" applyBorder="1" applyAlignment="1" applyProtection="1">
      <alignment horizontal="center"/>
    </xf>
    <xf numFmtId="164" fontId="5" fillId="17" borderId="0" xfId="0" applyNumberFormat="1" applyFont="1" applyFill="1"/>
    <xf numFmtId="165" fontId="11" fillId="11" borderId="21" xfId="1" applyNumberFormat="1" applyFont="1" applyFill="1" applyBorder="1" applyAlignment="1" applyProtection="1">
      <alignment horizontal="center" vertical="center"/>
    </xf>
    <xf numFmtId="0" fontId="5" fillId="11" borderId="16" xfId="0" applyFont="1" applyFill="1" applyBorder="1"/>
    <xf numFmtId="0" fontId="8" fillId="11" borderId="0" xfId="0" applyFont="1" applyFill="1"/>
    <xf numFmtId="164" fontId="5" fillId="11" borderId="21" xfId="0" applyNumberFormat="1" applyFont="1" applyFill="1" applyBorder="1" applyAlignment="1">
      <alignment horizontal="center" vertical="center"/>
    </xf>
    <xf numFmtId="0" fontId="5" fillId="11" borderId="0" xfId="0" applyFont="1" applyFill="1"/>
    <xf numFmtId="1" fontId="11" fillId="11" borderId="22" xfId="0" applyNumberFormat="1" applyFont="1" applyFill="1" applyBorder="1" applyAlignment="1">
      <alignment horizontal="center"/>
    </xf>
    <xf numFmtId="165" fontId="11" fillId="11" borderId="22" xfId="0" applyNumberFormat="1" applyFont="1" applyFill="1" applyBorder="1" applyAlignment="1">
      <alignment horizontal="center"/>
    </xf>
    <xf numFmtId="164" fontId="5" fillId="11" borderId="22" xfId="0" applyNumberFormat="1" applyFont="1" applyFill="1" applyBorder="1" applyAlignment="1">
      <alignment horizontal="center" vertical="center"/>
    </xf>
    <xf numFmtId="164" fontId="5" fillId="11" borderId="8" xfId="0" applyNumberFormat="1" applyFont="1" applyFill="1" applyBorder="1" applyAlignment="1">
      <alignment horizontal="center" vertical="center"/>
    </xf>
    <xf numFmtId="164" fontId="5" fillId="11" borderId="5" xfId="0" applyNumberFormat="1" applyFont="1" applyFill="1" applyBorder="1" applyAlignment="1">
      <alignment horizontal="center" vertical="center"/>
    </xf>
    <xf numFmtId="164" fontId="5" fillId="11" borderId="9" xfId="0" applyNumberFormat="1" applyFont="1" applyFill="1" applyBorder="1" applyAlignment="1">
      <alignment horizontal="center" vertical="center"/>
    </xf>
    <xf numFmtId="0" fontId="10" fillId="11" borderId="8" xfId="0" applyFont="1" applyFill="1" applyBorder="1" applyAlignment="1">
      <alignment horizontal="center"/>
    </xf>
    <xf numFmtId="0" fontId="10" fillId="11" borderId="5" xfId="0" applyFont="1" applyFill="1" applyBorder="1" applyAlignment="1">
      <alignment horizontal="center"/>
    </xf>
    <xf numFmtId="0" fontId="10" fillId="11" borderId="9" xfId="0" applyFont="1" applyFill="1" applyBorder="1" applyAlignment="1">
      <alignment horizontal="center"/>
    </xf>
    <xf numFmtId="164" fontId="5" fillId="17" borderId="0" xfId="0" applyNumberFormat="1" applyFont="1" applyFill="1" applyAlignment="1">
      <alignment horizontal="right"/>
    </xf>
    <xf numFmtId="164" fontId="15" fillId="11" borderId="0" xfId="0" applyNumberFormat="1" applyFont="1" applyFill="1" applyAlignment="1">
      <alignment horizontal="left"/>
    </xf>
    <xf numFmtId="166" fontId="17" fillId="8" borderId="6" xfId="0" applyNumberFormat="1" applyFont="1" applyFill="1" applyBorder="1"/>
    <xf numFmtId="167" fontId="16" fillId="3" borderId="10" xfId="0" applyNumberFormat="1" applyFont="1" applyFill="1" applyBorder="1" applyAlignment="1">
      <alignment horizontal="center" vertical="center"/>
    </xf>
    <xf numFmtId="166" fontId="16" fillId="2" borderId="6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12" borderId="6" xfId="0" applyFont="1" applyFill="1" applyBorder="1" applyAlignment="1">
      <alignment horizontal="center" vertical="center"/>
    </xf>
    <xf numFmtId="0" fontId="5" fillId="12" borderId="6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18" fillId="0" borderId="5" xfId="0" applyNumberFormat="1" applyFont="1" applyBorder="1" applyAlignment="1">
      <alignment horizontal="center" vertical="center"/>
    </xf>
    <xf numFmtId="164" fontId="18" fillId="0" borderId="4" xfId="0" applyNumberFormat="1" applyFont="1" applyBorder="1" applyAlignment="1">
      <alignment horizontal="center" vertical="center" wrapText="1"/>
    </xf>
    <xf numFmtId="164" fontId="18" fillId="0" borderId="6" xfId="0" applyNumberFormat="1" applyFont="1" applyBorder="1" applyAlignment="1">
      <alignment horizontal="center" vertical="center" wrapText="1"/>
    </xf>
    <xf numFmtId="164" fontId="18" fillId="0" borderId="6" xfId="0" applyNumberFormat="1" applyFont="1" applyBorder="1" applyAlignment="1">
      <alignment horizontal="center" vertical="center"/>
    </xf>
    <xf numFmtId="164" fontId="18" fillId="0" borderId="7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19" fillId="6" borderId="0" xfId="0" applyFont="1" applyFill="1" applyAlignment="1">
      <alignment horizontal="center" vertical="center"/>
    </xf>
    <xf numFmtId="164" fontId="5" fillId="5" borderId="2" xfId="0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164" fontId="5" fillId="8" borderId="1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18" fillId="2" borderId="2" xfId="0" applyNumberFormat="1" applyFont="1" applyFill="1" applyBorder="1" applyAlignment="1">
      <alignment horizontal="center" vertical="center"/>
    </xf>
    <xf numFmtId="164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164" fontId="18" fillId="9" borderId="25" xfId="0" applyNumberFormat="1" applyFont="1" applyFill="1" applyBorder="1" applyAlignment="1">
      <alignment horizontal="center" vertical="center"/>
    </xf>
    <xf numFmtId="166" fontId="16" fillId="4" borderId="32" xfId="0" applyNumberFormat="1" applyFont="1" applyFill="1" applyBorder="1" applyAlignment="1">
      <alignment horizontal="center" vertical="center"/>
    </xf>
    <xf numFmtId="168" fontId="5" fillId="9" borderId="6" xfId="0" applyNumberFormat="1" applyFont="1" applyFill="1" applyBorder="1" applyAlignment="1">
      <alignment horizontal="center" vertical="center"/>
    </xf>
    <xf numFmtId="168" fontId="5" fillId="9" borderId="7" xfId="0" applyNumberFormat="1" applyFont="1" applyFill="1" applyBorder="1" applyAlignment="1">
      <alignment horizontal="center" vertical="center"/>
    </xf>
    <xf numFmtId="0" fontId="12" fillId="11" borderId="14" xfId="0" applyFont="1" applyFill="1" applyBorder="1" applyAlignment="1">
      <alignment horizontal="center" vertical="center" wrapText="1"/>
    </xf>
    <xf numFmtId="164" fontId="11" fillId="11" borderId="21" xfId="0" applyNumberFormat="1" applyFont="1" applyFill="1" applyBorder="1" applyAlignment="1">
      <alignment horizontal="center"/>
    </xf>
    <xf numFmtId="164" fontId="11" fillId="11" borderId="22" xfId="0" applyNumberFormat="1" applyFont="1" applyFill="1" applyBorder="1" applyAlignment="1">
      <alignment horizontal="center"/>
    </xf>
    <xf numFmtId="167" fontId="5" fillId="14" borderId="7" xfId="0" applyNumberFormat="1" applyFont="1" applyFill="1" applyBorder="1" applyAlignment="1" applyProtection="1">
      <alignment horizontal="center"/>
      <protection locked="0"/>
    </xf>
    <xf numFmtId="169" fontId="1" fillId="0" borderId="0" xfId="50" applyNumberFormat="1" applyAlignment="1">
      <alignment horizontal="center" vertical="center"/>
    </xf>
    <xf numFmtId="40" fontId="1" fillId="0" borderId="0" xfId="50" applyNumberFormat="1" applyAlignment="1">
      <alignment horizontal="center" vertical="center"/>
    </xf>
    <xf numFmtId="8" fontId="1" fillId="0" borderId="0" xfId="50" applyNumberFormat="1" applyAlignment="1">
      <alignment horizontal="center" vertical="center"/>
    </xf>
    <xf numFmtId="0" fontId="1" fillId="0" borderId="0" xfId="50"/>
    <xf numFmtId="8" fontId="0" fillId="0" borderId="0" xfId="0" applyNumberFormat="1"/>
    <xf numFmtId="0" fontId="9" fillId="15" borderId="8" xfId="50" applyFont="1" applyFill="1" applyBorder="1" applyAlignment="1">
      <alignment horizontal="center" vertical="center"/>
    </xf>
    <xf numFmtId="6" fontId="23" fillId="9" borderId="6" xfId="50" applyNumberFormat="1" applyFont="1" applyFill="1" applyBorder="1" applyAlignment="1">
      <alignment horizontal="center" vertical="center"/>
    </xf>
    <xf numFmtId="165" fontId="23" fillId="9" borderId="6" xfId="50" applyNumberFormat="1" applyFont="1" applyFill="1" applyBorder="1" applyAlignment="1">
      <alignment horizontal="center" vertical="center"/>
    </xf>
    <xf numFmtId="169" fontId="19" fillId="0" borderId="0" xfId="50" applyNumberFormat="1" applyFont="1" applyAlignment="1" applyProtection="1">
      <alignment horizontal="center" vertical="center"/>
      <protection locked="0"/>
    </xf>
    <xf numFmtId="40" fontId="19" fillId="0" borderId="0" xfId="50" applyNumberFormat="1" applyFont="1" applyAlignment="1" applyProtection="1">
      <alignment horizontal="center" vertical="center"/>
      <protection locked="0"/>
    </xf>
    <xf numFmtId="8" fontId="19" fillId="0" borderId="0" xfId="50" applyNumberFormat="1" applyFont="1" applyAlignment="1" applyProtection="1">
      <alignment horizontal="center" vertical="center"/>
      <protection locked="0"/>
    </xf>
    <xf numFmtId="8" fontId="19" fillId="0" borderId="0" xfId="50" applyNumberFormat="1" applyFont="1" applyAlignment="1">
      <alignment horizontal="center" vertical="center"/>
    </xf>
    <xf numFmtId="8" fontId="1" fillId="0" borderId="0" xfId="50" applyNumberFormat="1"/>
    <xf numFmtId="0" fontId="24" fillId="0" borderId="0" xfId="50" applyFont="1"/>
    <xf numFmtId="169" fontId="0" fillId="0" borderId="0" xfId="0" applyNumberFormat="1" applyAlignment="1">
      <alignment horizontal="left"/>
    </xf>
    <xf numFmtId="169" fontId="22" fillId="0" borderId="0" xfId="50" applyNumberFormat="1" applyFont="1" applyAlignment="1" applyProtection="1">
      <alignment horizontal="center" vertical="center"/>
      <protection locked="0"/>
    </xf>
    <xf numFmtId="40" fontId="22" fillId="0" borderId="0" xfId="50" applyNumberFormat="1" applyFont="1" applyAlignment="1" applyProtection="1">
      <alignment horizontal="center" vertical="center"/>
      <protection locked="0"/>
    </xf>
    <xf numFmtId="8" fontId="22" fillId="0" borderId="0" xfId="50" applyNumberFormat="1" applyFont="1" applyAlignment="1" applyProtection="1">
      <alignment horizontal="center" vertical="center"/>
      <protection locked="0"/>
    </xf>
    <xf numFmtId="8" fontId="22" fillId="0" borderId="0" xfId="50" applyNumberFormat="1" applyFont="1" applyAlignment="1">
      <alignment horizontal="center" vertical="center"/>
    </xf>
    <xf numFmtId="169" fontId="1" fillId="0" borderId="0" xfId="50" applyNumberFormat="1"/>
    <xf numFmtId="40" fontId="1" fillId="0" borderId="0" xfId="50" applyNumberFormat="1"/>
    <xf numFmtId="0" fontId="0" fillId="0" borderId="0" xfId="0" pivotButton="1"/>
    <xf numFmtId="6" fontId="23" fillId="9" borderId="6" xfId="50" applyNumberFormat="1" applyFont="1" applyFill="1" applyBorder="1" applyAlignment="1" applyProtection="1">
      <alignment horizontal="center" vertical="center"/>
      <protection locked="0"/>
    </xf>
    <xf numFmtId="0" fontId="5" fillId="18" borderId="7" xfId="0" applyFont="1" applyFill="1" applyBorder="1" applyAlignment="1">
      <alignment horizontal="center" vertical="center"/>
    </xf>
    <xf numFmtId="0" fontId="26" fillId="0" borderId="0" xfId="51" applyAlignment="1">
      <alignment horizontal="center"/>
    </xf>
    <xf numFmtId="164" fontId="11" fillId="11" borderId="18" xfId="0" applyNumberFormat="1" applyFont="1" applyFill="1" applyBorder="1" applyAlignment="1">
      <alignment horizontal="center" vertical="center"/>
    </xf>
    <xf numFmtId="165" fontId="11" fillId="11" borderId="18" xfId="1" applyNumberFormat="1" applyFont="1" applyFill="1" applyBorder="1" applyAlignment="1" applyProtection="1">
      <alignment horizontal="center" vertical="center"/>
    </xf>
    <xf numFmtId="164" fontId="5" fillId="11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67" fontId="16" fillId="3" borderId="33" xfId="0" applyNumberFormat="1" applyFont="1" applyFill="1" applyBorder="1" applyAlignment="1">
      <alignment horizontal="center" vertical="center"/>
    </xf>
    <xf numFmtId="168" fontId="16" fillId="3" borderId="33" xfId="0" applyNumberFormat="1" applyFont="1" applyFill="1" applyBorder="1" applyAlignment="1">
      <alignment horizontal="center" vertical="center"/>
    </xf>
    <xf numFmtId="168" fontId="5" fillId="0" borderId="7" xfId="0" applyNumberFormat="1" applyFont="1" applyBorder="1" applyAlignment="1">
      <alignment horizontal="center" vertical="center"/>
    </xf>
    <xf numFmtId="168" fontId="5" fillId="3" borderId="2" xfId="0" applyNumberFormat="1" applyFont="1" applyFill="1" applyBorder="1" applyAlignment="1">
      <alignment horizontal="center" vertical="center"/>
    </xf>
    <xf numFmtId="168" fontId="4" fillId="0" borderId="0" xfId="0" applyNumberFormat="1" applyFont="1"/>
    <xf numFmtId="164" fontId="5" fillId="0" borderId="7" xfId="0" applyNumberFormat="1" applyFont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10" fontId="16" fillId="3" borderId="33" xfId="0" applyNumberFormat="1" applyFont="1" applyFill="1" applyBorder="1" applyAlignment="1">
      <alignment horizontal="center" vertical="center"/>
    </xf>
    <xf numFmtId="10" fontId="5" fillId="0" borderId="5" xfId="0" applyNumberFormat="1" applyFont="1" applyBorder="1" applyAlignment="1">
      <alignment horizontal="center" vertical="center"/>
    </xf>
    <xf numFmtId="10" fontId="5" fillId="3" borderId="2" xfId="0" applyNumberFormat="1" applyFont="1" applyFill="1" applyBorder="1" applyAlignment="1">
      <alignment horizontal="center" vertical="center"/>
    </xf>
    <xf numFmtId="10" fontId="4" fillId="0" borderId="0" xfId="0" applyNumberFormat="1" applyFont="1"/>
    <xf numFmtId="10" fontId="5" fillId="16" borderId="30" xfId="0" applyNumberFormat="1" applyFont="1" applyFill="1" applyBorder="1" applyAlignment="1">
      <alignment horizontal="center" vertical="center"/>
    </xf>
    <xf numFmtId="168" fontId="5" fillId="0" borderId="5" xfId="0" applyNumberFormat="1" applyFont="1" applyBorder="1" applyAlignment="1">
      <alignment horizontal="center" vertical="center"/>
    </xf>
    <xf numFmtId="22" fontId="5" fillId="12" borderId="4" xfId="0" applyNumberFormat="1" applyFont="1" applyFill="1" applyBorder="1" applyAlignment="1">
      <alignment horizontal="center" vertical="center" wrapText="1"/>
    </xf>
    <xf numFmtId="22" fontId="5" fillId="0" borderId="0" xfId="0" applyNumberFormat="1" applyFont="1" applyAlignment="1">
      <alignment horizontal="center" vertical="center"/>
    </xf>
    <xf numFmtId="22" fontId="4" fillId="0" borderId="0" xfId="0" applyNumberFormat="1" applyFont="1"/>
    <xf numFmtId="22" fontId="9" fillId="11" borderId="8" xfId="0" applyNumberFormat="1" applyFont="1" applyFill="1" applyBorder="1" applyAlignment="1">
      <alignment vertical="center"/>
    </xf>
    <xf numFmtId="22" fontId="9" fillId="11" borderId="21" xfId="0" applyNumberFormat="1" applyFont="1" applyFill="1" applyBorder="1" applyAlignment="1">
      <alignment horizontal="right"/>
    </xf>
    <xf numFmtId="22" fontId="9" fillId="11" borderId="22" xfId="0" applyNumberFormat="1" applyFont="1" applyFill="1" applyBorder="1" applyAlignment="1">
      <alignment horizontal="right"/>
    </xf>
    <xf numFmtId="22" fontId="9" fillId="15" borderId="8" xfId="50" applyNumberFormat="1" applyFont="1" applyFill="1" applyBorder="1" applyAlignment="1">
      <alignment horizontal="center" vertical="center"/>
    </xf>
    <xf numFmtId="22" fontId="14" fillId="11" borderId="14" xfId="0" applyNumberFormat="1" applyFont="1" applyFill="1" applyBorder="1" applyAlignment="1">
      <alignment horizontal="right"/>
    </xf>
    <xf numFmtId="22" fontId="5" fillId="12" borderId="6" xfId="0" applyNumberFormat="1" applyFont="1" applyFill="1" applyBorder="1" applyAlignment="1">
      <alignment horizontal="center" vertical="center" wrapText="1"/>
    </xf>
    <xf numFmtId="22" fontId="5" fillId="0" borderId="3" xfId="0" applyNumberFormat="1" applyFont="1" applyBorder="1" applyAlignment="1">
      <alignment horizontal="center" vertical="center"/>
    </xf>
    <xf numFmtId="0" fontId="7" fillId="17" borderId="0" xfId="0" applyFont="1" applyFill="1" applyAlignment="1" applyProtection="1">
      <alignment vertical="center"/>
      <protection locked="0"/>
    </xf>
    <xf numFmtId="0" fontId="4" fillId="19" borderId="0" xfId="0" applyFont="1" applyFill="1" applyAlignment="1">
      <alignment vertical="center"/>
    </xf>
    <xf numFmtId="0" fontId="4" fillId="19" borderId="0" xfId="0" applyFont="1" applyFill="1"/>
    <xf numFmtId="0" fontId="4" fillId="19" borderId="0" xfId="0" applyFont="1" applyFill="1" applyAlignment="1">
      <alignment horizontal="center" vertical="center"/>
    </xf>
    <xf numFmtId="0" fontId="5" fillId="19" borderId="0" xfId="0" applyFont="1" applyFill="1" applyAlignment="1">
      <alignment vertical="center"/>
    </xf>
    <xf numFmtId="22" fontId="4" fillId="19" borderId="0" xfId="0" applyNumberFormat="1" applyFont="1" applyFill="1" applyAlignment="1">
      <alignment vertical="center"/>
    </xf>
    <xf numFmtId="164" fontId="6" fillId="19" borderId="0" xfId="0" applyNumberFormat="1" applyFont="1" applyFill="1" applyAlignment="1">
      <alignment horizontal="left" vertical="center"/>
    </xf>
    <xf numFmtId="164" fontId="4" fillId="19" borderId="0" xfId="0" applyNumberFormat="1" applyFont="1" applyFill="1" applyAlignment="1">
      <alignment vertical="center"/>
    </xf>
    <xf numFmtId="0" fontId="7" fillId="19" borderId="0" xfId="0" applyFont="1" applyFill="1" applyAlignment="1" applyProtection="1">
      <alignment vertical="center"/>
      <protection locked="0"/>
    </xf>
    <xf numFmtId="0" fontId="8" fillId="19" borderId="0" xfId="0" applyFont="1" applyFill="1" applyAlignment="1">
      <alignment horizontal="center" vertical="center"/>
    </xf>
    <xf numFmtId="0" fontId="8" fillId="19" borderId="0" xfId="0" applyFont="1" applyFill="1"/>
    <xf numFmtId="0" fontId="4" fillId="19" borderId="0" xfId="0" applyFont="1" applyFill="1" applyAlignment="1">
      <alignment horizontal="center"/>
    </xf>
    <xf numFmtId="22" fontId="4" fillId="19" borderId="0" xfId="0" applyNumberFormat="1" applyFont="1" applyFill="1"/>
    <xf numFmtId="22" fontId="13" fillId="19" borderId="0" xfId="0" applyNumberFormat="1" applyFont="1" applyFill="1" applyAlignment="1">
      <alignment horizontal="right"/>
    </xf>
    <xf numFmtId="0" fontId="6" fillId="19" borderId="0" xfId="0" applyFont="1" applyFill="1"/>
    <xf numFmtId="168" fontId="6" fillId="19" borderId="0" xfId="0" applyNumberFormat="1" applyFont="1" applyFill="1"/>
    <xf numFmtId="10" fontId="6" fillId="19" borderId="0" xfId="0" applyNumberFormat="1" applyFont="1" applyFill="1"/>
    <xf numFmtId="168" fontId="4" fillId="19" borderId="0" xfId="0" applyNumberFormat="1" applyFont="1" applyFill="1"/>
    <xf numFmtId="10" fontId="4" fillId="19" borderId="0" xfId="0" applyNumberFormat="1" applyFont="1" applyFill="1"/>
    <xf numFmtId="164" fontId="28" fillId="19" borderId="0" xfId="0" applyNumberFormat="1" applyFont="1" applyFill="1" applyAlignment="1">
      <alignment vertical="center"/>
    </xf>
    <xf numFmtId="168" fontId="28" fillId="19" borderId="0" xfId="0" applyNumberFormat="1" applyFont="1" applyFill="1" applyAlignment="1">
      <alignment vertical="center"/>
    </xf>
    <xf numFmtId="10" fontId="28" fillId="19" borderId="0" xfId="0" applyNumberFormat="1" applyFont="1" applyFill="1" applyAlignment="1">
      <alignment vertical="center"/>
    </xf>
    <xf numFmtId="0" fontId="29" fillId="19" borderId="0" xfId="0" applyFont="1" applyFill="1" applyAlignment="1" applyProtection="1">
      <alignment vertical="center"/>
      <protection locked="0"/>
    </xf>
    <xf numFmtId="0" fontId="29" fillId="19" borderId="0" xfId="0" applyFont="1" applyFill="1" applyAlignment="1" applyProtection="1">
      <alignment horizontal="left" vertical="center"/>
      <protection locked="0"/>
    </xf>
    <xf numFmtId="168" fontId="29" fillId="19" borderId="0" xfId="0" applyNumberFormat="1" applyFont="1" applyFill="1" applyAlignment="1">
      <alignment horizontal="left" vertical="center"/>
    </xf>
    <xf numFmtId="10" fontId="29" fillId="19" borderId="0" xfId="0" applyNumberFormat="1" applyFont="1" applyFill="1" applyAlignment="1">
      <alignment horizontal="left" vertical="center"/>
    </xf>
    <xf numFmtId="0" fontId="28" fillId="19" borderId="0" xfId="0" applyFont="1" applyFill="1"/>
    <xf numFmtId="0" fontId="30" fillId="19" borderId="0" xfId="0" applyFont="1" applyFill="1" applyAlignment="1">
      <alignment horizontal="right"/>
    </xf>
    <xf numFmtId="168" fontId="30" fillId="19" borderId="0" xfId="0" applyNumberFormat="1" applyFont="1" applyFill="1" applyAlignment="1">
      <alignment horizontal="right"/>
    </xf>
    <xf numFmtId="10" fontId="30" fillId="19" borderId="0" xfId="0" applyNumberFormat="1" applyFont="1" applyFill="1" applyAlignment="1">
      <alignment horizontal="right"/>
    </xf>
    <xf numFmtId="168" fontId="28" fillId="19" borderId="0" xfId="0" applyNumberFormat="1" applyFont="1" applyFill="1"/>
    <xf numFmtId="10" fontId="28" fillId="19" borderId="0" xfId="0" applyNumberFormat="1" applyFont="1" applyFill="1"/>
    <xf numFmtId="0" fontId="28" fillId="19" borderId="0" xfId="0" applyFont="1" applyFill="1" applyAlignment="1">
      <alignment vertical="center"/>
    </xf>
    <xf numFmtId="0" fontId="30" fillId="19" borderId="0" xfId="0" applyFont="1" applyFill="1" applyAlignment="1">
      <alignment horizontal="center"/>
    </xf>
    <xf numFmtId="0" fontId="31" fillId="19" borderId="0" xfId="0" applyFont="1" applyFill="1" applyAlignment="1">
      <alignment horizontal="center"/>
    </xf>
    <xf numFmtId="164" fontId="28" fillId="19" borderId="0" xfId="0" applyNumberFormat="1" applyFont="1" applyFill="1"/>
    <xf numFmtId="164" fontId="27" fillId="19" borderId="0" xfId="0" applyNumberFormat="1" applyFont="1" applyFill="1" applyAlignment="1">
      <alignment horizontal="right"/>
    </xf>
    <xf numFmtId="164" fontId="27" fillId="19" borderId="0" xfId="0" applyNumberFormat="1" applyFont="1" applyFill="1"/>
    <xf numFmtId="0" fontId="28" fillId="19" borderId="0" xfId="0" applyFont="1" applyFill="1" applyAlignment="1">
      <alignment horizontal="center"/>
    </xf>
    <xf numFmtId="0" fontId="5" fillId="19" borderId="0" xfId="0" applyFont="1" applyFill="1" applyAlignment="1">
      <alignment horizontal="center" vertical="center"/>
    </xf>
    <xf numFmtId="22" fontId="28" fillId="19" borderId="0" xfId="0" applyNumberFormat="1" applyFont="1" applyFill="1"/>
    <xf numFmtId="0" fontId="32" fillId="19" borderId="0" xfId="0" applyFont="1" applyFill="1"/>
    <xf numFmtId="0" fontId="33" fillId="19" borderId="0" xfId="0" applyFont="1" applyFill="1"/>
    <xf numFmtId="22" fontId="33" fillId="19" borderId="0" xfId="0" applyNumberFormat="1" applyFont="1" applyFill="1"/>
    <xf numFmtId="0" fontId="4" fillId="7" borderId="0" xfId="0" applyFont="1" applyFill="1" applyAlignment="1" applyProtection="1">
      <alignment horizontal="center" vertical="center" wrapText="1"/>
      <protection locked="0"/>
    </xf>
    <xf numFmtId="0" fontId="4" fillId="7" borderId="0" xfId="0" applyFont="1" applyFill="1" applyAlignment="1" applyProtection="1">
      <alignment horizontal="center" vertical="center"/>
      <protection locked="0"/>
    </xf>
    <xf numFmtId="0" fontId="19" fillId="10" borderId="0" xfId="0" applyFont="1" applyFill="1" applyAlignment="1">
      <alignment horizontal="center"/>
    </xf>
    <xf numFmtId="22" fontId="19" fillId="10" borderId="0" xfId="0" applyNumberFormat="1" applyFont="1" applyFill="1" applyAlignment="1" applyProtection="1">
      <alignment horizontal="center" vertical="center"/>
      <protection locked="0"/>
    </xf>
    <xf numFmtId="0" fontId="19" fillId="10" borderId="0" xfId="0" applyFont="1" applyFill="1" applyAlignment="1" applyProtection="1">
      <alignment horizontal="center"/>
      <protection locked="0"/>
    </xf>
    <xf numFmtId="0" fontId="19" fillId="10" borderId="0" xfId="0" applyFont="1" applyFill="1" applyAlignment="1" applyProtection="1">
      <alignment horizontal="center" vertical="center"/>
      <protection locked="0"/>
    </xf>
    <xf numFmtId="0" fontId="19" fillId="5" borderId="0" xfId="0" applyFont="1" applyFill="1" applyAlignment="1">
      <alignment horizontal="center" vertical="center"/>
    </xf>
    <xf numFmtId="170" fontId="19" fillId="4" borderId="0" xfId="0" applyNumberFormat="1" applyFont="1" applyFill="1" applyAlignment="1">
      <alignment horizontal="center" vertical="center"/>
    </xf>
    <xf numFmtId="166" fontId="28" fillId="8" borderId="0" xfId="0" applyNumberFormat="1" applyFont="1" applyFill="1"/>
    <xf numFmtId="170" fontId="19" fillId="3" borderId="0" xfId="0" applyNumberFormat="1" applyFont="1" applyFill="1" applyAlignment="1">
      <alignment horizontal="center" vertical="center"/>
    </xf>
    <xf numFmtId="168" fontId="19" fillId="3" borderId="0" xfId="0" applyNumberFormat="1" applyFont="1" applyFill="1" applyAlignment="1">
      <alignment horizontal="center" vertical="center"/>
    </xf>
    <xf numFmtId="10" fontId="19" fillId="3" borderId="0" xfId="0" applyNumberFormat="1" applyFont="1" applyFill="1" applyAlignment="1">
      <alignment horizontal="center" vertical="center"/>
    </xf>
    <xf numFmtId="166" fontId="19" fillId="2" borderId="0" xfId="0" applyNumberFormat="1" applyFont="1" applyFill="1" applyAlignment="1">
      <alignment horizontal="center" vertical="center"/>
    </xf>
    <xf numFmtId="168" fontId="19" fillId="9" borderId="0" xfId="0" applyNumberFormat="1" applyFont="1" applyFill="1" applyAlignment="1">
      <alignment horizontal="center" vertical="center"/>
    </xf>
    <xf numFmtId="6" fontId="20" fillId="16" borderId="30" xfId="0" applyNumberFormat="1" applyFont="1" applyFill="1" applyBorder="1" applyAlignment="1">
      <alignment horizontal="center" vertical="center"/>
    </xf>
    <xf numFmtId="0" fontId="34" fillId="7" borderId="0" xfId="0" applyFont="1" applyFill="1" applyAlignment="1" applyProtection="1">
      <alignment horizontal="center" vertical="center" wrapText="1"/>
      <protection locked="0"/>
    </xf>
    <xf numFmtId="0" fontId="34" fillId="7" borderId="0" xfId="0" applyFont="1" applyFill="1" applyAlignment="1" applyProtection="1">
      <alignment horizontal="center" vertical="center"/>
      <protection locked="0"/>
    </xf>
    <xf numFmtId="0" fontId="35" fillId="10" borderId="0" xfId="0" applyFont="1" applyFill="1" applyAlignment="1">
      <alignment horizontal="center"/>
    </xf>
    <xf numFmtId="22" fontId="35" fillId="10" borderId="0" xfId="0" applyNumberFormat="1" applyFont="1" applyFill="1" applyAlignment="1" applyProtection="1">
      <alignment horizontal="center" vertical="center"/>
      <protection locked="0"/>
    </xf>
    <xf numFmtId="0" fontId="35" fillId="10" borderId="0" xfId="0" applyFont="1" applyFill="1" applyAlignment="1" applyProtection="1">
      <alignment horizontal="center"/>
      <protection locked="0"/>
    </xf>
    <xf numFmtId="0" fontId="35" fillId="10" borderId="0" xfId="0" applyFont="1" applyFill="1" applyAlignment="1" applyProtection="1">
      <alignment horizontal="center" vertical="center"/>
      <protection locked="0"/>
    </xf>
    <xf numFmtId="0" fontId="35" fillId="6" borderId="0" xfId="0" applyFont="1" applyFill="1" applyAlignment="1">
      <alignment horizontal="center" vertical="center"/>
    </xf>
    <xf numFmtId="0" fontId="35" fillId="5" borderId="0" xfId="0" applyFont="1" applyFill="1" applyAlignment="1">
      <alignment horizontal="center" vertical="center"/>
    </xf>
    <xf numFmtId="170" fontId="35" fillId="4" borderId="0" xfId="0" applyNumberFormat="1" applyFont="1" applyFill="1" applyAlignment="1">
      <alignment horizontal="center" vertical="center"/>
    </xf>
    <xf numFmtId="166" fontId="36" fillId="8" borderId="0" xfId="0" applyNumberFormat="1" applyFont="1" applyFill="1"/>
    <xf numFmtId="170" fontId="35" fillId="3" borderId="0" xfId="0" applyNumberFormat="1" applyFont="1" applyFill="1" applyAlignment="1">
      <alignment horizontal="center" vertical="center"/>
    </xf>
    <xf numFmtId="168" fontId="35" fillId="3" borderId="0" xfId="0" applyNumberFormat="1" applyFont="1" applyFill="1" applyAlignment="1">
      <alignment horizontal="center" vertical="center"/>
    </xf>
    <xf numFmtId="10" fontId="35" fillId="3" borderId="0" xfId="0" applyNumberFormat="1" applyFont="1" applyFill="1" applyAlignment="1">
      <alignment horizontal="center" vertical="center"/>
    </xf>
    <xf numFmtId="166" fontId="35" fillId="2" borderId="0" xfId="0" applyNumberFormat="1" applyFont="1" applyFill="1" applyAlignment="1">
      <alignment horizontal="center" vertical="center"/>
    </xf>
    <xf numFmtId="168" fontId="35" fillId="9" borderId="0" xfId="0" applyNumberFormat="1" applyFont="1" applyFill="1" applyAlignment="1">
      <alignment horizontal="center" vertical="center"/>
    </xf>
    <xf numFmtId="0" fontId="29" fillId="19" borderId="0" xfId="0" applyFont="1" applyFill="1" applyAlignment="1" applyProtection="1">
      <alignment horizontal="left" vertical="center"/>
      <protection locked="0"/>
    </xf>
    <xf numFmtId="0" fontId="20" fillId="15" borderId="34" xfId="0" applyFont="1" applyFill="1" applyBorder="1" applyAlignment="1">
      <alignment horizontal="right" vertical="center"/>
    </xf>
    <xf numFmtId="0" fontId="20" fillId="15" borderId="35" xfId="0" applyFont="1" applyFill="1" applyBorder="1" applyAlignment="1">
      <alignment horizontal="right" vertical="center"/>
    </xf>
    <xf numFmtId="0" fontId="10" fillId="13" borderId="8" xfId="0" applyFont="1" applyFill="1" applyBorder="1" applyAlignment="1">
      <alignment horizontal="right"/>
    </xf>
    <xf numFmtId="0" fontId="10" fillId="13" borderId="23" xfId="0" applyFont="1" applyFill="1" applyBorder="1" applyAlignment="1">
      <alignment horizontal="right"/>
    </xf>
    <xf numFmtId="0" fontId="25" fillId="15" borderId="8" xfId="0" applyFont="1" applyFill="1" applyBorder="1" applyAlignment="1">
      <alignment horizontal="right"/>
    </xf>
    <xf numFmtId="0" fontId="25" fillId="15" borderId="23" xfId="0" applyFont="1" applyFill="1" applyBorder="1" applyAlignment="1">
      <alignment horizontal="right"/>
    </xf>
    <xf numFmtId="164" fontId="9" fillId="11" borderId="8" xfId="0" applyNumberFormat="1" applyFont="1" applyFill="1" applyBorder="1" applyAlignment="1">
      <alignment horizontal="center"/>
    </xf>
    <xf numFmtId="164" fontId="9" fillId="11" borderId="5" xfId="0" applyNumberFormat="1" applyFont="1" applyFill="1" applyBorder="1" applyAlignment="1">
      <alignment horizontal="center"/>
    </xf>
    <xf numFmtId="164" fontId="9" fillId="11" borderId="9" xfId="0" applyNumberFormat="1" applyFont="1" applyFill="1" applyBorder="1" applyAlignment="1">
      <alignment horizontal="center"/>
    </xf>
    <xf numFmtId="0" fontId="20" fillId="15" borderId="26" xfId="0" applyFont="1" applyFill="1" applyBorder="1" applyAlignment="1">
      <alignment horizontal="right" vertical="center"/>
    </xf>
    <xf numFmtId="0" fontId="20" fillId="15" borderId="27" xfId="0" applyFont="1" applyFill="1" applyBorder="1" applyAlignment="1">
      <alignment horizontal="right" vertical="center"/>
    </xf>
    <xf numFmtId="0" fontId="20" fillId="15" borderId="28" xfId="0" applyFont="1" applyFill="1" applyBorder="1" applyAlignment="1">
      <alignment horizontal="right" vertical="center"/>
    </xf>
    <xf numFmtId="0" fontId="20" fillId="15" borderId="29" xfId="0" applyFont="1" applyFill="1" applyBorder="1" applyAlignment="1">
      <alignment horizontal="right" vertical="center"/>
    </xf>
    <xf numFmtId="164" fontId="21" fillId="16" borderId="30" xfId="0" applyNumberFormat="1" applyFont="1" applyFill="1" applyBorder="1" applyAlignment="1">
      <alignment horizontal="center" vertical="center"/>
    </xf>
    <xf numFmtId="164" fontId="21" fillId="16" borderId="31" xfId="0" applyNumberFormat="1" applyFont="1" applyFill="1" applyBorder="1" applyAlignment="1">
      <alignment horizontal="center" vertical="center"/>
    </xf>
    <xf numFmtId="164" fontId="8" fillId="11" borderId="20" xfId="0" applyNumberFormat="1" applyFont="1" applyFill="1" applyBorder="1" applyAlignment="1">
      <alignment horizontal="center" vertical="center"/>
    </xf>
    <xf numFmtId="164" fontId="8" fillId="11" borderId="21" xfId="0" applyNumberFormat="1" applyFont="1" applyFill="1" applyBorder="1" applyAlignment="1">
      <alignment horizontal="center" vertical="center"/>
    </xf>
    <xf numFmtId="164" fontId="8" fillId="11" borderId="22" xfId="0" applyNumberFormat="1" applyFont="1" applyFill="1" applyBorder="1" applyAlignment="1">
      <alignment horizontal="center" vertical="center"/>
    </xf>
    <xf numFmtId="0" fontId="9" fillId="15" borderId="34" xfId="0" applyFont="1" applyFill="1" applyBorder="1" applyAlignment="1">
      <alignment horizontal="right" vertical="center"/>
    </xf>
    <xf numFmtId="0" fontId="9" fillId="15" borderId="35" xfId="0" applyFont="1" applyFill="1" applyBorder="1" applyAlignment="1">
      <alignment horizontal="right" vertical="center"/>
    </xf>
  </cellXfs>
  <cellStyles count="5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Normal" xfId="0" builtinId="0"/>
    <cellStyle name="Normal 2" xfId="50" xr:uid="{00000000-0005-0000-0000-000031000000}"/>
    <cellStyle name="Normal 3" xfId="51" xr:uid="{00000000-0005-0000-0000-000032000000}"/>
    <cellStyle name="Percent" xfId="1" builtinId="5"/>
  </cellStyles>
  <dxfs count="97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2" formatCode="&quot;$&quot;#,##0.00;[Red]\-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2" formatCode="&quot;$&quot;#,##0.00;[Red]\-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2" formatCode="&quot;$&quot;#,##0.00;[Red]\-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color theme="1"/>
        <name val="Gill Sans MT"/>
      </font>
      <numFmt numFmtId="8" formatCode="#,##0.00;[Red]\-#,##0.00"/>
      <alignment horizontal="center" vertical="center" textRotation="0" wrapText="0" indent="0" justifyLastLine="0" shrinkToFit="0" readingOrder="0"/>
      <protection locked="0" hidden="0"/>
    </dxf>
    <dxf>
      <font>
        <color theme="1"/>
        <name val="Gill Sans MT"/>
      </font>
      <numFmt numFmtId="169" formatCode="dd/mm/yy;@"/>
      <alignment horizontal="center" vertical="center" textRotation="0" wrapText="0" indent="0" justifyLastLine="0" shrinkToFit="0" readingOrder="0"/>
      <protection locked="0" hidden="0"/>
    </dxf>
    <dxf>
      <numFmt numFmtId="169" formatCode="dd/mm/yy;@"/>
    </dxf>
    <dxf>
      <numFmt numFmtId="169" formatCode="dd/mm/yy;@"/>
      <alignment horizontal="center" vertical="center" textRotation="0" indent="0" justifyLastLine="0" shrinkToFit="0" readingOrder="0"/>
    </dxf>
    <dxf>
      <numFmt numFmtId="12" formatCode="&quot;$&quot;#,##0.00;[Red]\-&quot;$&quot;#,##0.00"/>
    </dxf>
    <dxf>
      <numFmt numFmtId="12" formatCode="&quot;$&quot;#,##0.00;[Red]\-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6" formatCode="#,##0.0000_ ;[Red]\-#,##0.0000\ 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68" formatCode="#,##0_ ;[Red]\-#,##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166" formatCode="#,##0.0000_ ;[Red]\-#,##0.0000\ "/>
      <fill>
        <patternFill patternType="solid">
          <fgColor indexed="64"/>
          <bgColor rgb="FFFFC00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170" formatCode="#,##0.000_ ;[Red]\-#,##0.000\ 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numFmt numFmtId="27" formatCode="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ill Sans MT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scheme val="none"/>
      </font>
      <fill>
        <patternFill patternType="solid">
          <fgColor rgb="FF000000"/>
          <bgColor rgb="FFE4DFEC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Gill Sans MT"/>
        <scheme val="none"/>
      </font>
      <protection locked="1" hidden="0"/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  <u val="double"/>
        <color rgb="FFFF0000"/>
      </font>
      <fill>
        <patternFill patternType="solid"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colors>
    <mruColors>
      <color rgb="FF0000F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[AATS H4 2019 Website.xlsx]Profit Summary!pv1</c:name>
    <c:fmtId val="2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equity curve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t"/>
          <c:showLegendKey val="0"/>
          <c:showVal val="1"/>
          <c:showCatName val="0"/>
          <c:showSerName val="1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2225" cap="rnd">
            <a:solidFill>
              <a:schemeClr val="accent2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square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</c:pivotFmt>
      <c:pivotFmt>
        <c:idx val="9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diamond"/>
          <c:size val="6"/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'Profit Summary'!$I$1</c:f>
              <c:strCache>
                <c:ptCount val="1"/>
                <c:pt idx="0">
                  <c:v>Total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strRef>
              <c:f>'Profit Summary'!$H$2:$H$7</c:f>
              <c:strCache>
                <c:ptCount val="5"/>
                <c:pt idx="0">
                  <c:v>01/01/21</c:v>
                </c:pt>
                <c:pt idx="1">
                  <c:v>26/02/21</c:v>
                </c:pt>
                <c:pt idx="2">
                  <c:v>19/03/21</c:v>
                </c:pt>
                <c:pt idx="3">
                  <c:v>01/04/21</c:v>
                </c:pt>
                <c:pt idx="4">
                  <c:v>01/05/21</c:v>
                </c:pt>
              </c:strCache>
            </c:strRef>
          </c:cat>
          <c:val>
            <c:numRef>
              <c:f>'Profit Summary'!$I$2:$I$7</c:f>
              <c:numCache>
                <c:formatCode>"$"#,##0.00_);[Red]\("$"#,##0.00\)</c:formatCode>
                <c:ptCount val="5"/>
                <c:pt idx="0">
                  <c:v>100000</c:v>
                </c:pt>
                <c:pt idx="1">
                  <c:v>112270</c:v>
                </c:pt>
                <c:pt idx="2">
                  <c:v>111120</c:v>
                </c:pt>
                <c:pt idx="3">
                  <c:v>112380</c:v>
                </c:pt>
                <c:pt idx="4">
                  <c:v>112120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CC-4CA2-AA9C-84A67076E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323024"/>
        <c:axId val="239321064"/>
      </c:lineChart>
      <c:catAx>
        <c:axId val="239323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321064"/>
        <c:crosses val="autoZero"/>
        <c:auto val="1"/>
        <c:lblAlgn val="ctr"/>
        <c:lblOffset val="100"/>
        <c:noMultiLvlLbl val="0"/>
      </c:catAx>
      <c:valAx>
        <c:axId val="239321064"/>
        <c:scaling>
          <c:orientation val="minMax"/>
          <c:max val="117999"/>
          <c:min val="99000"/>
        </c:scaling>
        <c:delete val="0"/>
        <c:axPos val="l"/>
        <c:numFmt formatCode="&quot;$&quot;#,##0.00_);[Red]\(&quot;$&quot;#,##0.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323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1A7AD16D-A805-4D8D-A363-EE52F7C2E6B3}"/>
            </a:ext>
          </a:extLst>
        </xdr:cNvPr>
        <xdr:cNvSpPr/>
      </xdr:nvSpPr>
      <xdr:spPr>
        <a:xfrm>
          <a:off x="275386" y="1399761"/>
          <a:ext cx="1047749" cy="43993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35358F87-2936-4CCF-8525-C526E707D002}"/>
            </a:ext>
          </a:extLst>
        </xdr:cNvPr>
        <xdr:cNvSpPr/>
      </xdr:nvSpPr>
      <xdr:spPr>
        <a:xfrm>
          <a:off x="275386" y="1987064"/>
          <a:ext cx="1049406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6C55E32F-FE66-413F-AED9-5FE9E959C5F0}"/>
            </a:ext>
          </a:extLst>
        </xdr:cNvPr>
        <xdr:cNvSpPr/>
      </xdr:nvSpPr>
      <xdr:spPr>
        <a:xfrm>
          <a:off x="275386" y="2465209"/>
          <a:ext cx="1053973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MasterData" textlink="">
      <xdr:nvSpPr>
        <xdr:cNvPr id="6" name="Rounded Rectangle 5">
          <a:extLst>
            <a:ext uri="{FF2B5EF4-FFF2-40B4-BE49-F238E27FC236}">
              <a16:creationId xmlns:a16="http://schemas.microsoft.com/office/drawing/2014/main" id="{FEDF81D1-EC9B-4BA3-B082-6CE8837F2352}"/>
            </a:ext>
          </a:extLst>
        </xdr:cNvPr>
        <xdr:cNvSpPr/>
      </xdr:nvSpPr>
      <xdr:spPr>
        <a:xfrm>
          <a:off x="1511577" y="1399762"/>
          <a:ext cx="1118151" cy="43589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MASTER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7" name="Rounded Rectangle 6">
          <a:extLst>
            <a:ext uri="{FF2B5EF4-FFF2-40B4-BE49-F238E27FC236}">
              <a16:creationId xmlns:a16="http://schemas.microsoft.com/office/drawing/2014/main" id="{EFF56A64-9680-4AE2-A1F0-C23D3D9CD7AF}"/>
            </a:ext>
          </a:extLst>
        </xdr:cNvPr>
        <xdr:cNvSpPr/>
      </xdr:nvSpPr>
      <xdr:spPr>
        <a:xfrm>
          <a:off x="1513234" y="1983025"/>
          <a:ext cx="1119186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492816</xdr:colOff>
      <xdr:row>11</xdr:row>
      <xdr:rowOff>153228</xdr:rowOff>
    </xdr:from>
    <xdr:to>
      <xdr:col>3</xdr:col>
      <xdr:colOff>588064</xdr:colOff>
      <xdr:row>13</xdr:row>
      <xdr:rowOff>92169</xdr:rowOff>
    </xdr:to>
    <xdr:sp macro="[0]!RefreshMaster" textlink="">
      <xdr:nvSpPr>
        <xdr:cNvPr id="8" name="Rounded Rectangle 5">
          <a:extLst>
            <a:ext uri="{FF2B5EF4-FFF2-40B4-BE49-F238E27FC236}">
              <a16:creationId xmlns:a16="http://schemas.microsoft.com/office/drawing/2014/main" id="{B9E58715-C693-45E2-86DF-E1AA12FEA053}"/>
            </a:ext>
          </a:extLst>
        </xdr:cNvPr>
        <xdr:cNvSpPr/>
      </xdr:nvSpPr>
      <xdr:spPr>
        <a:xfrm>
          <a:off x="1519859" y="2476500"/>
          <a:ext cx="1118151" cy="319941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600" b="1">
              <a:latin typeface="Gill Sans MT" panose="020B0502020104020203" pitchFamily="34" charset="0"/>
            </a:rPr>
            <a:t>GET DATA FROM OTHER SHEETS</a:t>
          </a: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CE74E79-4188-5C1B-38A2-FCF5DB234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187" y="401707"/>
          <a:ext cx="2393673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1781174</xdr:colOff>
      <xdr:row>3</xdr:row>
      <xdr:rowOff>152400</xdr:rowOff>
    </xdr:from>
    <xdr:to>
      <xdr:col>22</xdr:col>
      <xdr:colOff>581025</xdr:colOff>
      <xdr:row>29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323850</xdr:colOff>
      <xdr:row>8</xdr:row>
      <xdr:rowOff>19050</xdr:rowOff>
    </xdr:from>
    <xdr:to>
      <xdr:col>10</xdr:col>
      <xdr:colOff>1488694</xdr:colOff>
      <xdr:row>9</xdr:row>
      <xdr:rowOff>133350</xdr:rowOff>
    </xdr:to>
    <xdr:sp macro="[0]!InsertProfitRow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772025" y="1562100"/>
          <a:ext cx="1164844" cy="304800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000" b="1">
              <a:latin typeface="Gill Sans MT" panose="020B0502020104020203" pitchFamily="34" charset="0"/>
            </a:rPr>
            <a:t>INSERT</a:t>
          </a:r>
          <a:r>
            <a:rPr lang="en-AU" sz="1000" b="1" baseline="0">
              <a:latin typeface="Gill Sans MT" panose="020B0502020104020203" pitchFamily="34" charset="0"/>
            </a:rPr>
            <a:t> DATA</a:t>
          </a:r>
          <a:endParaRPr lang="en-AU" sz="10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10</xdr:col>
      <xdr:colOff>409575</xdr:colOff>
      <xdr:row>10</xdr:row>
      <xdr:rowOff>112431</xdr:rowOff>
    </xdr:from>
    <xdr:to>
      <xdr:col>10</xdr:col>
      <xdr:colOff>1400429</xdr:colOff>
      <xdr:row>11</xdr:row>
      <xdr:rowOff>154446</xdr:rowOff>
    </xdr:to>
    <xdr:sp macro="[0]!DeleteProfitRow" textlink="">
      <xdr:nvSpPr>
        <xdr:cNvPr id="4" name="Rounded 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857750" y="2046006"/>
          <a:ext cx="990854" cy="242040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10</xdr:col>
      <xdr:colOff>323850</xdr:colOff>
      <xdr:row>12</xdr:row>
      <xdr:rowOff>142875</xdr:rowOff>
    </xdr:from>
    <xdr:to>
      <xdr:col>10</xdr:col>
      <xdr:colOff>1488694</xdr:colOff>
      <xdr:row>15</xdr:row>
      <xdr:rowOff>28575</xdr:rowOff>
    </xdr:to>
    <xdr:sp macro="[0]!RefreshChart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772025" y="2466975"/>
          <a:ext cx="1164844" cy="457200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000" b="1">
              <a:latin typeface="Gill Sans MT" panose="020B0502020104020203" pitchFamily="34" charset="0"/>
            </a:rPr>
            <a:t>Refresh Chart (Manual)</a:t>
          </a:r>
        </a:p>
      </xdr:txBody>
    </xdr:sp>
    <xdr:clientData/>
  </xdr:twoCellAnchor>
  <xdr:twoCellAnchor editAs="oneCell">
    <xdr:from>
      <xdr:col>10</xdr:col>
      <xdr:colOff>238125</xdr:colOff>
      <xdr:row>0</xdr:row>
      <xdr:rowOff>200025</xdr:rowOff>
    </xdr:from>
    <xdr:to>
      <xdr:col>10</xdr:col>
      <xdr:colOff>1628595</xdr:colOff>
      <xdr:row>6</xdr:row>
      <xdr:rowOff>76785</xdr:rowOff>
    </xdr:to>
    <xdr:pic>
      <xdr:nvPicPr>
        <xdr:cNvPr id="6" name="Picture 5" descr="LOGO (1)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6300" y="200025"/>
          <a:ext cx="1390470" cy="103881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AB3D6066-272A-4037-B3BB-939A40075C1D}"/>
            </a:ext>
          </a:extLst>
        </xdr:cNvPr>
        <xdr:cNvSpPr/>
      </xdr:nvSpPr>
      <xdr:spPr>
        <a:xfrm>
          <a:off x="275386" y="1400589"/>
          <a:ext cx="1049406" cy="5399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87FAAD9B-C4D5-46D9-8407-F5D3A972046A}"/>
            </a:ext>
          </a:extLst>
        </xdr:cNvPr>
        <xdr:cNvSpPr/>
      </xdr:nvSpPr>
      <xdr:spPr>
        <a:xfrm>
          <a:off x="275386" y="2087077"/>
          <a:ext cx="1049406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48EE2E74-D3AE-4052-8873-71A4F0DD8E6D}"/>
            </a:ext>
          </a:extLst>
        </xdr:cNvPr>
        <xdr:cNvSpPr/>
      </xdr:nvSpPr>
      <xdr:spPr>
        <a:xfrm>
          <a:off x="275386" y="2566050"/>
          <a:ext cx="1055630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9FF2AD5C-6AE4-4A1C-B2AD-4374CD77008F}"/>
            </a:ext>
          </a:extLst>
        </xdr:cNvPr>
        <xdr:cNvSpPr/>
      </xdr:nvSpPr>
      <xdr:spPr>
        <a:xfrm>
          <a:off x="1513234" y="1400590"/>
          <a:ext cx="1119186" cy="535909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444CD877-99FA-4CF4-8C32-BD16E19CB8B1}"/>
            </a:ext>
          </a:extLst>
        </xdr:cNvPr>
        <xdr:cNvSpPr/>
      </xdr:nvSpPr>
      <xdr:spPr>
        <a:xfrm>
          <a:off x="1513234" y="2083038"/>
          <a:ext cx="1119186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A64BD15-29D9-4EC4-AAC3-B72CA8913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187" y="401707"/>
          <a:ext cx="2396365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27085542-D1F7-47EB-AC53-89C239351FE7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787FE11D-5CF8-4D59-8920-49F92D6D9E17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41DE845A-C339-4B26-A588-CCCCC923CDB3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EFE0E57B-A04D-46AB-B65B-C19517C93EEE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C618AF89-3A31-443C-A1E9-A601693FE06C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6D57945-6566-4B5E-AFE9-A806E00D3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5B39D67C-FC44-41F5-9E9E-7E1149BEBE71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B7888217-B99C-4A91-BA0B-15648F5EAAE3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E6B0FCC1-933F-4B1C-B068-7963E9285E86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671236F3-A77F-4030-834E-6CE8EE1364FE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E949B5E9-0F7D-4101-B920-4BF4CB879E13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C49E508-CE43-4657-921F-5068BFA53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88D89366-F750-4C58-8425-24C759112DDB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DEC02BFD-3AD4-4998-9780-D64386ECAD5F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C3BD4B03-8F9D-451C-AB6D-8E65F70FDC23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FAEC54DB-A1EE-477D-81D9-CDDD62642EAD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FF9D899A-92CF-48C5-94BC-1997D497FB17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6018CDD-2AC0-4E8D-B809-D4D169B6D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EEC39FF0-C57F-427F-84D2-8E40A1FFE4C1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4D28FF0C-85C7-4B8F-8B29-CFD2DA5C8C49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2007FAA5-92A4-4A0A-AB60-44290FA8782B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998FDDA2-D055-4955-8BD3-E5F7768323B2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11A39483-6D26-43D0-AC08-D2373F57EE3E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B49DFC0-ABB3-4D3F-B009-AD2696E78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7DD096D6-A55F-4CFD-A84B-70B920D20170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3405F6E6-C25D-4978-BE2F-A212C3632E6A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FC2720F4-67CE-4911-B4C3-55ECFBB92B7C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96E7F609-2C2A-4AEA-A506-09209C029BE2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8E24EECB-CA61-46FF-AF98-179B1E8EA393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2201665-A77D-4701-BCB3-AB8AFED76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AC393563-2F27-4498-8C9D-5602EF37CAC5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B9385992-3358-4885-BF11-028D445F69BE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3F58EFB4-F6D0-4FB0-BFC0-2C5F8E0926A7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74950174-B6A7-4962-8278-1571D5D90184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B28C2A28-9CE8-4241-8327-0E4B2F5EB11B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DC97486-2548-4AA6-8860-3C433CEB8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0ACF8903-8FAA-4399-806E-7D6D24FB92D7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35151C06-DE48-4B6B-9AAF-41FA358D44A3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13C84DA9-8323-4A4D-A62B-6AF8BE229B73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E8BD94C3-735F-41C5-9CBC-D29C814F79C9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0C877372-8B22-4884-B2C9-BD5AAA74E5DE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2C4DAC1-37B0-4FF3-B3CE-F48C5ADE4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F2C36310-1033-4774-9DFB-9B193A06DEB3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4A7597F5-7CB0-4025-8A49-A3879ED2F336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DC8B389F-7013-4BAA-991C-262F92D6BDAA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70CCB636-54D3-40B7-BF60-95D07AADC383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D674AFA7-65C2-46CB-BA87-C1E40C0DB319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A6E2B3D-E6E0-46CC-B4B8-EA9284DF4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50BE5DEA-1997-4CE8-A064-A93FDD7E4952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A60133A6-3228-4669-9708-C9557D93BB07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40E03F92-4ECD-4DFC-BCDE-CED0B5636F7E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8C770BC5-F8EE-45B2-BA89-6C11C79705FB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9CCF340F-6C1A-4162-8593-E24F54A0AB49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D4384EF-DDE9-412E-86BD-45C92194F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8804817F-8729-4C43-8CFE-E18EA15C4C32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0B1779AB-CA72-4BA9-B311-82DCC652DC73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76424D6F-60EF-4AC3-8AB5-8A7D60CCFFE7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FCB1CDEB-22F7-4932-95A5-FF006AE46A09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85D17764-1BEA-42BE-9E0F-418A9B1A3085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43016F1-77EA-4C4D-A046-28EFA5F54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BE542591-5A4A-4529-8C59-C7977392E2DA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6C77D3D4-33C3-425C-99B3-96E4FC97A6AE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401137E7-5D8B-44D4-B853-A2917F9897D9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E9247350-2E95-4EAA-8FFE-A53C507FEC9D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1344E495-D324-44EC-8E9B-37503AFFFB4A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3FC8CCE-64C3-4C6F-83AC-7E6972421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3124F365-454D-4F05-828C-C3FA5F546317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68763FEF-6C73-42C4-8020-510782F55E73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D409A9A4-3C76-419A-A05D-C603AFB5224A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07AEB72B-6132-4241-9DCF-5816E298D88B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31739A89-3E58-4EF0-A00A-1CA0CDA9A2D8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A044BA2-DA4D-4111-97C3-74494F767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B6026ECA-7823-4606-A00B-3B8BEDA48EEF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EC45050C-42CB-4169-8466-0594062BC44A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82496210-25E4-43D2-9B63-0FF66487229A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FC06D277-2E2C-47DC-B7ED-00605DC96B77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70F64D4B-32BB-4B42-8A7A-548B3EC99265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9B11478-6F05-48F1-9F2B-3D9731929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F4803D4F-E706-44FF-B868-6E07E3D2B617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43A386D3-4D2C-496E-88ED-941CE8103872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38E1A93B-2694-4F35-97FC-3DCDA4991A2C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C7B32F4E-1CF6-4DAF-A8D5-BA947793D317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C37F3961-47B1-4053-A691-C414FF852CA3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94CE2C7-D697-4E0E-9FAF-49ACF04A3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300BBCE4-89BB-47AA-BDC7-F830853B3D91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E00E2A0E-DEFF-4A56-8C80-31107C6B36B5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F84B6E97-303C-4197-BD78-4676768B8486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BC4F1717-6601-4D2B-B45C-DB1116783B43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0D4FDF61-B548-4C6D-8A5E-3F0070392329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5B4B49-42B6-4900-8ECD-738E8F406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5E9CA216-1E92-47BD-8E70-746887222EAE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657103B7-DB55-4CFB-881B-436CAB55A1C6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8FE5758F-F5FE-4EAA-AA7D-B365015E9F52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BDEA2A89-06E9-44D9-8AF4-A964CA77C165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4FB38021-2E0A-4172-B678-E19A34031185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A0ABCCF-C48F-49C1-ABBA-71D2AE8B2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EAA3BD97-89A7-44E6-9DB4-B612F9C87978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DB920F1A-7D00-49D3-954F-ECE6ED889523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1B281AD6-68E4-47C7-AB74-4558C92530C4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E84EDFE0-6840-4F5C-84E6-CAE67E476544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C0CD5A8D-6B65-464E-A253-87ACEB256BE8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EA33D22-6AA5-4147-A137-A08CDDEAC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2B612907-6A36-47FA-9EA6-110DCB9C77A7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272D8175-DAA5-424A-BA9C-65F4BBBC33B2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1463CE68-5D15-431C-AF09-D7F2F2B3E007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D8F8CD7E-F6B3-4D5B-A141-869FACA8B348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0D8A0069-258E-4E62-AE0E-0FFAB83D9837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B2D869D-D3FA-4E99-A403-2D14F19E8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A4656402-8D0A-4A05-86C7-E37CEED09980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D45EB3C9-C385-4FC3-BD87-74A3D5D6F3AE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FFEFAE0F-D664-4134-AF0A-3077645AF61B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C83C06E2-B85C-4FC5-98E5-E161E1B77F13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7FC875CB-526B-4D62-A63F-6A1DB17C5387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8F33075-29E4-4525-844A-774DF5188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28B39B35-D107-4592-B6DA-8D067568DC7C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6A9C9A2C-0EE1-41EC-878B-FED8B3CE9F70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C2418636-5EBD-4138-A05E-C45396D40EB9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2DD5B666-BB54-43AC-9138-2413997FBA1C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C5A6440C-0B76-448C-B438-CBCF28F12C21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F4DE2F1-BE36-431D-A6AD-737450AB4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84886</xdr:colOff>
      <xdr:row>6</xdr:row>
      <xdr:rowOff>28989</xdr:rowOff>
    </xdr:from>
    <xdr:to>
      <xdr:col>2</xdr:col>
      <xdr:colOff>296092</xdr:colOff>
      <xdr:row>8</xdr:row>
      <xdr:rowOff>87924</xdr:rowOff>
    </xdr:to>
    <xdr:sp macro="[0]!InsertData" textlink="">
      <xdr:nvSpPr>
        <xdr:cNvPr id="2" name="Rounded Rectangle 1">
          <a:extLst>
            <a:ext uri="{FF2B5EF4-FFF2-40B4-BE49-F238E27FC236}">
              <a16:creationId xmlns:a16="http://schemas.microsoft.com/office/drawing/2014/main" id="{845DD2F3-60B4-4FB9-AA58-3FE2EA7721DE}"/>
            </a:ext>
          </a:extLst>
        </xdr:cNvPr>
        <xdr:cNvSpPr/>
      </xdr:nvSpPr>
      <xdr:spPr>
        <a:xfrm>
          <a:off x="265861" y="1400589"/>
          <a:ext cx="1001781" cy="535185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INSERT ROW</a:t>
          </a:r>
          <a:r>
            <a:rPr lang="en-AU" sz="900" b="1" baseline="0">
              <a:latin typeface="Gill Sans MT" panose="020B0502020104020203" pitchFamily="34" charset="0"/>
            </a:rPr>
            <a:t> DATA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1</xdr:col>
      <xdr:colOff>84886</xdr:colOff>
      <xdr:row>9</xdr:row>
      <xdr:rowOff>43964</xdr:rowOff>
    </xdr:from>
    <xdr:to>
      <xdr:col>2</xdr:col>
      <xdr:colOff>296092</xdr:colOff>
      <xdr:row>10</xdr:row>
      <xdr:rowOff>184597</xdr:rowOff>
    </xdr:to>
    <xdr:sp macro="[0]!RESORT" textlink="">
      <xdr:nvSpPr>
        <xdr:cNvPr id="3" name="Rounded Rectangle 2">
          <a:extLst>
            <a:ext uri="{FF2B5EF4-FFF2-40B4-BE49-F238E27FC236}">
              <a16:creationId xmlns:a16="http://schemas.microsoft.com/office/drawing/2014/main" id="{749BC879-4D9E-410A-86AF-65E568808853}"/>
            </a:ext>
          </a:extLst>
        </xdr:cNvPr>
        <xdr:cNvSpPr/>
      </xdr:nvSpPr>
      <xdr:spPr>
        <a:xfrm>
          <a:off x="265861" y="2082314"/>
          <a:ext cx="1001781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RE-SORT</a:t>
          </a:r>
        </a:p>
      </xdr:txBody>
    </xdr:sp>
    <xdr:clientData/>
  </xdr:twoCellAnchor>
  <xdr:twoCellAnchor>
    <xdr:from>
      <xdr:col>1</xdr:col>
      <xdr:colOff>84886</xdr:colOff>
      <xdr:row>11</xdr:row>
      <xdr:rowOff>141937</xdr:rowOff>
    </xdr:from>
    <xdr:to>
      <xdr:col>2</xdr:col>
      <xdr:colOff>302316</xdr:colOff>
      <xdr:row>13</xdr:row>
      <xdr:rowOff>78685</xdr:rowOff>
    </xdr:to>
    <xdr:sp macro="[0]!Eliminar_Fila" textlink="">
      <xdr:nvSpPr>
        <xdr:cNvPr id="4" name="Rounded Rectangle 3">
          <a:extLst>
            <a:ext uri="{FF2B5EF4-FFF2-40B4-BE49-F238E27FC236}">
              <a16:creationId xmlns:a16="http://schemas.microsoft.com/office/drawing/2014/main" id="{F2824495-984B-4726-A9CF-4049382B707C}"/>
            </a:ext>
          </a:extLst>
        </xdr:cNvPr>
        <xdr:cNvSpPr/>
      </xdr:nvSpPr>
      <xdr:spPr>
        <a:xfrm>
          <a:off x="265861" y="2561287"/>
          <a:ext cx="1008005" cy="317748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>
              <a:latin typeface="Gill Sans MT" panose="020B0502020104020203" pitchFamily="34" charset="0"/>
            </a:rPr>
            <a:t>DELETE</a:t>
          </a:r>
          <a:r>
            <a:rPr lang="en-AU" sz="800" b="1" baseline="0">
              <a:latin typeface="Gill Sans MT" panose="020B0502020104020203" pitchFamily="34" charset="0"/>
            </a:rPr>
            <a:t> ROW</a:t>
          </a:r>
          <a:endParaRPr lang="en-AU" sz="800" b="1">
            <a:latin typeface="Gill Sans MT" panose="020B0502020104020203" pitchFamily="34" charset="0"/>
          </a:endParaRPr>
        </a:p>
      </xdr:txBody>
    </xdr:sp>
    <xdr:clientData/>
  </xdr:twoCellAnchor>
  <xdr:twoCellAnchor>
    <xdr:from>
      <xdr:col>2</xdr:col>
      <xdr:colOff>484534</xdr:colOff>
      <xdr:row>6</xdr:row>
      <xdr:rowOff>28990</xdr:rowOff>
    </xdr:from>
    <xdr:to>
      <xdr:col>3</xdr:col>
      <xdr:colOff>579782</xdr:colOff>
      <xdr:row>8</xdr:row>
      <xdr:rowOff>83886</xdr:rowOff>
    </xdr:to>
    <xdr:sp macro="[0]!ImportTradeData" textlink="">
      <xdr:nvSpPr>
        <xdr:cNvPr id="5" name="Rounded Rectangle 5">
          <a:extLst>
            <a:ext uri="{FF2B5EF4-FFF2-40B4-BE49-F238E27FC236}">
              <a16:creationId xmlns:a16="http://schemas.microsoft.com/office/drawing/2014/main" id="{517DBDF5-9ED7-49F4-91D5-C054AAD799D2}"/>
            </a:ext>
          </a:extLst>
        </xdr:cNvPr>
        <xdr:cNvSpPr/>
      </xdr:nvSpPr>
      <xdr:spPr>
        <a:xfrm>
          <a:off x="1456084" y="1400590"/>
          <a:ext cx="1057273" cy="531146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IMPORT</a:t>
          </a:r>
          <a:r>
            <a:rPr lang="en-AU" sz="900" b="1" baseline="0">
              <a:latin typeface="Gill Sans MT" panose="020B0502020104020203" pitchFamily="34" charset="0"/>
            </a:rPr>
            <a:t> </a:t>
          </a:r>
          <a:r>
            <a:rPr lang="en-AU" sz="900" b="1">
              <a:latin typeface="Gill Sans MT" panose="020B0502020104020203" pitchFamily="34" charset="0"/>
            </a:rPr>
            <a:t>DATA</a:t>
          </a:r>
        </a:p>
      </xdr:txBody>
    </xdr:sp>
    <xdr:clientData/>
  </xdr:twoCellAnchor>
  <xdr:twoCellAnchor>
    <xdr:from>
      <xdr:col>2</xdr:col>
      <xdr:colOff>484534</xdr:colOff>
      <xdr:row>9</xdr:row>
      <xdr:rowOff>39925</xdr:rowOff>
    </xdr:from>
    <xdr:to>
      <xdr:col>3</xdr:col>
      <xdr:colOff>579782</xdr:colOff>
      <xdr:row>10</xdr:row>
      <xdr:rowOff>180558</xdr:rowOff>
    </xdr:to>
    <xdr:sp macro="[0]!CreateNewSheet" textlink="">
      <xdr:nvSpPr>
        <xdr:cNvPr id="6" name="Rounded Rectangle 6">
          <a:extLst>
            <a:ext uri="{FF2B5EF4-FFF2-40B4-BE49-F238E27FC236}">
              <a16:creationId xmlns:a16="http://schemas.microsoft.com/office/drawing/2014/main" id="{61A35085-366A-4DDC-AD84-A7AA184A8684}"/>
            </a:ext>
          </a:extLst>
        </xdr:cNvPr>
        <xdr:cNvSpPr/>
      </xdr:nvSpPr>
      <xdr:spPr>
        <a:xfrm>
          <a:off x="1456084" y="2078275"/>
          <a:ext cx="1057273" cy="331133"/>
        </a:xfrm>
        <a:prstGeom prst="roundRect">
          <a:avLst/>
        </a:prstGeom>
        <a:solidFill>
          <a:srgbClr val="FF0000"/>
        </a:solidFill>
        <a:ln/>
        <a:effectLst>
          <a:glow rad="101600">
            <a:schemeClr val="bg1">
              <a:alpha val="6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900" b="1">
              <a:latin typeface="Gill Sans MT" panose="020B0502020104020203" pitchFamily="34" charset="0"/>
            </a:rPr>
            <a:t>NEW</a:t>
          </a:r>
          <a:r>
            <a:rPr lang="en-AU" sz="900" b="1" baseline="0">
              <a:latin typeface="Gill Sans MT" panose="020B0502020104020203" pitchFamily="34" charset="0"/>
            </a:rPr>
            <a:t> INST</a:t>
          </a:r>
          <a:endParaRPr lang="en-AU" sz="900" b="1"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1</xdr:col>
      <xdr:colOff>78687</xdr:colOff>
      <xdr:row>2</xdr:row>
      <xdr:rowOff>20707</xdr:rowOff>
    </xdr:from>
    <xdr:to>
      <xdr:col>3</xdr:col>
      <xdr:colOff>612914</xdr:colOff>
      <xdr:row>5</xdr:row>
      <xdr:rowOff>140467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DFDB4C9-005B-4E09-81FA-133217776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662" y="401707"/>
          <a:ext cx="2286827" cy="691260"/>
        </a:xfrm>
        <a:prstGeom prst="rect">
          <a:avLst/>
        </a:prstGeom>
        <a:solidFill>
          <a:schemeClr val="bg2"/>
        </a:solidFill>
        <a:ln>
          <a:solidFill>
            <a:schemeClr val="accent1"/>
          </a:solidFill>
        </a:ln>
        <a:effectLst>
          <a:glow rad="63500">
            <a:schemeClr val="bg1">
              <a:alpha val="40000"/>
            </a:schemeClr>
          </a:glow>
        </a:effec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nY" refreshedDate="44839.476025810189" createdVersion="5" refreshedVersion="8" minRefreshableVersion="3" recordCount="5" xr:uid="{00000000-000A-0000-FFFF-FFFF00000000}">
  <cacheSource type="worksheet">
    <worksheetSource name="Table2"/>
  </cacheSource>
  <cacheFields count="5">
    <cacheField name="Date" numFmtId="169">
      <sharedItems containsSemiMixedTypes="0" containsNonDate="0" containsDate="1" containsString="0" minDate="2021-01-01T00:00:00" maxDate="2021-06-05T00:00:00" count="7">
        <d v="2021-05-01T00:00:00"/>
        <d v="2021-01-01T00:00:00"/>
        <d v="2021-02-26T00:00:00"/>
        <d v="2021-03-19T00:00:00"/>
        <d v="2021-04-01T00:00:00"/>
        <d v="2021-05-15T00:00:00" u="1"/>
        <d v="2021-06-04T00:00:00" u="1"/>
      </sharedItems>
    </cacheField>
    <cacheField name="Profits in TR" numFmtId="40">
      <sharedItems containsMixedTypes="1" containsNumber="1" minValue="11.12" maxValue="12.38"/>
    </cacheField>
    <cacheField name="$ Value of TR" numFmtId="8">
      <sharedItems containsMixedTypes="1" containsNumber="1" containsInteger="1" minValue="1000" maxValue="1000"/>
    </cacheField>
    <cacheField name="Profits in $" numFmtId="8">
      <sharedItems containsSemiMixedTypes="0" containsString="0" containsNumber="1" containsInteger="1" minValue="11120" maxValue="100000"/>
    </cacheField>
    <cacheField name="Cumulative Equity" numFmtId="8">
      <sharedItems containsSemiMixedTypes="0" containsString="0" containsNumber="1" containsInteger="1" minValue="100000" maxValue="11238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x v="0"/>
    <n v="12.12"/>
    <n v="1000"/>
    <n v="12120"/>
    <n v="112120"/>
  </r>
  <r>
    <x v="1"/>
    <s v="Starting Capital"/>
    <s v="Starting Capital"/>
    <n v="100000"/>
    <n v="100000"/>
  </r>
  <r>
    <x v="2"/>
    <n v="12.27"/>
    <n v="1000"/>
    <n v="12270"/>
    <n v="112270"/>
  </r>
  <r>
    <x v="3"/>
    <n v="11.12"/>
    <n v="1000"/>
    <n v="11120"/>
    <n v="111120"/>
  </r>
  <r>
    <x v="4"/>
    <n v="12.38"/>
    <n v="1000"/>
    <n v="12380"/>
    <n v="1123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v1" cacheId="2" applyNumberFormats="0" applyBorderFormats="0" applyFontFormats="0" applyPatternFormats="0" applyAlignmentFormats="0" applyWidthHeightFormats="1" dataCaption="Values" updatedVersion="8" minRefreshableVersion="3" itemPrintTitles="1" createdVersion="5" indent="0" outline="1" outlineData="1" multipleFieldFilters="0" chartFormat="23" rowHeaderCaption="Closed Weekending Friday">
  <location ref="H1:I7" firstHeaderRow="1" firstDataRow="1" firstDataCol="1"/>
  <pivotFields count="5">
    <pivotField axis="axisRow" numFmtId="169" showAll="0" sortType="ascending">
      <items count="8">
        <item x="1"/>
        <item x="2"/>
        <item x="3"/>
        <item x="4"/>
        <item x="0"/>
        <item m="1" x="5"/>
        <item m="1" x="6"/>
        <item t="default"/>
      </items>
    </pivotField>
    <pivotField numFmtId="40" showAll="0" defaultSubtotal="0"/>
    <pivotField showAll="0" defaultSubtotal="0"/>
    <pivotField showAll="0" defaultSubtotal="0"/>
    <pivotField dataField="1" numFmtId="8" showAll="0" defaultSubtota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 of Cumulative Equity" fld="4" baseField="0" baseItem="0"/>
  </dataFields>
  <formats count="2">
    <format dxfId="932">
      <pivotArea outline="0" collapsedLevelsAreSubtotals="1" fieldPosition="0"/>
    </format>
    <format dxfId="931">
      <pivotArea dataOnly="0" labelOnly="1" outline="0" axis="axisValues" fieldPosition="0"/>
    </format>
  </formats>
  <chartFormats count="1">
    <chartFormat chart="22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6ACA7A6-C7B2-44C8-8EED-B060291C5834}" name="Tabla33610673" displayName="Tabla33610673" ref="B16:AG444" totalsRowShown="0" headerRowDxfId="966" dataDxfId="965">
  <autoFilter ref="B16:AG444" xr:uid="{00000000-0009-0000-0100-000009000000}"/>
  <sortState xmlns:xlrd2="http://schemas.microsoft.com/office/spreadsheetml/2017/richdata2" ref="B17:AG444">
    <sortCondition descending="1" ref="D16:D444"/>
  </sortState>
  <tableColumns count="32">
    <tableColumn id="1" xr3:uid="{B15662EF-D0AC-434F-8B47-408F7FCCC37C}" name="Inst" dataDxfId="964"/>
    <tableColumn id="2" xr3:uid="{B919035C-AA92-4CD6-861E-3B9A656147B8}" name="L/S" dataDxfId="963"/>
    <tableColumn id="3" xr3:uid="{2F10A06D-FA54-48C7-8BC2-07EAE086A4D2}" name="O/C" dataDxfId="962">
      <calculatedColumnFormula>IF(E17&lt;&gt;"",IF(K17&lt;&gt;"","C","O"),"")</calculatedColumnFormula>
    </tableColumn>
    <tableColumn id="4" xr3:uid="{147AE279-32CE-43AA-BFEC-F45979B7E5D1}" name="DATE" dataDxfId="961"/>
    <tableColumn id="5" xr3:uid="{707AB2EE-BC12-485E-9041-EBD9803ACDA6}" name="INST." dataDxfId="960"/>
    <tableColumn id="6" xr3:uid="{3BBFD836-1046-434F-9B1C-5BFD15F3E89B}" name="ENTRY " dataDxfId="959"/>
    <tableColumn id="7" xr3:uid="{6C2E69DE-E47B-441E-AA57-89A5E08DC324}" name="STOP " dataDxfId="958"/>
    <tableColumn id="8" xr3:uid="{B59AA87C-48D4-4C46-8204-364A9AC67159}" name="TR_x000a_(in Pips)" dataDxfId="957">
      <calculatedColumnFormula>ABS(G17-H17)</calculatedColumnFormula>
    </tableColumn>
    <tableColumn id="9" xr3:uid="{7C1A8A5E-D518-4CF7-84B6-B173DEF8DE68}" name="TARGET" dataDxfId="956"/>
    <tableColumn id="10" xr3:uid="{506757E9-E41A-4A85-BAC1-79B5E6868689}" name="DATE2" dataDxfId="955"/>
    <tableColumn id="11" xr3:uid="{13659F03-391C-46D2-9BEA-0E0EBEBE010E}" name="EXIT" dataDxfId="954"/>
    <tableColumn id="12" xr3:uid="{831DBDFC-F195-4CE1-B170-A525D354DA89}" name="RESULT" dataDxfId="953">
      <calculatedColumnFormula>ROUND(IF(C17="L",(L17-G17),(G17-L17)),4)</calculatedColumnFormula>
    </tableColumn>
    <tableColumn id="13" xr3:uid="{A37158FA-405D-469F-87BF-AC951BC89B9E}" name="No. of Rs" dataDxfId="952">
      <calculatedColumnFormula>IFERROR(ROUND((M17/I17),2),"")</calculatedColumnFormula>
    </tableColumn>
    <tableColumn id="14" xr3:uid="{BE84FA64-7DDB-48AE-B961-8DA7E546F50A}" name="Heat" dataDxfId="951">
      <calculatedColumnFormula>IF(D17="O",IF(N17&lt;0,N17,0),0)</calculatedColumnFormula>
    </tableColumn>
    <tableColumn id="15" xr3:uid="{EED040D1-B364-4D44-B657-340EFF426D39}" name=" TR WIN" dataDxfId="950">
      <calculatedColumnFormula>IF(N17&gt;= 0,N17,0)</calculatedColumnFormula>
    </tableColumn>
    <tableColumn id="16" xr3:uid="{9647B9C9-3E6A-4288-8C8A-EB585E3976BF}" name=" TR LOSS" dataDxfId="949">
      <calculatedColumnFormula>IF(N17&lt;0,N17,0)</calculatedColumnFormula>
    </tableColumn>
    <tableColumn id="33" xr3:uid="{26501DD6-B0BD-4C5F-9719-095EAB3AB922}" name="Initial Losing Trade" dataDxfId="948">
      <calculatedColumnFormula>IF(AND(OFFSET(Tabla33610673[[#This Row],[Equity]],1,0)="",Tabla33610673[[#This Row],[No. of Rs]]&lt;0),"Yes",IF(AND(OFFSET(Tabla33610673[[#This Row],[Initial Losing Trade]],1,0)="Yes",Tabla33610673[[#This Row],[No. of Rs]]&lt;0),"Yes","No"))</calculatedColumnFormula>
    </tableColumn>
    <tableColumn id="30" xr3:uid="{A8942EA1-B60F-4060-B354-A9A5319F7BAB}" name="Equity" dataDxfId="947">
      <calculatedColumnFormula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calculatedColumnFormula>
    </tableColumn>
    <tableColumn id="32" xr3:uid="{AD3EBF58-B5B4-4F53-80F1-2B58CD7E638D}" name="Equity Peak" dataDxfId="946">
      <calculatedColumnFormula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calculatedColumnFormula>
    </tableColumn>
    <tableColumn id="31" xr3:uid="{398F8D3E-58DA-43C6-A52E-D88D257A4E77}" name="Drawdown" dataDxfId="945">
      <calculatedColumnFormula>IF(Tabla33610673[[#This Row],[Equity]]&lt;Tabla33610673[[#This Row],[Equity Peak]],(Tabla33610673[[#This Row],[Equity Peak]]-Tabla33610673[[#This Row],[Equity]])/Tabla33610673[[#This Row],[Equity Peak]],"")</calculatedColumnFormula>
    </tableColumn>
    <tableColumn id="17" xr3:uid="{884048EE-E192-4CDD-AC98-589F1C40B528}" name="Currency" dataDxfId="944">
      <calculatedColumnFormula>IF(B17="FX",N17,0)</calculatedColumnFormula>
    </tableColumn>
    <tableColumn id="18" xr3:uid="{7A4ED22B-3893-4DF6-B718-4A8D7B5B6C84}" name="Heat3" dataDxfId="943">
      <calculatedColumnFormula>IF(D17="O",IF(V17&lt;0,V17,0),0)</calculatedColumnFormula>
    </tableColumn>
    <tableColumn id="19" xr3:uid="{10339926-36C5-4D13-A0BC-39A5BBCA82EF}" name="Commodities" dataDxfId="942">
      <calculatedColumnFormula>IF(B17="COM",N17,0)</calculatedColumnFormula>
    </tableColumn>
    <tableColumn id="20" xr3:uid="{2270C49F-0D13-4C03-9BE1-255E683E3EFC}" name="Heat4" dataDxfId="941">
      <calculatedColumnFormula>IF(D17="O",IF(X17&lt;0,X17,0),0)</calculatedColumnFormula>
    </tableColumn>
    <tableColumn id="21" xr3:uid="{CA210692-9647-419E-BD1D-4DBA4A103ABB}" name="Index" dataDxfId="940">
      <calculatedColumnFormula>IF(B17="IND",N17,0)</calculatedColumnFormula>
    </tableColumn>
    <tableColumn id="22" xr3:uid="{40222399-5374-4E90-B67A-E1D2EECADABB}" name="Heat5" dataDxfId="939">
      <calculatedColumnFormula>IF(D17="O",IF(Z17&lt;0,Z17,0),0)</calculatedColumnFormula>
    </tableColumn>
    <tableColumn id="27" xr3:uid="{AA5E82E1-0C9C-4564-93CE-89D5B82DCA91}" name="Cryptocurrency" dataDxfId="938">
      <calculatedColumnFormula>IF(B17="CRYPTO",N17,0)</calculatedColumnFormula>
    </tableColumn>
    <tableColumn id="28" xr3:uid="{ED02066B-D18D-4824-9807-83D29C3666FF}" name="Heat6" dataDxfId="937">
      <calculatedColumnFormula>IF(D17="O",IF(AB17&lt;0,AB17,0),0)</calculatedColumnFormula>
    </tableColumn>
    <tableColumn id="23" xr3:uid="{06E8FBB8-DB6F-405D-AB12-B3463C16A22E}" name="Length of _x000a_Trade" dataDxfId="936">
      <calculatedColumnFormula>IF(K17&lt;&gt;"",K17-E17,0)</calculatedColumnFormula>
    </tableColumn>
    <tableColumn id="24" xr3:uid="{BBBC94FC-0CD0-47C9-A958-1315A25086C3}" name="Win" dataDxfId="935">
      <calculatedColumnFormula>IF(N17&gt;0,AD17,0)</calculatedColumnFormula>
    </tableColumn>
    <tableColumn id="25" xr3:uid="{2797C778-0647-4B10-ADD9-4878ED310DDC}" name="Loss" dataDxfId="934">
      <calculatedColumnFormula>IF(N17&lt;0,AD17,0)</calculatedColumnFormula>
    </tableColumn>
    <tableColumn id="26" xr3:uid="{FEE65B8C-AC5A-4B4F-A845-03F48884A072}" name="Breakeven" dataDxfId="933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2" displayName="Table2" ref="A1:E6" totalsRowShown="0" headerRowDxfId="930" dataDxfId="929" headerRowCellStyle="Normal 2" dataCellStyle="Normal 2">
  <autoFilter ref="A1:E6" xr:uid="{00000000-0009-0000-0100-000001000000}"/>
  <tableColumns count="5">
    <tableColumn id="1" xr3:uid="{00000000-0010-0000-0100-000001000000}" name="Date" dataDxfId="928" dataCellStyle="Normal 2"/>
    <tableColumn id="2" xr3:uid="{00000000-0010-0000-0100-000002000000}" name="Profits in TR" dataDxfId="927" dataCellStyle="Normal 2"/>
    <tableColumn id="4" xr3:uid="{00000000-0010-0000-0100-000004000000}" name="$ Value of TR" dataDxfId="926" dataCellStyle="Normal 2"/>
    <tableColumn id="5" xr3:uid="{00000000-0010-0000-0100-000005000000}" name="Profits in $" dataDxfId="925" dataCellStyle="Normal 2"/>
    <tableColumn id="6" xr3:uid="{00000000-0010-0000-0100-000006000000}" name="Cumulative Equity" dataDxfId="924" dataCellStyle="Normal 2">
      <calculatedColumnFormula>IF(Table2[[#This Row],[Date]]=MIN(Table2[Date]),Table2[[#This Row],[Profits in $]],SUMIFS(Table2[Profits in $],Table2[Date],MIN(Table2[Date]))+Table2[[#This Row],[Profits in $]])</calculatedColumnFormula>
    </tableColumn>
  </tableColumns>
  <tableStyleInfo name="TableStyleMedium9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Inst" displayName="Inst" ref="A1:B22" totalsRowShown="0">
  <autoFilter ref="A1:B22" xr:uid="{00000000-0009-0000-0100-000004000000}"/>
  <tableColumns count="2">
    <tableColumn id="1" xr3:uid="{00000000-0010-0000-0200-000001000000}" name="Sheet Name"/>
    <tableColumn id="2" xr3:uid="{00000000-0010-0000-0200-000002000000}" name="Instrument"/>
  </tableColumns>
  <tableStyleInfo name="TableStyleLight9" showFirstColumn="0" showLastColumn="0" showRowStripes="1" showColumnStripes="1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D115F30-25FC-4A93-9F54-058DF5C350C7}" name="Tabla3361067348" displayName="Tabla3361067348" ref="B16:AG17" insertRow="1" totalsRowShown="0" headerRowDxfId="915" dataDxfId="914">
  <autoFilter ref="B16:AG17" xr:uid="{00000000-0009-0000-0100-000009000000}"/>
  <sortState xmlns:xlrd2="http://schemas.microsoft.com/office/spreadsheetml/2017/richdata2" ref="B17:AG17">
    <sortCondition descending="1" ref="D16:D17"/>
  </sortState>
  <tableColumns count="32">
    <tableColumn id="1" xr3:uid="{E9BFDD93-1840-4127-8B17-C17CE84F1872}" name="Inst" dataDxfId="913"/>
    <tableColumn id="2" xr3:uid="{59A489DF-925E-4074-9726-3CF1F649768D}" name="L/S" dataDxfId="912"/>
    <tableColumn id="3" xr3:uid="{B19E5F55-6E9A-415A-8B1B-722A2A2EA243}" name="O/C" dataDxfId="911">
      <calculatedColumnFormula>IF(E17&lt;&gt;"",IF(K17&lt;&gt;"","C","O"),"")</calculatedColumnFormula>
    </tableColumn>
    <tableColumn id="4" xr3:uid="{FAF03623-4A90-40C5-9582-F3D97CE3601C}" name="DATE" dataDxfId="910"/>
    <tableColumn id="5" xr3:uid="{5873CC0B-5B6C-4551-AC38-460A38A3AC59}" name="INST." dataDxfId="909"/>
    <tableColumn id="6" xr3:uid="{42FB14B4-8692-4591-990A-E505185C411C}" name="ENTRY " dataDxfId="908"/>
    <tableColumn id="7" xr3:uid="{074A08F7-2E71-4163-9605-7B0CDD91E9DF}" name="STOP " dataDxfId="907"/>
    <tableColumn id="8" xr3:uid="{9B60959D-F2BC-482A-AB4C-EEDB88698F95}" name="TR_x000a_(in Pips)" dataDxfId="906">
      <calculatedColumnFormula>ABS(G17-H17)</calculatedColumnFormula>
    </tableColumn>
    <tableColumn id="9" xr3:uid="{C8B6CD34-0E0C-48F8-9E97-9B9BC1320E40}" name="TARGET" dataDxfId="905"/>
    <tableColumn id="10" xr3:uid="{4280FF29-26E4-4012-9CAE-A83D56336DB9}" name="DATE2" dataDxfId="904"/>
    <tableColumn id="11" xr3:uid="{6316768D-C24C-42F3-A168-BEBA8B315D46}" name="EXIT" dataDxfId="903"/>
    <tableColumn id="12" xr3:uid="{9D056B64-0A38-4F8C-9BE1-341E38B43297}" name="RESULT" dataDxfId="902">
      <calculatedColumnFormula>ROUND(IF(C17="L",(L17-G17),(G17-L17)),4)</calculatedColumnFormula>
    </tableColumn>
    <tableColumn id="13" xr3:uid="{D325A67B-0A5C-4873-BF22-8110AA7DD6F5}" name="No. of Rs" dataDxfId="901">
      <calculatedColumnFormula>IFERROR(ROUND((M17/I17),2),"")</calculatedColumnFormula>
    </tableColumn>
    <tableColumn id="14" xr3:uid="{94BFC759-0CD7-4AB3-86FE-9C3CFC481008}" name="Heat" dataDxfId="900">
      <calculatedColumnFormula>IF(D17="O",IF(N17&lt;0,N17,0),0)</calculatedColumnFormula>
    </tableColumn>
    <tableColumn id="15" xr3:uid="{0DBEC2DC-92B9-4DB5-9924-6F5D8A894AB0}" name=" TR WIN" dataDxfId="899">
      <calculatedColumnFormula>IF(N17&gt;= 0,N17,0)</calculatedColumnFormula>
    </tableColumn>
    <tableColumn id="16" xr3:uid="{740B4C97-6829-440F-9F2F-99196F5953C2}" name=" TR LOSS" dataDxfId="898">
      <calculatedColumnFormula>IF(N17&lt;0,N17,0)</calculatedColumnFormula>
    </tableColumn>
    <tableColumn id="33" xr3:uid="{01A9AE4B-A688-40BD-9E3A-A00CE741281F}" name="Initial Losing Trade" dataDxfId="897">
      <calculatedColumnFormula>IF(AND(OFFSET(Tabla3361067348[[#This Row],[Equity]],1,0)="",Tabla3361067348[[#This Row],[No. of Rs]]&lt;0),"Yes",IF(AND(OFFSET(Tabla3361067348[[#This Row],[Initial Losing Trade]],1,0)="Yes",Tabla3361067348[[#This Row],[No. of Rs]]&lt;0),"Yes","No"))</calculatedColumnFormula>
    </tableColumn>
    <tableColumn id="30" xr3:uid="{A2D09DE5-D593-4C46-ADEB-36D524C7B576}" name="Equity" dataDxfId="896">
      <calculatedColumnFormula>IF(OFFSET(Tabla3361067348[[#This Row],[Equity]],1,0)="",IF(Tabla3361067348[[#This Row],[No. of Rs]]="",$F$11,$F$11+($F$11*Tabla3361067348[[#This Row],[No. of Rs]]/100)),IF(Tabla3361067348[[#This Row],[No. of Rs]]="",OFFSET(Tabla3361067348[[#This Row],[Equity]],1,0),OFFSET(Tabla3361067348[[#This Row],[Equity]],1,0)+($F$11*Tabla3361067348[[#This Row],[No. of Rs]]/100)))</calculatedColumnFormula>
    </tableColumn>
    <tableColumn id="32" xr3:uid="{D3446AD1-A93A-4723-93DA-DB220EB75935}" name="Equity Peak" dataDxfId="895">
      <calculatedColumnFormula>IF(OFFSET(Tabla3361067348[[#This Row],[Equity Peak]],1,0)="",IF(Tabla3361067348[[#This Row],[Initial Losing Trade]]="Yes",$F$11,Tabla3361067348[[#This Row],[Equity]]),IF(OFFSET(Tabla3361067348[[#This Row],[Equity Peak]],1,0)&gt;Tabla3361067348[[#This Row],[Equity]],OFFSET(Tabla3361067348[[#This Row],[Equity Peak]],1,0),Tabla3361067348[[#This Row],[Equity]]))</calculatedColumnFormula>
    </tableColumn>
    <tableColumn id="31" xr3:uid="{B1087D81-48DB-4F73-B0F5-436F28159638}" name="Drawdown" dataDxfId="894">
      <calculatedColumnFormula>IF(Tabla3361067348[[#This Row],[Equity]]&lt;Tabla3361067348[[#This Row],[Equity Peak]],(Tabla3361067348[[#This Row],[Equity Peak]]-Tabla3361067348[[#This Row],[Equity]])/Tabla3361067348[[#This Row],[Equity Peak]],"")</calculatedColumnFormula>
    </tableColumn>
    <tableColumn id="17" xr3:uid="{27355424-BDF7-45F9-B5B9-1D0591BE25FE}" name="Currency" dataDxfId="893">
      <calculatedColumnFormula>IF(B17="FX",N17,0)</calculatedColumnFormula>
    </tableColumn>
    <tableColumn id="18" xr3:uid="{03A9C943-83D6-4C90-9FED-1CD41C89DD61}" name="Heat3" dataDxfId="892">
      <calculatedColumnFormula>IF(D17="O",IF(V17&lt;0,V17,0),0)</calculatedColumnFormula>
    </tableColumn>
    <tableColumn id="19" xr3:uid="{DFEFD9CD-474D-4341-8983-24B2DC09734B}" name="Commodities" dataDxfId="891">
      <calculatedColumnFormula>IF(B17="COM",N17,0)</calculatedColumnFormula>
    </tableColumn>
    <tableColumn id="20" xr3:uid="{F5DF204E-D500-4C80-B234-80AAF26492E3}" name="Heat4" dataDxfId="890">
      <calculatedColumnFormula>IF(D17="O",IF(X17&lt;0,X17,0),0)</calculatedColumnFormula>
    </tableColumn>
    <tableColumn id="21" xr3:uid="{DFCD6A4A-5137-4D08-9890-B9C2C39BFBE8}" name="Index" dataDxfId="889">
      <calculatedColumnFormula>IF(B17="IND",N17,0)</calculatedColumnFormula>
    </tableColumn>
    <tableColumn id="22" xr3:uid="{A7E70DB3-D8CF-4FDB-8D24-06D2B658F240}" name="Heat5" dataDxfId="888">
      <calculatedColumnFormula>IF(D17="O",IF(Z17&lt;0,Z17,0),0)</calculatedColumnFormula>
    </tableColumn>
    <tableColumn id="27" xr3:uid="{7559D316-E562-42B2-8916-54ED8FA60899}" name="Cryptocurrency" dataDxfId="887">
      <calculatedColumnFormula>IF(B17="CRYPTO",N17,0)</calculatedColumnFormula>
    </tableColumn>
    <tableColumn id="28" xr3:uid="{0C11D3E6-F52F-4669-8A69-1AAC98E2CEAF}" name="Heat6" dataDxfId="886">
      <calculatedColumnFormula>IF(D17="O",IF(AB17&lt;0,AB17,0),0)</calculatedColumnFormula>
    </tableColumn>
    <tableColumn id="23" xr3:uid="{9FBFA019-C035-4153-9E69-4F2981D13DA7}" name="Length of _x000a_Trade" dataDxfId="885">
      <calculatedColumnFormula>IF(K17&lt;&gt;"",K17-E17,0)</calculatedColumnFormula>
    </tableColumn>
    <tableColumn id="24" xr3:uid="{F119A218-CB9A-4385-A401-E93C27DDEAEF}" name="Win" dataDxfId="884">
      <calculatedColumnFormula>IF(N17&gt;0,AD17,0)</calculatedColumnFormula>
    </tableColumn>
    <tableColumn id="25" xr3:uid="{BC6204BE-303F-4D53-BA39-69CCAB605F30}" name="Loss" dataDxfId="883">
      <calculatedColumnFormula>IF(N17&lt;0,AD17,0)</calculatedColumnFormula>
    </tableColumn>
    <tableColumn id="26" xr3:uid="{49C2BD18-6B20-450F-919F-C592D0362164}" name="Breakeven" dataDxfId="882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61022A7-7945-456D-83FF-935DEF6777D9}" name="Tabla336106734813" displayName="Tabla336106734813" ref="B16:AG39" totalsRowShown="0" headerRowDxfId="873" dataDxfId="872">
  <autoFilter ref="B16:AG39" xr:uid="{00000000-0009-0000-0100-000009000000}"/>
  <sortState xmlns:xlrd2="http://schemas.microsoft.com/office/spreadsheetml/2017/richdata2" ref="B17:AG39">
    <sortCondition descending="1" ref="D16:D39"/>
  </sortState>
  <tableColumns count="32">
    <tableColumn id="1" xr3:uid="{26FEA02E-FE5A-4E88-9595-F8813FDEED2D}" name="Inst" dataDxfId="871"/>
    <tableColumn id="2" xr3:uid="{DF10D74B-B9ED-40ED-BBC3-7018276EBB3D}" name="L/S" dataDxfId="870"/>
    <tableColumn id="3" xr3:uid="{2DF55E6B-4022-45C9-A1D2-AEB2D23CC8C9}" name="O/C" dataDxfId="869">
      <calculatedColumnFormula>IF(E17&lt;&gt;"",IF(K17&lt;&gt;"","C","O"),"")</calculatedColumnFormula>
    </tableColumn>
    <tableColumn id="4" xr3:uid="{B229CD62-475E-48C2-A3E8-88EAFB238027}" name="DATE" dataDxfId="868"/>
    <tableColumn id="5" xr3:uid="{623E9A9A-4BAF-47DF-8211-28597D99040F}" name="INST." dataDxfId="867"/>
    <tableColumn id="6" xr3:uid="{4E57CAB1-68FC-4FA7-922B-738477898886}" name="ENTRY " dataDxfId="866"/>
    <tableColumn id="7" xr3:uid="{584A0059-7399-4641-A6D4-2FF6B36CE4E7}" name="STOP " dataDxfId="865"/>
    <tableColumn id="8" xr3:uid="{D3EDD3B3-75DA-44FB-9DDE-EBEF65FE030F}" name="TR_x000a_(in Pips)" dataDxfId="864">
      <calculatedColumnFormula>ABS(G17-H17)</calculatedColumnFormula>
    </tableColumn>
    <tableColumn id="9" xr3:uid="{8E69BE04-5250-47DA-BBC1-555360F8DB0F}" name="TARGET" dataDxfId="863"/>
    <tableColumn id="10" xr3:uid="{B4AE8AE4-F6CF-49D9-84AA-D992D5059D9D}" name="DATE2" dataDxfId="862"/>
    <tableColumn id="11" xr3:uid="{05EA02D2-62C1-401C-BFA0-7D80FB47ED08}" name="EXIT" dataDxfId="861"/>
    <tableColumn id="12" xr3:uid="{6B27CC51-009B-4B75-B495-312E01AE2DBD}" name="RESULT" dataDxfId="860">
      <calculatedColumnFormula>ROUND(IF(C17="L",(L17-G17),(G17-L17)),4)</calculatedColumnFormula>
    </tableColumn>
    <tableColumn id="13" xr3:uid="{56FBCFA6-EA9F-4EC7-A41B-FB885582C200}" name="No. of Rs" dataDxfId="859">
      <calculatedColumnFormula>IFERROR(ROUND((M17/I17),2),"")</calculatedColumnFormula>
    </tableColumn>
    <tableColumn id="14" xr3:uid="{A817B86F-F06F-4A16-9932-E296FF124668}" name="Heat" dataDxfId="858">
      <calculatedColumnFormula>IF(D17="O",IF(N17&lt;0,N17,0),0)</calculatedColumnFormula>
    </tableColumn>
    <tableColumn id="15" xr3:uid="{D38A64DE-6FF1-44B6-97D2-CAE79866B972}" name=" TR WIN" dataDxfId="857">
      <calculatedColumnFormula>IF(N17&gt;= 0,N17,0)</calculatedColumnFormula>
    </tableColumn>
    <tableColumn id="16" xr3:uid="{AE7DD8A6-9896-4182-975E-C3EDDB3A8960}" name=" TR LOSS" dataDxfId="856">
      <calculatedColumnFormula>IF(N17&lt;0,N17,0)</calculatedColumnFormula>
    </tableColumn>
    <tableColumn id="33" xr3:uid="{3A0A8B37-71C4-41B9-AC96-51F6FF36291A}" name="Initial Losing Trade" dataDxfId="855">
      <calculatedColumnFormula>IF(AND(OFFSET(Tabla336106734813[[#This Row],[Equity]],1,0)="",Tabla336106734813[[#This Row],[No. of Rs]]&lt;0),"Yes",IF(AND(OFFSET(Tabla336106734813[[#This Row],[Initial Losing Trade]],1,0)="Yes",Tabla336106734813[[#This Row],[No. of Rs]]&lt;0),"Yes","No"))</calculatedColumnFormula>
    </tableColumn>
    <tableColumn id="30" xr3:uid="{604DC1C2-78EE-4342-B88A-7BDD21FAE72B}" name="Equity" dataDxfId="854">
      <calculatedColumnFormula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calculatedColumnFormula>
    </tableColumn>
    <tableColumn id="32" xr3:uid="{CEE34B69-5438-4D2E-8B9F-D48BC17B07C2}" name="Equity Peak" dataDxfId="853">
      <calculatedColumnFormula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calculatedColumnFormula>
    </tableColumn>
    <tableColumn id="31" xr3:uid="{CF37EC3B-9584-412F-ACE9-54865C553FBA}" name="Drawdown" dataDxfId="852">
      <calculatedColumnFormula>IF(Tabla336106734813[[#This Row],[Equity]]&lt;Tabla336106734813[[#This Row],[Equity Peak]],(Tabla336106734813[[#This Row],[Equity Peak]]-Tabla336106734813[[#This Row],[Equity]])/Tabla336106734813[[#This Row],[Equity Peak]],"")</calculatedColumnFormula>
    </tableColumn>
    <tableColumn id="17" xr3:uid="{3AC7D6E7-50E7-45C9-9D73-B027EF79F575}" name="Currency" dataDxfId="851">
      <calculatedColumnFormula>IF(B17="FX",N17,0)</calculatedColumnFormula>
    </tableColumn>
    <tableColumn id="18" xr3:uid="{FC78AB53-C47A-40A4-8021-A7F0766FB417}" name="Heat3" dataDxfId="850">
      <calculatedColumnFormula>IF(D17="O",IF(V17&lt;0,V17,0),0)</calculatedColumnFormula>
    </tableColumn>
    <tableColumn id="19" xr3:uid="{96D72B30-D16B-43B0-8474-C7143EE55285}" name="Commodities" dataDxfId="849">
      <calculatedColumnFormula>IF(B17="COM",N17,0)</calculatedColumnFormula>
    </tableColumn>
    <tableColumn id="20" xr3:uid="{F46FCB86-C99F-48E0-9E9D-9B782E9C747F}" name="Heat4" dataDxfId="848">
      <calculatedColumnFormula>IF(D17="O",IF(X17&lt;0,X17,0),0)</calculatedColumnFormula>
    </tableColumn>
    <tableColumn id="21" xr3:uid="{9AEB3DC8-8C5A-4BEC-9483-CF8FA4C60B12}" name="Index" dataDxfId="847">
      <calculatedColumnFormula>IF(B17="IND",N17,0)</calculatedColumnFormula>
    </tableColumn>
    <tableColumn id="22" xr3:uid="{A219B268-A666-438A-80C5-A8EAB0D5D103}" name="Heat5" dataDxfId="846">
      <calculatedColumnFormula>IF(D17="O",IF(Z17&lt;0,Z17,0),0)</calculatedColumnFormula>
    </tableColumn>
    <tableColumn id="27" xr3:uid="{7CD7B1B6-858B-4946-AACC-A289014CA82C}" name="Cryptocurrency" dataDxfId="845">
      <calculatedColumnFormula>IF(B17="CRYPTO",N17,0)</calculatedColumnFormula>
    </tableColumn>
    <tableColumn id="28" xr3:uid="{C426D29F-5FF4-4656-A2AB-36D1095E316D}" name="Heat6" dataDxfId="844">
      <calculatedColumnFormula>IF(D17="O",IF(AB17&lt;0,AB17,0),0)</calculatedColumnFormula>
    </tableColumn>
    <tableColumn id="23" xr3:uid="{8D60E46D-090E-4A11-83EC-A6F8A0AFA548}" name="Length of _x000a_Trade" dataDxfId="843">
      <calculatedColumnFormula>IF(K17&lt;&gt;"",K17-E17,0)</calculatedColumnFormula>
    </tableColumn>
    <tableColumn id="24" xr3:uid="{EC85F3EF-A34F-4D18-8EEC-E965D681AE04}" name="Win" dataDxfId="842">
      <calculatedColumnFormula>IF(N17&gt;0,AD17,0)</calculatedColumnFormula>
    </tableColumn>
    <tableColumn id="25" xr3:uid="{E167C110-2C83-44EE-AC3A-09599069B8EE}" name="Loss" dataDxfId="841">
      <calculatedColumnFormula>IF(N17&lt;0,AD17,0)</calculatedColumnFormula>
    </tableColumn>
    <tableColumn id="26" xr3:uid="{1ADDD2BF-65EE-4559-82D0-D8951CB69A44}" name="Breakeven" dataDxfId="840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FA5DBD5-4765-4E03-9522-DE53AB8CC389}" name="Tabla336106734814" displayName="Tabla336106734814" ref="B16:AG34" totalsRowShown="0" headerRowDxfId="831" dataDxfId="830">
  <autoFilter ref="B16:AG34" xr:uid="{00000000-0009-0000-0100-000009000000}"/>
  <sortState xmlns:xlrd2="http://schemas.microsoft.com/office/spreadsheetml/2017/richdata2" ref="B17:AG34">
    <sortCondition descending="1" ref="D16:D34"/>
  </sortState>
  <tableColumns count="32">
    <tableColumn id="1" xr3:uid="{6278F660-BD19-4453-98B9-88863255EA85}" name="Inst" dataDxfId="829"/>
    <tableColumn id="2" xr3:uid="{9FF96BAD-1A7F-4B79-9E09-DAD11F967E02}" name="L/S" dataDxfId="828"/>
    <tableColumn id="3" xr3:uid="{9888ABB0-4977-4783-89DC-D01BE795A1DD}" name="O/C" dataDxfId="827">
      <calculatedColumnFormula>IF(E17&lt;&gt;"",IF(K17&lt;&gt;"","C","O"),"")</calculatedColumnFormula>
    </tableColumn>
    <tableColumn id="4" xr3:uid="{9B7726A0-CC13-4907-93A6-77078F79E176}" name="DATE" dataDxfId="826"/>
    <tableColumn id="5" xr3:uid="{E5A80FD6-C5F2-4087-A30C-50F064ECF3AE}" name="INST." dataDxfId="825"/>
    <tableColumn id="6" xr3:uid="{65436114-3AA2-491F-8338-43F3CC96C102}" name="ENTRY " dataDxfId="824"/>
    <tableColumn id="7" xr3:uid="{DBB964E9-5332-408B-9DA2-07EB1A69BB45}" name="STOP " dataDxfId="823"/>
    <tableColumn id="8" xr3:uid="{D1CAC22D-EFD8-4888-89ED-6EB19FE94A5F}" name="TR_x000a_(in Pips)" dataDxfId="822">
      <calculatedColumnFormula>ABS(G17-H17)</calculatedColumnFormula>
    </tableColumn>
    <tableColumn id="9" xr3:uid="{8F31CA4F-3A1E-4F88-94B4-FBEE0E716DCC}" name="TARGET" dataDxfId="821"/>
    <tableColumn id="10" xr3:uid="{76080266-595E-4465-B163-85DCD173C34B}" name="DATE2" dataDxfId="820"/>
    <tableColumn id="11" xr3:uid="{0861FDC0-55C1-4B70-B0BA-7406D47436E8}" name="EXIT" dataDxfId="819"/>
    <tableColumn id="12" xr3:uid="{6C6D6F49-C7A5-48D0-8E09-FEAB059A9ACB}" name="RESULT" dataDxfId="818">
      <calculatedColumnFormula>ROUND(IF(C17="L",(L17-G17),(G17-L17)),4)</calculatedColumnFormula>
    </tableColumn>
    <tableColumn id="13" xr3:uid="{F5BA813B-49C5-4C8C-B466-DB07A162D02E}" name="No. of Rs" dataDxfId="817">
      <calculatedColumnFormula>IFERROR(ROUND((M17/I17),2),"")</calculatedColumnFormula>
    </tableColumn>
    <tableColumn id="14" xr3:uid="{59DFF6E7-5E37-46EE-A909-18C7FAB973B3}" name="Heat" dataDxfId="816">
      <calculatedColumnFormula>IF(D17="O",IF(N17&lt;0,N17,0),0)</calculatedColumnFormula>
    </tableColumn>
    <tableColumn id="15" xr3:uid="{777CEC87-298E-4313-8EF7-E4F25519BCB9}" name=" TR WIN" dataDxfId="815">
      <calculatedColumnFormula>IF(N17&gt;= 0,N17,0)</calculatedColumnFormula>
    </tableColumn>
    <tableColumn id="16" xr3:uid="{7605433A-2200-4124-B6C1-2683014176C0}" name=" TR LOSS" dataDxfId="814">
      <calculatedColumnFormula>IF(N17&lt;0,N17,0)</calculatedColumnFormula>
    </tableColumn>
    <tableColumn id="33" xr3:uid="{07EBCEB6-6853-45FD-8E56-4E097EBE3036}" name="Initial Losing Trade" dataDxfId="813">
      <calculatedColumnFormula>IF(AND(OFFSET(Tabla336106734814[[#This Row],[Equity]],1,0)="",Tabla336106734814[[#This Row],[No. of Rs]]&lt;0),"Yes",IF(AND(OFFSET(Tabla336106734814[[#This Row],[Initial Losing Trade]],1,0)="Yes",Tabla336106734814[[#This Row],[No. of Rs]]&lt;0),"Yes","No"))</calculatedColumnFormula>
    </tableColumn>
    <tableColumn id="30" xr3:uid="{788AD180-E205-4C84-B09C-F4795B0E67F2}" name="Equity" dataDxfId="812">
      <calculatedColumnFormula>IF(OFFSET(Tabla336106734814[[#This Row],[Equity]],1,0)="",IF(Tabla336106734814[[#This Row],[No. of Rs]]="",$F$11,$F$11+($F$11*Tabla336106734814[[#This Row],[No. of Rs]]/100)),IF(Tabla336106734814[[#This Row],[No. of Rs]]="",OFFSET(Tabla336106734814[[#This Row],[Equity]],1,0),OFFSET(Tabla336106734814[[#This Row],[Equity]],1,0)+($F$11*Tabla336106734814[[#This Row],[No. of Rs]]/100)))</calculatedColumnFormula>
    </tableColumn>
    <tableColumn id="32" xr3:uid="{FA80D3E3-8572-46EF-B89F-088D2070E503}" name="Equity Peak" dataDxfId="811">
      <calculatedColumnFormula>IF(OFFSET(Tabla336106734814[[#This Row],[Equity Peak]],1,0)="",IF(Tabla336106734814[[#This Row],[Initial Losing Trade]]="Yes",$F$11,Tabla336106734814[[#This Row],[Equity]]),IF(OFFSET(Tabla336106734814[[#This Row],[Equity Peak]],1,0)&gt;Tabla336106734814[[#This Row],[Equity]],OFFSET(Tabla336106734814[[#This Row],[Equity Peak]],1,0),Tabla336106734814[[#This Row],[Equity]]))</calculatedColumnFormula>
    </tableColumn>
    <tableColumn id="31" xr3:uid="{6534E34D-C16C-4E45-B5DE-D31DA91CE4ED}" name="Drawdown" dataDxfId="810">
      <calculatedColumnFormula>IF(Tabla336106734814[[#This Row],[Equity]]&lt;Tabla336106734814[[#This Row],[Equity Peak]],(Tabla336106734814[[#This Row],[Equity Peak]]-Tabla336106734814[[#This Row],[Equity]])/Tabla336106734814[[#This Row],[Equity Peak]],"")</calculatedColumnFormula>
    </tableColumn>
    <tableColumn id="17" xr3:uid="{DA49A929-8473-4BBE-9E05-2A3AA82E7027}" name="Currency" dataDxfId="809">
      <calculatedColumnFormula>IF(B17="FX",N17,0)</calculatedColumnFormula>
    </tableColumn>
    <tableColumn id="18" xr3:uid="{EB537A12-461A-45D4-A3D8-3583CBD83881}" name="Heat3" dataDxfId="808">
      <calculatedColumnFormula>IF(D17="O",IF(V17&lt;0,V17,0),0)</calculatedColumnFormula>
    </tableColumn>
    <tableColumn id="19" xr3:uid="{5DDAF362-6063-47FB-B52A-6CF71F09956B}" name="Commodities" dataDxfId="807">
      <calculatedColumnFormula>IF(B17="COM",N17,0)</calculatedColumnFormula>
    </tableColumn>
    <tableColumn id="20" xr3:uid="{6CA86B48-B0DC-4763-85E2-994B6CE656DB}" name="Heat4" dataDxfId="806">
      <calculatedColumnFormula>IF(D17="O",IF(X17&lt;0,X17,0),0)</calculatedColumnFormula>
    </tableColumn>
    <tableColumn id="21" xr3:uid="{8A93D51F-D287-4EA9-AED4-6713A4861561}" name="Index" dataDxfId="805">
      <calculatedColumnFormula>IF(B17="IND",N17,0)</calculatedColumnFormula>
    </tableColumn>
    <tableColumn id="22" xr3:uid="{34ED5AFC-FE71-466C-AE5B-780338718A97}" name="Heat5" dataDxfId="804">
      <calculatedColumnFormula>IF(D17="O",IF(Z17&lt;0,Z17,0),0)</calculatedColumnFormula>
    </tableColumn>
    <tableColumn id="27" xr3:uid="{BD483C91-D1F5-4F5D-ABBE-7FC644353F3B}" name="Cryptocurrency" dataDxfId="803">
      <calculatedColumnFormula>IF(B17="CRYPTO",N17,0)</calculatedColumnFormula>
    </tableColumn>
    <tableColumn id="28" xr3:uid="{39A7E762-1656-4B7C-B6F3-2473B51D539F}" name="Heat6" dataDxfId="802">
      <calculatedColumnFormula>IF(D17="O",IF(AB17&lt;0,AB17,0),0)</calculatedColumnFormula>
    </tableColumn>
    <tableColumn id="23" xr3:uid="{4A4B52F0-FABE-4D8F-89AD-39597A6B9A43}" name="Length of _x000a_Trade" dataDxfId="801">
      <calculatedColumnFormula>IF(K17&lt;&gt;"",K17-E17,0)</calculatedColumnFormula>
    </tableColumn>
    <tableColumn id="24" xr3:uid="{CA9C6158-AED3-4C6E-817E-2457186AC6B0}" name="Win" dataDxfId="800">
      <calculatedColumnFormula>IF(N17&gt;0,AD17,0)</calculatedColumnFormula>
    </tableColumn>
    <tableColumn id="25" xr3:uid="{9D3806E8-D21B-4557-A4A2-FB13938AFC1B}" name="Loss" dataDxfId="799">
      <calculatedColumnFormula>IF(N17&lt;0,AD17,0)</calculatedColumnFormula>
    </tableColumn>
    <tableColumn id="26" xr3:uid="{7F05CA09-0391-409A-B531-B72B3FD6E42F}" name="Breakeven" dataDxfId="798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D997AB65-5058-4FEB-AA30-0CBFE2867F0D}" name="Tabla336106734819" displayName="Tabla336106734819" ref="B16:AG55" totalsRowShown="0" headerRowDxfId="789" dataDxfId="788">
  <autoFilter ref="B16:AG55" xr:uid="{00000000-0009-0000-0100-000009000000}"/>
  <sortState xmlns:xlrd2="http://schemas.microsoft.com/office/spreadsheetml/2017/richdata2" ref="B17:AG55">
    <sortCondition descending="1" ref="D16:D55"/>
  </sortState>
  <tableColumns count="32">
    <tableColumn id="1" xr3:uid="{DB3DD612-D8F2-4E46-8C1B-84AE94ABD616}" name="Inst" dataDxfId="787"/>
    <tableColumn id="2" xr3:uid="{8CB60B4D-4E2B-4B73-8B70-398766780F96}" name="L/S" dataDxfId="786"/>
    <tableColumn id="3" xr3:uid="{B8476183-3026-4CF2-85EB-CBB1496FE3F0}" name="O/C" dataDxfId="785">
      <calculatedColumnFormula>IF(E17&lt;&gt;"",IF(K17&lt;&gt;"","C","O"),"")</calculatedColumnFormula>
    </tableColumn>
    <tableColumn id="4" xr3:uid="{4FF14B4F-F006-4387-A514-684F509246E3}" name="DATE" dataDxfId="784"/>
    <tableColumn id="5" xr3:uid="{7D1340D5-FF40-48A2-B576-63A8A671892E}" name="INST." dataDxfId="783"/>
    <tableColumn id="6" xr3:uid="{4C864B5C-9976-4036-AC5E-FFB4622186CB}" name="ENTRY " dataDxfId="782"/>
    <tableColumn id="7" xr3:uid="{D7409DF7-CBBE-4693-B05F-14A12FAB1B64}" name="STOP " dataDxfId="781"/>
    <tableColumn id="8" xr3:uid="{ADE4B6D7-7CA0-42C7-AC7E-486B7A08F6A9}" name="TR_x000a_(in Pips)" dataDxfId="780">
      <calculatedColumnFormula>ABS(G17-H17)</calculatedColumnFormula>
    </tableColumn>
    <tableColumn id="9" xr3:uid="{ED352C41-4943-4DA5-B38C-CD984F2674C0}" name="TARGET" dataDxfId="779"/>
    <tableColumn id="10" xr3:uid="{326BAA2D-D1AC-4955-B28D-BE095D4C2F7D}" name="DATE2" dataDxfId="778"/>
    <tableColumn id="11" xr3:uid="{72007D05-6B00-4624-A27E-BBF4B2791221}" name="EXIT" dataDxfId="777"/>
    <tableColumn id="12" xr3:uid="{446BE1AB-6779-41BE-92B5-A2E55D901112}" name="RESULT" dataDxfId="776">
      <calculatedColumnFormula>ROUND(IF(C17="L",(L17-G17),(G17-L17)),4)</calculatedColumnFormula>
    </tableColumn>
    <tableColumn id="13" xr3:uid="{102C763A-588F-4913-BE57-6F6EBBCE7893}" name="No. of Rs" dataDxfId="775">
      <calculatedColumnFormula>IFERROR(ROUND((M17/I17),2),"")</calculatedColumnFormula>
    </tableColumn>
    <tableColumn id="14" xr3:uid="{C6B08105-3288-4CC1-AFFF-3107BAB37411}" name="Heat" dataDxfId="774">
      <calculatedColumnFormula>IF(D17="O",IF(N17&lt;0,N17,0),0)</calculatedColumnFormula>
    </tableColumn>
    <tableColumn id="15" xr3:uid="{2D446E33-65BA-4BA7-BFB9-654DAD0B044A}" name=" TR WIN" dataDxfId="773">
      <calculatedColumnFormula>IF(N17&gt;= 0,N17,0)</calculatedColumnFormula>
    </tableColumn>
    <tableColumn id="16" xr3:uid="{F64D228F-77D6-4FAC-904D-DCB14DBA406D}" name=" TR LOSS" dataDxfId="772">
      <calculatedColumnFormula>IF(N17&lt;0,N17,0)</calculatedColumnFormula>
    </tableColumn>
    <tableColumn id="33" xr3:uid="{49B1C41B-E64B-4BE7-808D-AE310A933C15}" name="Initial Losing Trade" dataDxfId="771">
      <calculatedColumnFormula>IF(AND(OFFSET(Tabla336106734819[[#This Row],[Equity]],1,0)="",Tabla336106734819[[#This Row],[No. of Rs]]&lt;0),"Yes",IF(AND(OFFSET(Tabla336106734819[[#This Row],[Initial Losing Trade]],1,0)="Yes",Tabla336106734819[[#This Row],[No. of Rs]]&lt;0),"Yes","No"))</calculatedColumnFormula>
    </tableColumn>
    <tableColumn id="30" xr3:uid="{16D8C511-640C-46A5-B1E1-110C15834EC1}" name="Equity" dataDxfId="770">
      <calculatedColumnFormula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calculatedColumnFormula>
    </tableColumn>
    <tableColumn id="32" xr3:uid="{84C585F2-4A83-4705-A4F5-D0C64039D261}" name="Equity Peak" dataDxfId="769">
      <calculatedColumnFormula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calculatedColumnFormula>
    </tableColumn>
    <tableColumn id="31" xr3:uid="{AB7526A0-A21C-4C35-831C-9B9AC708FAAF}" name="Drawdown" dataDxfId="768">
      <calculatedColumnFormula>IF(Tabla336106734819[[#This Row],[Equity]]&lt;Tabla336106734819[[#This Row],[Equity Peak]],(Tabla336106734819[[#This Row],[Equity Peak]]-Tabla336106734819[[#This Row],[Equity]])/Tabla336106734819[[#This Row],[Equity Peak]],"")</calculatedColumnFormula>
    </tableColumn>
    <tableColumn id="17" xr3:uid="{03F0E756-02EA-42A8-87CC-E512CE9F220C}" name="Currency" dataDxfId="767">
      <calculatedColumnFormula>IF(B17="FX",N17,0)</calculatedColumnFormula>
    </tableColumn>
    <tableColumn id="18" xr3:uid="{E77DBBAB-66A6-4E39-AA2A-89C4A594F247}" name="Heat3" dataDxfId="766">
      <calculatedColumnFormula>IF(D17="O",IF(V17&lt;0,V17,0),0)</calculatedColumnFormula>
    </tableColumn>
    <tableColumn id="19" xr3:uid="{279680F3-DB71-4120-B202-98689DC68E90}" name="Commodities" dataDxfId="765">
      <calculatedColumnFormula>IF(B17="COM",N17,0)</calculatedColumnFormula>
    </tableColumn>
    <tableColumn id="20" xr3:uid="{4CFDAA81-2F56-40FB-8E19-AEF52AB63D3D}" name="Heat4" dataDxfId="764">
      <calculatedColumnFormula>IF(D17="O",IF(X17&lt;0,X17,0),0)</calculatedColumnFormula>
    </tableColumn>
    <tableColumn id="21" xr3:uid="{029C7114-249E-4E61-BE1E-EFE2337B94A5}" name="Index" dataDxfId="763">
      <calculatedColumnFormula>IF(B17="IND",N17,0)</calculatedColumnFormula>
    </tableColumn>
    <tableColumn id="22" xr3:uid="{B511CC43-66DE-476B-8A9B-F59804257134}" name="Heat5" dataDxfId="762">
      <calculatedColumnFormula>IF(D17="O",IF(Z17&lt;0,Z17,0),0)</calculatedColumnFormula>
    </tableColumn>
    <tableColumn id="27" xr3:uid="{D18D1D8F-0707-43D1-8FEA-6888ABA61A84}" name="Cryptocurrency" dataDxfId="761">
      <calculatedColumnFormula>IF(B17="CRYPTO",N17,0)</calculatedColumnFormula>
    </tableColumn>
    <tableColumn id="28" xr3:uid="{135B4C70-AD83-4906-846B-3685F87CC628}" name="Heat6" dataDxfId="760">
      <calculatedColumnFormula>IF(D17="O",IF(AB17&lt;0,AB17,0),0)</calculatedColumnFormula>
    </tableColumn>
    <tableColumn id="23" xr3:uid="{2E1B7598-2DC1-4B47-93B8-5BF733FB90E1}" name="Length of _x000a_Trade" dataDxfId="759">
      <calculatedColumnFormula>IF(K17&lt;&gt;"",K17-E17,0)</calculatedColumnFormula>
    </tableColumn>
    <tableColumn id="24" xr3:uid="{C5A23CFF-60BA-4CD2-A30A-F067CBC20881}" name="Win" dataDxfId="758">
      <calculatedColumnFormula>IF(N17&gt;0,AD17,0)</calculatedColumnFormula>
    </tableColumn>
    <tableColumn id="25" xr3:uid="{BA61E8E9-BF63-4703-9CCE-7692F7B8D2D9}" name="Loss" dataDxfId="757">
      <calculatedColumnFormula>IF(N17&lt;0,AD17,0)</calculatedColumnFormula>
    </tableColumn>
    <tableColumn id="26" xr3:uid="{B10725A1-88C2-4211-9F31-6F83EF561B81}" name="Breakeven" dataDxfId="756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5D826ED-95A4-45A7-86DD-36C56102E5E3}" name="Tabla336106734815" displayName="Tabla336106734815" ref="B16:AG22" totalsRowShown="0" headerRowDxfId="747" dataDxfId="746">
  <autoFilter ref="B16:AG22" xr:uid="{00000000-0009-0000-0100-000009000000}"/>
  <sortState xmlns:xlrd2="http://schemas.microsoft.com/office/spreadsheetml/2017/richdata2" ref="B17:AG22">
    <sortCondition descending="1" ref="D16:D22"/>
  </sortState>
  <tableColumns count="32">
    <tableColumn id="1" xr3:uid="{F4DEFA17-6DA3-4933-9A3E-D86C95DC5A97}" name="Inst" dataDxfId="745"/>
    <tableColumn id="2" xr3:uid="{087DEC0F-5CC4-4706-A709-EB5C750912DC}" name="L/S" dataDxfId="744"/>
    <tableColumn id="3" xr3:uid="{CE8A70FB-B72E-47D6-8B22-35C83EE684B1}" name="O/C" dataDxfId="743">
      <calculatedColumnFormula>IF(E17&lt;&gt;"",IF(K17&lt;&gt;"","C","O"),"")</calculatedColumnFormula>
    </tableColumn>
    <tableColumn id="4" xr3:uid="{A2AB2C86-9C14-454E-8675-A2B4FE84F6DE}" name="DATE" dataDxfId="742"/>
    <tableColumn id="5" xr3:uid="{C69EEDFE-38CD-4449-9F51-496CC6F8FC2B}" name="INST." dataDxfId="741"/>
    <tableColumn id="6" xr3:uid="{C8696DE4-A621-4CF6-9FDC-9D0C13741DF5}" name="ENTRY " dataDxfId="740"/>
    <tableColumn id="7" xr3:uid="{CF187762-E7B9-4E64-84BC-CD1FAF95819F}" name="STOP " dataDxfId="739"/>
    <tableColumn id="8" xr3:uid="{6BA7469C-A691-4D72-B2DA-315A00BDD595}" name="TR_x000a_(in Pips)" dataDxfId="738">
      <calculatedColumnFormula>ABS(G17-H17)</calculatedColumnFormula>
    </tableColumn>
    <tableColumn id="9" xr3:uid="{00CD8357-6CC3-4F80-B0B4-EDFF5F8B49DE}" name="TARGET" dataDxfId="737"/>
    <tableColumn id="10" xr3:uid="{A9DEAC71-E6A1-4BCB-8853-8E81A4668355}" name="DATE2" dataDxfId="736"/>
    <tableColumn id="11" xr3:uid="{11932BF2-EE9F-49CE-938A-9ABC5FD1ED77}" name="EXIT" dataDxfId="735"/>
    <tableColumn id="12" xr3:uid="{480517B4-2530-4755-B1A9-5FC38A7E4C04}" name="RESULT" dataDxfId="734">
      <calculatedColumnFormula>ROUND(IF(C17="L",(L17-G17),(G17-L17)),4)</calculatedColumnFormula>
    </tableColumn>
    <tableColumn id="13" xr3:uid="{0919F79A-205D-4102-ADF7-38A82CFBE37D}" name="No. of Rs" dataDxfId="733">
      <calculatedColumnFormula>IFERROR(ROUND((M17/I17),2),"")</calculatedColumnFormula>
    </tableColumn>
    <tableColumn id="14" xr3:uid="{DD3BBE98-CFD0-4302-8522-088A156EED57}" name="Heat" dataDxfId="732">
      <calculatedColumnFormula>IF(D17="O",IF(N17&lt;0,N17,0),0)</calculatedColumnFormula>
    </tableColumn>
    <tableColumn id="15" xr3:uid="{17F7F45F-B39A-4833-B481-E001492F9F31}" name=" TR WIN" dataDxfId="731">
      <calculatedColumnFormula>IF(N17&gt;= 0,N17,0)</calculatedColumnFormula>
    </tableColumn>
    <tableColumn id="16" xr3:uid="{CEEB2321-871F-4F80-AD7D-6BC6DF4DBCDE}" name=" TR LOSS" dataDxfId="730">
      <calculatedColumnFormula>IF(N17&lt;0,N17,0)</calculatedColumnFormula>
    </tableColumn>
    <tableColumn id="33" xr3:uid="{41D6463B-7C58-4117-A910-6E65D27F3003}" name="Initial Losing Trade" dataDxfId="729">
      <calculatedColumnFormula>IF(AND(OFFSET(Tabla336106734815[[#This Row],[Equity]],1,0)="",Tabla336106734815[[#This Row],[No. of Rs]]&lt;0),"Yes",IF(AND(OFFSET(Tabla336106734815[[#This Row],[Initial Losing Trade]],1,0)="Yes",Tabla336106734815[[#This Row],[No. of Rs]]&lt;0),"Yes","No"))</calculatedColumnFormula>
    </tableColumn>
    <tableColumn id="30" xr3:uid="{55E2BEF4-3919-4682-89E0-0D9E784BA951}" name="Equity" dataDxfId="728">
      <calculatedColumnFormula>IF(OFFSET(Tabla336106734815[[#This Row],[Equity]],1,0)="",IF(Tabla336106734815[[#This Row],[No. of Rs]]="",$F$11,$F$11+($F$11*Tabla336106734815[[#This Row],[No. of Rs]]/100)),IF(Tabla336106734815[[#This Row],[No. of Rs]]="",OFFSET(Tabla336106734815[[#This Row],[Equity]],1,0),OFFSET(Tabla336106734815[[#This Row],[Equity]],1,0)+($F$11*Tabla336106734815[[#This Row],[No. of Rs]]/100)))</calculatedColumnFormula>
    </tableColumn>
    <tableColumn id="32" xr3:uid="{4D2BA565-D6BC-4BAB-A377-5804C7F6C0B4}" name="Equity Peak" dataDxfId="727">
      <calculatedColumnFormula>IF(OFFSET(Tabla336106734815[[#This Row],[Equity Peak]],1,0)="",IF(Tabla336106734815[[#This Row],[Initial Losing Trade]]="Yes",$F$11,Tabla336106734815[[#This Row],[Equity]]),IF(OFFSET(Tabla336106734815[[#This Row],[Equity Peak]],1,0)&gt;Tabla336106734815[[#This Row],[Equity]],OFFSET(Tabla336106734815[[#This Row],[Equity Peak]],1,0),Tabla336106734815[[#This Row],[Equity]]))</calculatedColumnFormula>
    </tableColumn>
    <tableColumn id="31" xr3:uid="{316CB056-AD24-4E94-95BB-0F3D2BBC4FE3}" name="Drawdown" dataDxfId="726">
      <calculatedColumnFormula>IF(Tabla336106734815[[#This Row],[Equity]]&lt;Tabla336106734815[[#This Row],[Equity Peak]],(Tabla336106734815[[#This Row],[Equity Peak]]-Tabla336106734815[[#This Row],[Equity]])/Tabla336106734815[[#This Row],[Equity Peak]],"")</calculatedColumnFormula>
    </tableColumn>
    <tableColumn id="17" xr3:uid="{12AFB8ED-14EC-4264-AACA-0883C589CB58}" name="Currency" dataDxfId="725">
      <calculatedColumnFormula>IF(B17="FX",N17,0)</calculatedColumnFormula>
    </tableColumn>
    <tableColumn id="18" xr3:uid="{C32E9A22-F7B8-4286-BA54-1C5A93721D06}" name="Heat3" dataDxfId="724">
      <calculatedColumnFormula>IF(D17="O",IF(V17&lt;0,V17,0),0)</calculatedColumnFormula>
    </tableColumn>
    <tableColumn id="19" xr3:uid="{B9F60407-1130-4F5D-AA8D-A5823D607366}" name="Commodities" dataDxfId="723">
      <calculatedColumnFormula>IF(B17="COM",N17,0)</calculatedColumnFormula>
    </tableColumn>
    <tableColumn id="20" xr3:uid="{ACA5ACE1-E7D0-4865-B835-3D1D132F2A3C}" name="Heat4" dataDxfId="722">
      <calculatedColumnFormula>IF(D17="O",IF(X17&lt;0,X17,0),0)</calculatedColumnFormula>
    </tableColumn>
    <tableColumn id="21" xr3:uid="{4CFED3BE-9687-45B4-8C8E-4B8BA7533EEA}" name="Index" dataDxfId="721">
      <calculatedColumnFormula>IF(B17="IND",N17,0)</calculatedColumnFormula>
    </tableColumn>
    <tableColumn id="22" xr3:uid="{E1CC79C2-2B20-4B08-A9EC-CA1B09238908}" name="Heat5" dataDxfId="720">
      <calculatedColumnFormula>IF(D17="O",IF(Z17&lt;0,Z17,0),0)</calculatedColumnFormula>
    </tableColumn>
    <tableColumn id="27" xr3:uid="{F36F43A0-8993-4C71-B3A4-1A55C994ED6C}" name="Cryptocurrency" dataDxfId="719">
      <calculatedColumnFormula>IF(B17="CRYPTO",N17,0)</calculatedColumnFormula>
    </tableColumn>
    <tableColumn id="28" xr3:uid="{12B415BD-08D3-4AB2-8C09-C70C2DFAAE95}" name="Heat6" dataDxfId="718">
      <calculatedColumnFormula>IF(D17="O",IF(AB17&lt;0,AB17,0),0)</calculatedColumnFormula>
    </tableColumn>
    <tableColumn id="23" xr3:uid="{4ADF84B4-06AF-499C-9322-92BB4201E0E0}" name="Length of _x000a_Trade" dataDxfId="717">
      <calculatedColumnFormula>IF(K17&lt;&gt;"",K17-E17,0)</calculatedColumnFormula>
    </tableColumn>
    <tableColumn id="24" xr3:uid="{9DB30E04-DC2A-4597-ADF7-F0E9318C500A}" name="Win" dataDxfId="716">
      <calculatedColumnFormula>IF(N17&gt;0,AD17,0)</calculatedColumnFormula>
    </tableColumn>
    <tableColumn id="25" xr3:uid="{59A64ADB-300C-4739-B229-05FD2D9EB21E}" name="Loss" dataDxfId="715">
      <calculatedColumnFormula>IF(N17&lt;0,AD17,0)</calculatedColumnFormula>
    </tableColumn>
    <tableColumn id="26" xr3:uid="{056E5EAB-527E-41B2-A019-F3E7FB336201}" name="Breakeven" dataDxfId="714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C571D5A3-A4B1-43A6-B370-DE3B4DDCFB2D}" name="Tabla336106734816" displayName="Tabla336106734816" ref="B16:AG57" totalsRowShown="0" headerRowDxfId="705" dataDxfId="704">
  <autoFilter ref="B16:AG57" xr:uid="{00000000-0009-0000-0100-000009000000}"/>
  <sortState xmlns:xlrd2="http://schemas.microsoft.com/office/spreadsheetml/2017/richdata2" ref="B17:AG57">
    <sortCondition descending="1" ref="D16:D57"/>
  </sortState>
  <tableColumns count="32">
    <tableColumn id="1" xr3:uid="{BACF6014-CE4F-4F0C-A97F-461B73C5F445}" name="Inst" dataDxfId="703"/>
    <tableColumn id="2" xr3:uid="{B5693E4A-6466-4AAF-A245-47D33B3689BC}" name="L/S" dataDxfId="702"/>
    <tableColumn id="3" xr3:uid="{30801501-A2BC-4C15-9CDF-B7C60F4EF3D6}" name="O/C" dataDxfId="701">
      <calculatedColumnFormula>IF(E17&lt;&gt;"",IF(K17&lt;&gt;"","C","O"),"")</calculatedColumnFormula>
    </tableColumn>
    <tableColumn id="4" xr3:uid="{852E3F49-D72A-493C-A725-487114C3791A}" name="DATE" dataDxfId="700"/>
    <tableColumn id="5" xr3:uid="{4338748F-A0D6-48AA-81F6-4D1067B41521}" name="INST." dataDxfId="699"/>
    <tableColumn id="6" xr3:uid="{20BD86B3-EAF8-44B6-8393-2B10E12E4BC6}" name="ENTRY " dataDxfId="698"/>
    <tableColumn id="7" xr3:uid="{6EC3CC91-327C-432A-95BC-160470C98680}" name="STOP " dataDxfId="697"/>
    <tableColumn id="8" xr3:uid="{B061E6AD-3B09-4402-95CA-D4736A12B745}" name="TR_x000a_(in Pips)" dataDxfId="696">
      <calculatedColumnFormula>ABS(G17-H17)</calculatedColumnFormula>
    </tableColumn>
    <tableColumn id="9" xr3:uid="{DB04F942-D87D-433F-8E37-A136F833AC4B}" name="TARGET" dataDxfId="695"/>
    <tableColumn id="10" xr3:uid="{F32548D5-E83E-4899-9638-304381DCA2BE}" name="DATE2" dataDxfId="694"/>
    <tableColumn id="11" xr3:uid="{B4DA61E6-B0B2-49EC-ADDE-E58313FE6DCE}" name="EXIT" dataDxfId="693"/>
    <tableColumn id="12" xr3:uid="{687C0A4A-22A3-46BD-AAAA-182B9582F36C}" name="RESULT" dataDxfId="692">
      <calculatedColumnFormula>ROUND(IF(C17="L",(L17-G17),(G17-L17)),4)</calculatedColumnFormula>
    </tableColumn>
    <tableColumn id="13" xr3:uid="{3D450C98-6ADF-4ED1-8729-B2F3515EA581}" name="No. of Rs" dataDxfId="691">
      <calculatedColumnFormula>IFERROR(ROUND((M17/I17),2),"")</calculatedColumnFormula>
    </tableColumn>
    <tableColumn id="14" xr3:uid="{2F853694-A968-435E-B6D4-67ED48943753}" name="Heat" dataDxfId="690">
      <calculatedColumnFormula>IF(D17="O",IF(N17&lt;0,N17,0),0)</calculatedColumnFormula>
    </tableColumn>
    <tableColumn id="15" xr3:uid="{80FB2B63-5AF1-4C25-87F7-B923326436DE}" name=" TR WIN" dataDxfId="689">
      <calculatedColumnFormula>IF(N17&gt;= 0,N17,0)</calculatedColumnFormula>
    </tableColumn>
    <tableColumn id="16" xr3:uid="{A16CF29F-5BAD-44F5-9AB2-87CF00229064}" name=" TR LOSS" dataDxfId="688">
      <calculatedColumnFormula>IF(N17&lt;0,N17,0)</calculatedColumnFormula>
    </tableColumn>
    <tableColumn id="33" xr3:uid="{12342C1A-8131-4E04-A937-19116CE07E78}" name="Initial Losing Trade" dataDxfId="687">
      <calculatedColumnFormula>IF(AND(OFFSET(Tabla336106734816[[#This Row],[Equity]],1,0)="",Tabla336106734816[[#This Row],[No. of Rs]]&lt;0),"Yes",IF(AND(OFFSET(Tabla336106734816[[#This Row],[Initial Losing Trade]],1,0)="Yes",Tabla336106734816[[#This Row],[No. of Rs]]&lt;0),"Yes","No"))</calculatedColumnFormula>
    </tableColumn>
    <tableColumn id="30" xr3:uid="{DC99ED14-A0D5-4920-B753-BAAE45E7471A}" name="Equity" dataDxfId="686">
      <calculatedColumnFormula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calculatedColumnFormula>
    </tableColumn>
    <tableColumn id="32" xr3:uid="{0F24E5BD-5B69-432D-A399-A3AA1C5C94C3}" name="Equity Peak" dataDxfId="685">
      <calculatedColumnFormula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calculatedColumnFormula>
    </tableColumn>
    <tableColumn id="31" xr3:uid="{BDC0C5CB-8CBB-424D-857B-DCB5CA72E3DF}" name="Drawdown" dataDxfId="684">
      <calculatedColumnFormula>IF(Tabla336106734816[[#This Row],[Equity]]&lt;Tabla336106734816[[#This Row],[Equity Peak]],(Tabla336106734816[[#This Row],[Equity Peak]]-Tabla336106734816[[#This Row],[Equity]])/Tabla336106734816[[#This Row],[Equity Peak]],"")</calculatedColumnFormula>
    </tableColumn>
    <tableColumn id="17" xr3:uid="{8DCAA046-1456-4B2A-87B8-C3633F236164}" name="Currency" dataDxfId="683">
      <calculatedColumnFormula>IF(B17="FX",N17,0)</calculatedColumnFormula>
    </tableColumn>
    <tableColumn id="18" xr3:uid="{E5D879E2-5FD2-4EEF-9C6E-34773D082B62}" name="Heat3" dataDxfId="682">
      <calculatedColumnFormula>IF(D17="O",IF(V17&lt;0,V17,0),0)</calculatedColumnFormula>
    </tableColumn>
    <tableColumn id="19" xr3:uid="{131365E3-9553-499A-B027-4D1712A30626}" name="Commodities" dataDxfId="681">
      <calculatedColumnFormula>IF(B17="COM",N17,0)</calculatedColumnFormula>
    </tableColumn>
    <tableColumn id="20" xr3:uid="{0F948C15-DA1E-4D5C-8DDC-E28D2DD9756E}" name="Heat4" dataDxfId="680">
      <calculatedColumnFormula>IF(D17="O",IF(X17&lt;0,X17,0),0)</calculatedColumnFormula>
    </tableColumn>
    <tableColumn id="21" xr3:uid="{FD215CB2-CD89-408A-8325-DC208F20148F}" name="Index" dataDxfId="679">
      <calculatedColumnFormula>IF(B17="IND",N17,0)</calculatedColumnFormula>
    </tableColumn>
    <tableColumn id="22" xr3:uid="{585207F4-DF99-429F-942D-9961F1FE2F44}" name="Heat5" dataDxfId="678">
      <calculatedColumnFormula>IF(D17="O",IF(Z17&lt;0,Z17,0),0)</calculatedColumnFormula>
    </tableColumn>
    <tableColumn id="27" xr3:uid="{6F327166-9D57-4B46-A15A-A5B11C3EEFA2}" name="Cryptocurrency" dataDxfId="677">
      <calculatedColumnFormula>IF(B17="CRYPTO",N17,0)</calculatedColumnFormula>
    </tableColumn>
    <tableColumn id="28" xr3:uid="{560B935C-C9FE-48E5-A8F3-AE25EB7D7C43}" name="Heat6" dataDxfId="676">
      <calculatedColumnFormula>IF(D17="O",IF(AB17&lt;0,AB17,0),0)</calculatedColumnFormula>
    </tableColumn>
    <tableColumn id="23" xr3:uid="{97B0A2D6-98FC-4B06-9B1D-EDFB4DBAC948}" name="Length of _x000a_Trade" dataDxfId="675">
      <calculatedColumnFormula>IF(K17&lt;&gt;"",K17-E17,0)</calculatedColumnFormula>
    </tableColumn>
    <tableColumn id="24" xr3:uid="{4489016F-52D3-40CD-8A23-B92A1CFDA399}" name="Win" dataDxfId="674">
      <calculatedColumnFormula>IF(N17&gt;0,AD17,0)</calculatedColumnFormula>
    </tableColumn>
    <tableColumn id="25" xr3:uid="{D068CE1F-8A65-44EC-8C47-85F94E02EBFB}" name="Loss" dataDxfId="673">
      <calculatedColumnFormula>IF(N17&lt;0,AD17,0)</calculatedColumnFormula>
    </tableColumn>
    <tableColumn id="26" xr3:uid="{E47CFD7B-FE6E-4AF4-B545-A1437B086503}" name="Breakeven" dataDxfId="672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8AB998D-8D13-4430-9F49-8A9992B5F83C}" name="Tabla33610673484" displayName="Tabla33610673484" ref="B16:AG31" totalsRowShown="0" headerRowDxfId="663" dataDxfId="662">
  <autoFilter ref="B16:AG31" xr:uid="{00000000-0009-0000-0100-000009000000}"/>
  <sortState xmlns:xlrd2="http://schemas.microsoft.com/office/spreadsheetml/2017/richdata2" ref="B17:AG31">
    <sortCondition descending="1" ref="D16:D31"/>
  </sortState>
  <tableColumns count="32">
    <tableColumn id="1" xr3:uid="{35C2B6A1-3B2A-4D12-BE26-C12372B037C7}" name="Inst" dataDxfId="661"/>
    <tableColumn id="2" xr3:uid="{D6D7903D-DE80-4A15-BC3B-046F228272F4}" name="L/S" dataDxfId="660"/>
    <tableColumn id="3" xr3:uid="{C207FF55-2A34-40A6-BBE1-A494E9C22F17}" name="O/C" dataDxfId="659">
      <calculatedColumnFormula>IF(E17&lt;&gt;"",IF(K17&lt;&gt;"","C","O"),"")</calculatedColumnFormula>
    </tableColumn>
    <tableColumn id="4" xr3:uid="{06BBA810-FC99-4957-96A2-548DBB97CB0F}" name="DATE" dataDxfId="658"/>
    <tableColumn id="5" xr3:uid="{EB6C7CCB-B630-490C-BCA9-96FA9CF22637}" name="INST." dataDxfId="657"/>
    <tableColumn id="6" xr3:uid="{9B7B837B-4425-4ADD-BA2B-50CAF2770CDA}" name="ENTRY " dataDxfId="656"/>
    <tableColumn id="7" xr3:uid="{EF80B065-6F52-475E-89DD-54E3D8EB648B}" name="STOP " dataDxfId="655"/>
    <tableColumn id="8" xr3:uid="{30C4316C-6480-480F-B255-E70E7FF2DD23}" name="TR_x000a_(in Pips)" dataDxfId="654">
      <calculatedColumnFormula>ABS(G17-H17)</calculatedColumnFormula>
    </tableColumn>
    <tableColumn id="9" xr3:uid="{4108627B-F63E-47AD-8339-D4706766B0BF}" name="TARGET" dataDxfId="653"/>
    <tableColumn id="10" xr3:uid="{8CB0176A-91A1-47D2-841D-246A670F9642}" name="DATE2" dataDxfId="652"/>
    <tableColumn id="11" xr3:uid="{6D809167-63D4-487E-87FD-777EFE46606F}" name="EXIT" dataDxfId="651"/>
    <tableColumn id="12" xr3:uid="{E86BDD47-5283-4E3D-885E-26184617D559}" name="RESULT" dataDxfId="650">
      <calculatedColumnFormula>ROUND(IF(C17="L",(L17-G17),(G17-L17)),4)</calculatedColumnFormula>
    </tableColumn>
    <tableColumn id="13" xr3:uid="{CC5B0E60-AEC1-4581-8D43-A37076DA7CD6}" name="No. of Rs" dataDxfId="649">
      <calculatedColumnFormula>IFERROR(ROUND((M17/I17),2),"")</calculatedColumnFormula>
    </tableColumn>
    <tableColumn id="14" xr3:uid="{F3F68330-CEE3-4412-B781-5CC293EDEB67}" name="Heat" dataDxfId="648">
      <calculatedColumnFormula>IF(D17="O",IF(N17&lt;0,N17,0),0)</calculatedColumnFormula>
    </tableColumn>
    <tableColumn id="15" xr3:uid="{EB100494-AB70-47E9-9F95-0E25E196C7C2}" name=" TR WIN" dataDxfId="647">
      <calculatedColumnFormula>IF(N17&gt;= 0,N17,0)</calculatedColumnFormula>
    </tableColumn>
    <tableColumn id="16" xr3:uid="{E384F001-4689-4F41-8F60-664B03D5974F}" name=" TR LOSS" dataDxfId="646">
      <calculatedColumnFormula>IF(N17&lt;0,N17,0)</calculatedColumnFormula>
    </tableColumn>
    <tableColumn id="33" xr3:uid="{0906746C-0CF2-458C-A04D-23F0791F096B}" name="Initial Losing Trade" dataDxfId="645">
      <calculatedColumnFormula>IF(AND(OFFSET(Tabla33610673484[[#This Row],[Equity]],1,0)="",Tabla33610673484[[#This Row],[No. of Rs]]&lt;0),"Yes",IF(AND(OFFSET(Tabla33610673484[[#This Row],[Initial Losing Trade]],1,0)="Yes",Tabla33610673484[[#This Row],[No. of Rs]]&lt;0),"Yes","No"))</calculatedColumnFormula>
    </tableColumn>
    <tableColumn id="30" xr3:uid="{1425E18C-E586-4D0E-BBF2-BB2709FAB757}" name="Equity" dataDxfId="644">
      <calculatedColumnFormula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calculatedColumnFormula>
    </tableColumn>
    <tableColumn id="32" xr3:uid="{63F4EAFD-1182-4B36-A3A1-6591D8388A07}" name="Equity Peak" dataDxfId="643">
      <calculatedColumnFormula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calculatedColumnFormula>
    </tableColumn>
    <tableColumn id="31" xr3:uid="{DF50E974-BE67-4744-B8D1-2B555BCC627F}" name="Drawdown" dataDxfId="642">
      <calculatedColumnFormula>IF(Tabla33610673484[[#This Row],[Equity]]&lt;Tabla33610673484[[#This Row],[Equity Peak]],(Tabla33610673484[[#This Row],[Equity Peak]]-Tabla33610673484[[#This Row],[Equity]])/Tabla33610673484[[#This Row],[Equity Peak]],"")</calculatedColumnFormula>
    </tableColumn>
    <tableColumn id="17" xr3:uid="{D2C7771B-291D-4525-BA19-3EAC8D41956C}" name="Currency" dataDxfId="641">
      <calculatedColumnFormula>IF(B17="FX",N17,0)</calculatedColumnFormula>
    </tableColumn>
    <tableColumn id="18" xr3:uid="{C2198234-61CA-4260-92CF-03C0D03EB1F1}" name="Heat3" dataDxfId="640">
      <calculatedColumnFormula>IF(D17="O",IF(V17&lt;0,V17,0),0)</calculatedColumnFormula>
    </tableColumn>
    <tableColumn id="19" xr3:uid="{70BC6ECF-E505-4A4A-A005-15C515FD78C9}" name="Commodities" dataDxfId="639">
      <calculatedColumnFormula>IF(B17="COM",N17,0)</calculatedColumnFormula>
    </tableColumn>
    <tableColumn id="20" xr3:uid="{C388C078-FF8F-412D-A451-766EC0CB574A}" name="Heat4" dataDxfId="638">
      <calculatedColumnFormula>IF(D17="O",IF(X17&lt;0,X17,0),0)</calculatedColumnFormula>
    </tableColumn>
    <tableColumn id="21" xr3:uid="{34391A6E-CB55-4F4A-BF0F-4A77D57D749D}" name="Index" dataDxfId="637">
      <calculatedColumnFormula>IF(B17="IND",N17,0)</calculatedColumnFormula>
    </tableColumn>
    <tableColumn id="22" xr3:uid="{463CC4D9-AF28-4ECA-B9C2-4B177D2550F6}" name="Heat5" dataDxfId="636">
      <calculatedColumnFormula>IF(D17="O",IF(Z17&lt;0,Z17,0),0)</calculatedColumnFormula>
    </tableColumn>
    <tableColumn id="27" xr3:uid="{2E92A3C9-052D-4D04-A85E-43335B721E2B}" name="Cryptocurrency" dataDxfId="635">
      <calculatedColumnFormula>IF(B17="CRYPTO",N17,0)</calculatedColumnFormula>
    </tableColumn>
    <tableColumn id="28" xr3:uid="{99497EE8-098C-4425-B85C-58A3EB99ACBE}" name="Heat6" dataDxfId="634">
      <calculatedColumnFormula>IF(D17="O",IF(AB17&lt;0,AB17,0),0)</calculatedColumnFormula>
    </tableColumn>
    <tableColumn id="23" xr3:uid="{60072D67-F899-4157-BCBC-4538963D3A4A}" name="Length of _x000a_Trade" dataDxfId="633">
      <calculatedColumnFormula>IF(K17&lt;&gt;"",K17-E17,0)</calculatedColumnFormula>
    </tableColumn>
    <tableColumn id="24" xr3:uid="{44318096-FBB8-4E23-870F-4527A118D267}" name="Win" dataDxfId="632">
      <calculatedColumnFormula>IF(N17&gt;0,AD17,0)</calculatedColumnFormula>
    </tableColumn>
    <tableColumn id="25" xr3:uid="{7010DD04-86FF-48A4-8FD5-6A9882AA04F9}" name="Loss" dataDxfId="631">
      <calculatedColumnFormula>IF(N17&lt;0,AD17,0)</calculatedColumnFormula>
    </tableColumn>
    <tableColumn id="26" xr3:uid="{67E00B17-2FBE-40CC-BFCB-E7BB65886DB6}" name="Breakeven" dataDxfId="630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4B2D3EE-6DEE-4563-8AE5-C44A164DF5E7}" name="Tabla336106734817" displayName="Tabla336106734817" ref="B16:AG30" totalsRowShown="0" headerRowDxfId="621" dataDxfId="620">
  <autoFilter ref="B16:AG30" xr:uid="{00000000-0009-0000-0100-000009000000}"/>
  <sortState xmlns:xlrd2="http://schemas.microsoft.com/office/spreadsheetml/2017/richdata2" ref="B17:AG30">
    <sortCondition descending="1" ref="D16:D30"/>
  </sortState>
  <tableColumns count="32">
    <tableColumn id="1" xr3:uid="{4C2483DC-2144-406F-9D44-ABF0693AC1A2}" name="Inst" dataDxfId="619"/>
    <tableColumn id="2" xr3:uid="{3BAA3168-B7E6-4C8A-958D-32410BBE773C}" name="L/S" dataDxfId="618"/>
    <tableColumn id="3" xr3:uid="{990C8F5E-3DCF-4EBD-B021-8B33E3D77AF3}" name="O/C" dataDxfId="617">
      <calculatedColumnFormula>IF(E17&lt;&gt;"",IF(K17&lt;&gt;"","C","O"),"")</calculatedColumnFormula>
    </tableColumn>
    <tableColumn id="4" xr3:uid="{DF83505C-EBFC-4A9A-A4D5-1FAE127D1102}" name="DATE" dataDxfId="616"/>
    <tableColumn id="5" xr3:uid="{A6A3AC3A-6141-4118-A490-BE65CB472E56}" name="INST." dataDxfId="615"/>
    <tableColumn id="6" xr3:uid="{22F7D5DE-5711-4BEC-88C1-DB242EA12899}" name="ENTRY " dataDxfId="614"/>
    <tableColumn id="7" xr3:uid="{B51215F0-71EB-4854-9CCF-A41AFA2735A4}" name="STOP " dataDxfId="613"/>
    <tableColumn id="8" xr3:uid="{768AE2FA-F454-4917-8D51-D72827AED40F}" name="TR_x000a_(in Pips)" dataDxfId="612">
      <calculatedColumnFormula>ABS(G17-H17)</calculatedColumnFormula>
    </tableColumn>
    <tableColumn id="9" xr3:uid="{A236E27E-B8BA-475D-9FF8-550AD2C28945}" name="TARGET" dataDxfId="611"/>
    <tableColumn id="10" xr3:uid="{B4177339-E68E-44E3-BB3B-37CF86D863F7}" name="DATE2" dataDxfId="610"/>
    <tableColumn id="11" xr3:uid="{FBB50FF7-1F56-4FE5-9423-F931477A1F41}" name="EXIT" dataDxfId="609"/>
    <tableColumn id="12" xr3:uid="{07C87AD7-609E-4339-900C-84B27C0B1513}" name="RESULT" dataDxfId="608">
      <calculatedColumnFormula>ROUND(IF(C17="L",(L17-G17),(G17-L17)),4)</calculatedColumnFormula>
    </tableColumn>
    <tableColumn id="13" xr3:uid="{31917C22-5726-42A7-BB8F-5885283C7DF5}" name="No. of Rs" dataDxfId="607">
      <calculatedColumnFormula>IFERROR(ROUND((M17/I17),2),"")</calculatedColumnFormula>
    </tableColumn>
    <tableColumn id="14" xr3:uid="{8DB5188D-AAB8-465C-B4C0-FF389892A754}" name="Heat" dataDxfId="606">
      <calculatedColumnFormula>IF(D17="O",IF(N17&lt;0,N17,0),0)</calculatedColumnFormula>
    </tableColumn>
    <tableColumn id="15" xr3:uid="{24E06738-431D-4FF2-B7A8-DF9A3E55B0E1}" name=" TR WIN" dataDxfId="605">
      <calculatedColumnFormula>IF(N17&gt;= 0,N17,0)</calculatedColumnFormula>
    </tableColumn>
    <tableColumn id="16" xr3:uid="{6845ABC8-E0EF-4A16-9270-B042D4B6661D}" name=" TR LOSS" dataDxfId="604">
      <calculatedColumnFormula>IF(N17&lt;0,N17,0)</calculatedColumnFormula>
    </tableColumn>
    <tableColumn id="33" xr3:uid="{AC6460BD-A5CD-4A08-9D29-5E73ECFE8FF6}" name="Initial Losing Trade" dataDxfId="603">
      <calculatedColumnFormula>IF(AND(OFFSET(Tabla336106734817[[#This Row],[Equity]],1,0)="",Tabla336106734817[[#This Row],[No. of Rs]]&lt;0),"Yes",IF(AND(OFFSET(Tabla336106734817[[#This Row],[Initial Losing Trade]],1,0)="Yes",Tabla336106734817[[#This Row],[No. of Rs]]&lt;0),"Yes","No"))</calculatedColumnFormula>
    </tableColumn>
    <tableColumn id="30" xr3:uid="{96877A8E-59D1-40B6-90CB-D8FDEAEE0A39}" name="Equity" dataDxfId="602">
      <calculatedColumnFormula>IF(OFFSET(Tabla336106734817[[#This Row],[Equity]],1,0)="",IF(Tabla336106734817[[#This Row],[No. of Rs]]="",$F$11,$F$11+($F$11*Tabla336106734817[[#This Row],[No. of Rs]]/100)),IF(Tabla336106734817[[#This Row],[No. of Rs]]="",OFFSET(Tabla336106734817[[#This Row],[Equity]],1,0),OFFSET(Tabla336106734817[[#This Row],[Equity]],1,0)+($F$11*Tabla336106734817[[#This Row],[No. of Rs]]/100)))</calculatedColumnFormula>
    </tableColumn>
    <tableColumn id="32" xr3:uid="{E60F8DE2-81FD-48AF-ABF2-7130F9EBC4AC}" name="Equity Peak" dataDxfId="601">
      <calculatedColumnFormula>IF(OFFSET(Tabla336106734817[[#This Row],[Equity Peak]],1,0)="",IF(Tabla336106734817[[#This Row],[Initial Losing Trade]]="Yes",$F$11,Tabla336106734817[[#This Row],[Equity]]),IF(OFFSET(Tabla336106734817[[#This Row],[Equity Peak]],1,0)&gt;Tabla336106734817[[#This Row],[Equity]],OFFSET(Tabla336106734817[[#This Row],[Equity Peak]],1,0),Tabla336106734817[[#This Row],[Equity]]))</calculatedColumnFormula>
    </tableColumn>
    <tableColumn id="31" xr3:uid="{CDB25E75-9F6C-43B7-AE64-18D7DC364A77}" name="Drawdown" dataDxfId="600">
      <calculatedColumnFormula>IF(Tabla336106734817[[#This Row],[Equity]]&lt;Tabla336106734817[[#This Row],[Equity Peak]],(Tabla336106734817[[#This Row],[Equity Peak]]-Tabla336106734817[[#This Row],[Equity]])/Tabla336106734817[[#This Row],[Equity Peak]],"")</calculatedColumnFormula>
    </tableColumn>
    <tableColumn id="17" xr3:uid="{B36E0EEE-88EB-4CB8-844E-14AAD3F5D01F}" name="Currency" dataDxfId="599">
      <calculatedColumnFormula>IF(B17="FX",N17,0)</calculatedColumnFormula>
    </tableColumn>
    <tableColumn id="18" xr3:uid="{4A86B85E-1DE8-4030-BFC8-EB4B16237780}" name="Heat3" dataDxfId="598">
      <calculatedColumnFormula>IF(D17="O",IF(V17&lt;0,V17,0),0)</calculatedColumnFormula>
    </tableColumn>
    <tableColumn id="19" xr3:uid="{01873D22-5E7D-44B5-A2FB-FD7729B1D552}" name="Commodities" dataDxfId="597">
      <calculatedColumnFormula>IF(B17="COM",N17,0)</calculatedColumnFormula>
    </tableColumn>
    <tableColumn id="20" xr3:uid="{DAA34708-46E4-46B6-8F4A-2F68BD094AEA}" name="Heat4" dataDxfId="596">
      <calculatedColumnFormula>IF(D17="O",IF(X17&lt;0,X17,0),0)</calculatedColumnFormula>
    </tableColumn>
    <tableColumn id="21" xr3:uid="{0DF38C83-660B-424F-BA21-3D66CA7FC976}" name="Index" dataDxfId="595">
      <calculatedColumnFormula>IF(B17="IND",N17,0)</calculatedColumnFormula>
    </tableColumn>
    <tableColumn id="22" xr3:uid="{358C0FAD-B9D6-414A-815B-2CEA79223D54}" name="Heat5" dataDxfId="594">
      <calculatedColumnFormula>IF(D17="O",IF(Z17&lt;0,Z17,0),0)</calculatedColumnFormula>
    </tableColumn>
    <tableColumn id="27" xr3:uid="{238E7A16-4AEE-4272-AA28-274B4857B397}" name="Cryptocurrency" dataDxfId="593">
      <calculatedColumnFormula>IF(B17="CRYPTO",N17,0)</calculatedColumnFormula>
    </tableColumn>
    <tableColumn id="28" xr3:uid="{3DE0DB25-DB95-4923-90D2-F7C2F43F6EEE}" name="Heat6" dataDxfId="592">
      <calculatedColumnFormula>IF(D17="O",IF(AB17&lt;0,AB17,0),0)</calculatedColumnFormula>
    </tableColumn>
    <tableColumn id="23" xr3:uid="{F1ED3ABA-0307-4298-AA94-1BA67E421DE3}" name="Length of _x000a_Trade" dataDxfId="591">
      <calculatedColumnFormula>IF(K17&lt;&gt;"",K17-E17,0)</calculatedColumnFormula>
    </tableColumn>
    <tableColumn id="24" xr3:uid="{F5F1A77F-D286-4D86-A5C9-6B6FCE67D8B9}" name="Win" dataDxfId="590">
      <calculatedColumnFormula>IF(N17&gt;0,AD17,0)</calculatedColumnFormula>
    </tableColumn>
    <tableColumn id="25" xr3:uid="{3E8F66A5-907F-48B8-B6F0-0DFD82A33929}" name="Loss" dataDxfId="589">
      <calculatedColumnFormula>IF(N17&lt;0,AD17,0)</calculatedColumnFormula>
    </tableColumn>
    <tableColumn id="26" xr3:uid="{FB285BAC-D3ED-4D4B-9F36-A710560E4C39}" name="Breakeven" dataDxfId="588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AC03A8E-E6D7-49B3-8DED-EDA1A68324A8}" name="Tabla33610673486" displayName="Tabla33610673486" ref="B16:AG33" totalsRowShown="0" headerRowDxfId="579" dataDxfId="578">
  <autoFilter ref="B16:AG33" xr:uid="{00000000-0009-0000-0100-000009000000}"/>
  <sortState xmlns:xlrd2="http://schemas.microsoft.com/office/spreadsheetml/2017/richdata2" ref="B17:AG33">
    <sortCondition descending="1" ref="D16:D33"/>
  </sortState>
  <tableColumns count="32">
    <tableColumn id="1" xr3:uid="{D340922A-49D2-4CC1-90FD-033258B8E2C4}" name="Inst" dataDxfId="577"/>
    <tableColumn id="2" xr3:uid="{6B5EA7B9-048C-4FDC-9221-14D24CEDF7BB}" name="L/S" dataDxfId="576"/>
    <tableColumn id="3" xr3:uid="{0B2225E9-A1AB-4C68-8402-8B60DC72CDE5}" name="O/C" dataDxfId="575">
      <calculatedColumnFormula>IF(E17&lt;&gt;"",IF(K17&lt;&gt;"","C","O"),"")</calculatedColumnFormula>
    </tableColumn>
    <tableColumn id="4" xr3:uid="{AB0468B2-2D94-4B0E-839E-A551F9AEBD64}" name="DATE" dataDxfId="574"/>
    <tableColumn id="5" xr3:uid="{E37210C6-9E7B-4676-9AC7-D4AA7E70EF80}" name="INST." dataDxfId="573"/>
    <tableColumn id="6" xr3:uid="{273EE200-EF48-4068-B9B7-2552CABCE1A1}" name="ENTRY " dataDxfId="572"/>
    <tableColumn id="7" xr3:uid="{3E581079-C1E3-4E9C-9911-E600D58B6CE9}" name="STOP " dataDxfId="571"/>
    <tableColumn id="8" xr3:uid="{3C6F9749-5D13-4168-A0AA-DEF4A71307D2}" name="TR_x000a_(in Pips)" dataDxfId="570">
      <calculatedColumnFormula>ABS(G17-H17)</calculatedColumnFormula>
    </tableColumn>
    <tableColumn id="9" xr3:uid="{01119C8C-B36F-4683-BEAA-410E5ED7D863}" name="TARGET" dataDxfId="569"/>
    <tableColumn id="10" xr3:uid="{2E15F228-E81C-484B-92E1-B1692EFEA0B8}" name="DATE2" dataDxfId="568"/>
    <tableColumn id="11" xr3:uid="{719B167C-4326-4680-A964-2EA627099EEE}" name="EXIT" dataDxfId="567"/>
    <tableColumn id="12" xr3:uid="{4CB5227F-58AE-49DB-8443-393E1218460B}" name="RESULT" dataDxfId="566">
      <calculatedColumnFormula>ROUND(IF(C17="L",(L17-G17),(G17-L17)),4)</calculatedColumnFormula>
    </tableColumn>
    <tableColumn id="13" xr3:uid="{D0488F0D-ED7E-4537-A4F2-B591526A7789}" name="No. of Rs" dataDxfId="565">
      <calculatedColumnFormula>IFERROR(ROUND((M17/I17),2),"")</calculatedColumnFormula>
    </tableColumn>
    <tableColumn id="14" xr3:uid="{0671EB80-57FA-4517-AE10-BE3E4420E1FB}" name="Heat" dataDxfId="564">
      <calculatedColumnFormula>IF(D17="O",IF(N17&lt;0,N17,0),0)</calculatedColumnFormula>
    </tableColumn>
    <tableColumn id="15" xr3:uid="{42D45C88-4B2C-485E-BC20-B7C6F00FB987}" name=" TR WIN" dataDxfId="563">
      <calculatedColumnFormula>IF(N17&gt;= 0,N17,0)</calculatedColumnFormula>
    </tableColumn>
    <tableColumn id="16" xr3:uid="{50CAFAF6-A4F0-4079-B583-81B2629D9E40}" name=" TR LOSS" dataDxfId="562">
      <calculatedColumnFormula>IF(N17&lt;0,N17,0)</calculatedColumnFormula>
    </tableColumn>
    <tableColumn id="33" xr3:uid="{6ABDA8D9-2AD5-40E8-9C15-1CFD15E6ADF7}" name="Initial Losing Trade" dataDxfId="561">
      <calculatedColumnFormula>IF(AND(OFFSET(Tabla33610673486[[#This Row],[Equity]],1,0)="",Tabla33610673486[[#This Row],[No. of Rs]]&lt;0),"Yes",IF(AND(OFFSET(Tabla33610673486[[#This Row],[Initial Losing Trade]],1,0)="Yes",Tabla33610673486[[#This Row],[No. of Rs]]&lt;0),"Yes","No"))</calculatedColumnFormula>
    </tableColumn>
    <tableColumn id="30" xr3:uid="{76ACB9BA-291E-4ABA-920B-784BB5436CC5}" name="Equity" dataDxfId="560">
      <calculatedColumnFormula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calculatedColumnFormula>
    </tableColumn>
    <tableColumn id="32" xr3:uid="{1DC52F9D-3A7C-451C-B9BC-88793E4F08FF}" name="Equity Peak" dataDxfId="559">
      <calculatedColumnFormula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calculatedColumnFormula>
    </tableColumn>
    <tableColumn id="31" xr3:uid="{E622EA1C-2E07-4E7E-965E-BC1597FC4B16}" name="Drawdown" dataDxfId="558">
      <calculatedColumnFormula>IF(Tabla33610673486[[#This Row],[Equity]]&lt;Tabla33610673486[[#This Row],[Equity Peak]],(Tabla33610673486[[#This Row],[Equity Peak]]-Tabla33610673486[[#This Row],[Equity]])/Tabla33610673486[[#This Row],[Equity Peak]],"")</calculatedColumnFormula>
    </tableColumn>
    <tableColumn id="17" xr3:uid="{36BD358E-1283-4635-901B-BD4347C5DAF7}" name="Currency" dataDxfId="557">
      <calculatedColumnFormula>IF(B17="FX",N17,0)</calculatedColumnFormula>
    </tableColumn>
    <tableColumn id="18" xr3:uid="{45C872BA-8FF6-49A0-8050-836243E2A146}" name="Heat3" dataDxfId="556">
      <calculatedColumnFormula>IF(D17="O",IF(V17&lt;0,V17,0),0)</calculatedColumnFormula>
    </tableColumn>
    <tableColumn id="19" xr3:uid="{8FD6A9CB-9DF0-44E7-9163-C77599170AC4}" name="Commodities" dataDxfId="555">
      <calculatedColumnFormula>IF(B17="COM",N17,0)</calculatedColumnFormula>
    </tableColumn>
    <tableColumn id="20" xr3:uid="{6633964F-38B2-43A9-8C13-59533B8DBE48}" name="Heat4" dataDxfId="554">
      <calculatedColumnFormula>IF(D17="O",IF(X17&lt;0,X17,0),0)</calculatedColumnFormula>
    </tableColumn>
    <tableColumn id="21" xr3:uid="{1F1C2C3B-E248-46B7-9800-55A63E3D6CDA}" name="Index" dataDxfId="553">
      <calculatedColumnFormula>IF(B17="IND",N17,0)</calculatedColumnFormula>
    </tableColumn>
    <tableColumn id="22" xr3:uid="{A18E2505-4A09-4E9F-BCE4-E2F3C2F557D6}" name="Heat5" dataDxfId="552">
      <calculatedColumnFormula>IF(D17="O",IF(Z17&lt;0,Z17,0),0)</calculatedColumnFormula>
    </tableColumn>
    <tableColumn id="27" xr3:uid="{31791ACC-502D-4960-9917-9EC2DC2CD1C4}" name="Cryptocurrency" dataDxfId="551">
      <calculatedColumnFormula>IF(B17="CRYPTO",N17,0)</calculatedColumnFormula>
    </tableColumn>
    <tableColumn id="28" xr3:uid="{ED78A28C-A416-4696-8521-7CDA75158909}" name="Heat6" dataDxfId="550">
      <calculatedColumnFormula>IF(D17="O",IF(AB17&lt;0,AB17,0),0)</calculatedColumnFormula>
    </tableColumn>
    <tableColumn id="23" xr3:uid="{6DF9ED41-D4AD-43D1-B2A5-A36A148CF4D7}" name="Length of _x000a_Trade" dataDxfId="549">
      <calculatedColumnFormula>IF(K17&lt;&gt;"",K17-E17,0)</calculatedColumnFormula>
    </tableColumn>
    <tableColumn id="24" xr3:uid="{34B55CAB-CAE5-42DC-A098-6932F32E5A92}" name="Win" dataDxfId="548">
      <calculatedColumnFormula>IF(N17&gt;0,AD17,0)</calculatedColumnFormula>
    </tableColumn>
    <tableColumn id="25" xr3:uid="{119273FF-F5D5-4DBF-96AC-29371F93A6A1}" name="Loss" dataDxfId="547">
      <calculatedColumnFormula>IF(N17&lt;0,AD17,0)</calculatedColumnFormula>
    </tableColumn>
    <tableColumn id="26" xr3:uid="{2F1D2166-56E1-473A-8150-5A6DFBDD46F5}" name="Breakeven" dataDxfId="546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8506A2A-5DEF-4DD3-A853-FA3B3E1B2823}" name="Tabla336106734818" displayName="Tabla336106734818" ref="B16:AG31" totalsRowShown="0" headerRowDxfId="537" dataDxfId="536">
  <autoFilter ref="B16:AG31" xr:uid="{00000000-0009-0000-0100-000009000000}"/>
  <sortState xmlns:xlrd2="http://schemas.microsoft.com/office/spreadsheetml/2017/richdata2" ref="B17:AG31">
    <sortCondition descending="1" ref="D16:D31"/>
  </sortState>
  <tableColumns count="32">
    <tableColumn id="1" xr3:uid="{D7746087-6354-4C2B-A6C9-594BC79DAB4C}" name="Inst" dataDxfId="535"/>
    <tableColumn id="2" xr3:uid="{1FD3AE6B-30C0-410A-9BC5-C337A9F49F38}" name="L/S" dataDxfId="534"/>
    <tableColumn id="3" xr3:uid="{D57048C9-44F0-4CFE-93AC-B3002AD014A3}" name="O/C" dataDxfId="533">
      <calculatedColumnFormula>IF(E17&lt;&gt;"",IF(K17&lt;&gt;"","C","O"),"")</calculatedColumnFormula>
    </tableColumn>
    <tableColumn id="4" xr3:uid="{77A05C42-5A44-4D15-895F-6CD46A54ED7D}" name="DATE" dataDxfId="532"/>
    <tableColumn id="5" xr3:uid="{66379AD3-D6B5-45A8-987E-4DA069910105}" name="INST." dataDxfId="531"/>
    <tableColumn id="6" xr3:uid="{85204021-E23C-4E13-8164-ECA04828573D}" name="ENTRY " dataDxfId="530"/>
    <tableColumn id="7" xr3:uid="{26A10545-40A6-43E1-9833-34D711E01328}" name="STOP " dataDxfId="529"/>
    <tableColumn id="8" xr3:uid="{803EDB19-957E-4DD1-98D4-6E97B54C17E0}" name="TR_x000a_(in Pips)" dataDxfId="528">
      <calculatedColumnFormula>ABS(G17-H17)</calculatedColumnFormula>
    </tableColumn>
    <tableColumn id="9" xr3:uid="{267A54D6-399F-4A0D-A2DD-CC149D44445E}" name="TARGET" dataDxfId="527"/>
    <tableColumn id="10" xr3:uid="{0BCB3C3E-B84F-432D-A5CF-441EF5C11924}" name="DATE2" dataDxfId="526"/>
    <tableColumn id="11" xr3:uid="{8D4E03F4-0EFA-46A0-9053-096FCA010DA6}" name="EXIT" dataDxfId="525"/>
    <tableColumn id="12" xr3:uid="{ED7735C0-4AC7-4E48-AB9C-4848FB2EC4D4}" name="RESULT" dataDxfId="524">
      <calculatedColumnFormula>ROUND(IF(C17="L",(L17-G17),(G17-L17)),4)</calculatedColumnFormula>
    </tableColumn>
    <tableColumn id="13" xr3:uid="{23D10C3F-194F-4B30-9508-929E54C53036}" name="No. of Rs" dataDxfId="523">
      <calculatedColumnFormula>IFERROR(ROUND((M17/I17),2),"")</calculatedColumnFormula>
    </tableColumn>
    <tableColumn id="14" xr3:uid="{32F9B4B9-1899-4613-8FEC-E53613F844D3}" name="Heat" dataDxfId="522">
      <calculatedColumnFormula>IF(D17="O",IF(N17&lt;0,N17,0),0)</calculatedColumnFormula>
    </tableColumn>
    <tableColumn id="15" xr3:uid="{D84727B7-DE72-4562-9750-2D60B7B10B72}" name=" TR WIN" dataDxfId="521">
      <calculatedColumnFormula>IF(N17&gt;= 0,N17,0)</calculatedColumnFormula>
    </tableColumn>
    <tableColumn id="16" xr3:uid="{1BE15FCC-22EF-4E9B-885C-73E797046850}" name=" TR LOSS" dataDxfId="520">
      <calculatedColumnFormula>IF(N17&lt;0,N17,0)</calculatedColumnFormula>
    </tableColumn>
    <tableColumn id="33" xr3:uid="{479FA716-71B6-4AC0-9DEE-43C0DC3926B7}" name="Initial Losing Trade" dataDxfId="519">
      <calculatedColumnFormula>IF(AND(OFFSET(Tabla336106734818[[#This Row],[Equity]],1,0)="",Tabla336106734818[[#This Row],[No. of Rs]]&lt;0),"Yes",IF(AND(OFFSET(Tabla336106734818[[#This Row],[Initial Losing Trade]],1,0)="Yes",Tabla336106734818[[#This Row],[No. of Rs]]&lt;0),"Yes","No"))</calculatedColumnFormula>
    </tableColumn>
    <tableColumn id="30" xr3:uid="{AFA71992-0E0C-4D49-95E9-45A491BE729F}" name="Equity" dataDxfId="518">
      <calculatedColumnFormula>IF(OFFSET(Tabla336106734818[[#This Row],[Equity]],1,0)="",IF(Tabla336106734818[[#This Row],[No. of Rs]]="",$F$11,$F$11+($F$11*Tabla336106734818[[#This Row],[No. of Rs]]/100)),IF(Tabla336106734818[[#This Row],[No. of Rs]]="",OFFSET(Tabla336106734818[[#This Row],[Equity]],1,0),OFFSET(Tabla336106734818[[#This Row],[Equity]],1,0)+($F$11*Tabla336106734818[[#This Row],[No. of Rs]]/100)))</calculatedColumnFormula>
    </tableColumn>
    <tableColumn id="32" xr3:uid="{AFB2BF74-E800-46C5-85EE-05649EA9B0F7}" name="Equity Peak" dataDxfId="517">
      <calculatedColumnFormula>IF(OFFSET(Tabla336106734818[[#This Row],[Equity Peak]],1,0)="",IF(Tabla336106734818[[#This Row],[Initial Losing Trade]]="Yes",$F$11,Tabla336106734818[[#This Row],[Equity]]),IF(OFFSET(Tabla336106734818[[#This Row],[Equity Peak]],1,0)&gt;Tabla336106734818[[#This Row],[Equity]],OFFSET(Tabla336106734818[[#This Row],[Equity Peak]],1,0),Tabla336106734818[[#This Row],[Equity]]))</calculatedColumnFormula>
    </tableColumn>
    <tableColumn id="31" xr3:uid="{280903CD-C5B1-4909-8D48-268D77F69B33}" name="Drawdown" dataDxfId="516">
      <calculatedColumnFormula>IF(Tabla336106734818[[#This Row],[Equity]]&lt;Tabla336106734818[[#This Row],[Equity Peak]],(Tabla336106734818[[#This Row],[Equity Peak]]-Tabla336106734818[[#This Row],[Equity]])/Tabla336106734818[[#This Row],[Equity Peak]],"")</calculatedColumnFormula>
    </tableColumn>
    <tableColumn id="17" xr3:uid="{736E8779-2EF7-4968-B0CB-A0B833B8C9B0}" name="Currency" dataDxfId="515">
      <calculatedColumnFormula>IF(B17="FX",N17,0)</calculatedColumnFormula>
    </tableColumn>
    <tableColumn id="18" xr3:uid="{FD251661-8904-4C47-BC46-EC5A2CE3E3FF}" name="Heat3" dataDxfId="514">
      <calculatedColumnFormula>IF(D17="O",IF(V17&lt;0,V17,0),0)</calculatedColumnFormula>
    </tableColumn>
    <tableColumn id="19" xr3:uid="{D1E5F526-23F4-4C62-804B-E205DA56595D}" name="Commodities" dataDxfId="513">
      <calculatedColumnFormula>IF(B17="COM",N17,0)</calculatedColumnFormula>
    </tableColumn>
    <tableColumn id="20" xr3:uid="{82CD73E3-852C-40DD-A602-DDD22C31DB77}" name="Heat4" dataDxfId="512">
      <calculatedColumnFormula>IF(D17="O",IF(X17&lt;0,X17,0),0)</calculatedColumnFormula>
    </tableColumn>
    <tableColumn id="21" xr3:uid="{5237A37D-111F-4B6E-B566-6F9805055F51}" name="Index" dataDxfId="511">
      <calculatedColumnFormula>IF(B17="IND",N17,0)</calculatedColumnFormula>
    </tableColumn>
    <tableColumn id="22" xr3:uid="{504971DE-F637-4BAE-83D5-2CBE5D7672E3}" name="Heat5" dataDxfId="510">
      <calculatedColumnFormula>IF(D17="O",IF(Z17&lt;0,Z17,0),0)</calculatedColumnFormula>
    </tableColumn>
    <tableColumn id="27" xr3:uid="{AC633394-6143-43E4-93F9-2B00CAA618DD}" name="Cryptocurrency" dataDxfId="509">
      <calculatedColumnFormula>IF(B17="CRYPTO",N17,0)</calculatedColumnFormula>
    </tableColumn>
    <tableColumn id="28" xr3:uid="{2513B771-A246-4B85-9D9D-4235669A4717}" name="Heat6" dataDxfId="508">
      <calculatedColumnFormula>IF(D17="O",IF(AB17&lt;0,AB17,0),0)</calculatedColumnFormula>
    </tableColumn>
    <tableColumn id="23" xr3:uid="{EDA4CB45-2070-4BAC-8076-5D77DD511EF2}" name="Length of _x000a_Trade" dataDxfId="507">
      <calculatedColumnFormula>IF(K17&lt;&gt;"",K17-E17,0)</calculatedColumnFormula>
    </tableColumn>
    <tableColumn id="24" xr3:uid="{2D33B4A2-9821-42BC-BB98-4CECF024CEEF}" name="Win" dataDxfId="506">
      <calculatedColumnFormula>IF(N17&gt;0,AD17,0)</calculatedColumnFormula>
    </tableColumn>
    <tableColumn id="25" xr3:uid="{80CEAFDA-2961-406A-9F8B-6A2EF9CFEBFB}" name="Loss" dataDxfId="505">
      <calculatedColumnFormula>IF(N17&lt;0,AD17,0)</calculatedColumnFormula>
    </tableColumn>
    <tableColumn id="26" xr3:uid="{EEE05F01-45F1-49F9-BE86-D13D44F9BFB6}" name="Breakeven" dataDxfId="504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9DCA823-828C-481A-9188-69D21C457E30}" name="Tabla33610673487" displayName="Tabla33610673487" ref="B16:AG37" totalsRowShown="0" headerRowDxfId="495" dataDxfId="494">
  <autoFilter ref="B16:AG37" xr:uid="{00000000-0009-0000-0100-000009000000}"/>
  <sortState xmlns:xlrd2="http://schemas.microsoft.com/office/spreadsheetml/2017/richdata2" ref="B17:AG37">
    <sortCondition descending="1" ref="D16:D37"/>
  </sortState>
  <tableColumns count="32">
    <tableColumn id="1" xr3:uid="{4605BAAA-E080-4432-9B73-DBD2235D2819}" name="Inst" dataDxfId="493"/>
    <tableColumn id="2" xr3:uid="{C0839395-578D-4CDC-BA63-4ADEFAD603AD}" name="L/S" dataDxfId="492"/>
    <tableColumn id="3" xr3:uid="{C6ED6F34-7E9A-4BD0-A8CE-0A4DC887C8BA}" name="O/C" dataDxfId="491">
      <calculatedColumnFormula>IF(E17&lt;&gt;"",IF(K17&lt;&gt;"","C","O"),"")</calculatedColumnFormula>
    </tableColumn>
    <tableColumn id="4" xr3:uid="{A9F43AB1-C3AB-41E8-BBE1-3F4CFB04CC82}" name="DATE" dataDxfId="490"/>
    <tableColumn id="5" xr3:uid="{66FF759F-C333-443A-A853-DBE7A8AFDA71}" name="INST." dataDxfId="489"/>
    <tableColumn id="6" xr3:uid="{89899C3B-AA75-42DE-83CF-57CE5D0A8729}" name="ENTRY " dataDxfId="488"/>
    <tableColumn id="7" xr3:uid="{F858B79A-F6E2-479B-BBEE-874CE9A283BF}" name="STOP " dataDxfId="487"/>
    <tableColumn id="8" xr3:uid="{4250225D-7C88-441C-BCD0-7490A3EE9B57}" name="TR_x000a_(in Pips)" dataDxfId="486">
      <calculatedColumnFormula>ABS(G17-H17)</calculatedColumnFormula>
    </tableColumn>
    <tableColumn id="9" xr3:uid="{D2A6617F-EACF-4FF3-8639-D66DEA261F25}" name="TARGET" dataDxfId="485"/>
    <tableColumn id="10" xr3:uid="{A7DE512D-B84C-4E8D-A6BD-2A9202BF4650}" name="DATE2" dataDxfId="484"/>
    <tableColumn id="11" xr3:uid="{10643205-20B7-45FC-8F7C-05778FCEB867}" name="EXIT" dataDxfId="483"/>
    <tableColumn id="12" xr3:uid="{8DD248FD-EBFF-46B2-AE67-CFC27BA15813}" name="RESULT" dataDxfId="482">
      <calculatedColumnFormula>ROUND(IF(C17="L",(L17-G17),(G17-L17)),4)</calculatedColumnFormula>
    </tableColumn>
    <tableColumn id="13" xr3:uid="{4921F856-9A68-4066-911D-5252B0A8197A}" name="No. of Rs" dataDxfId="481">
      <calculatedColumnFormula>IFERROR(ROUND((M17/I17),2),"")</calculatedColumnFormula>
    </tableColumn>
    <tableColumn id="14" xr3:uid="{95AA26AB-369C-482E-B90B-B425BAC7DDFE}" name="Heat" dataDxfId="480">
      <calculatedColumnFormula>IF(D17="O",IF(N17&lt;0,N17,0),0)</calculatedColumnFormula>
    </tableColumn>
    <tableColumn id="15" xr3:uid="{4CFDDBE5-F918-4430-B04D-2B644EF6085F}" name=" TR WIN" dataDxfId="479">
      <calculatedColumnFormula>IF(N17&gt;= 0,N17,0)</calculatedColumnFormula>
    </tableColumn>
    <tableColumn id="16" xr3:uid="{116EBDB1-4415-46B2-ACE1-DB3BA7A5B4B7}" name=" TR LOSS" dataDxfId="478">
      <calculatedColumnFormula>IF(N17&lt;0,N17,0)</calculatedColumnFormula>
    </tableColumn>
    <tableColumn id="33" xr3:uid="{F44A9986-7A16-478A-8476-DD11323A2587}" name="Initial Losing Trade" dataDxfId="477">
      <calculatedColumnFormula>IF(AND(OFFSET(Tabla33610673487[[#This Row],[Equity]],1,0)="",Tabla33610673487[[#This Row],[No. of Rs]]&lt;0),"Yes",IF(AND(OFFSET(Tabla33610673487[[#This Row],[Initial Losing Trade]],1,0)="Yes",Tabla33610673487[[#This Row],[No. of Rs]]&lt;0),"Yes","No"))</calculatedColumnFormula>
    </tableColumn>
    <tableColumn id="30" xr3:uid="{0877814F-3D0A-46B4-89D3-CE29B47C4D8C}" name="Equity" dataDxfId="476">
      <calculatedColumnFormula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calculatedColumnFormula>
    </tableColumn>
    <tableColumn id="32" xr3:uid="{B5DA1650-EDCA-43E5-BC70-A47E69675DF4}" name="Equity Peak" dataDxfId="475">
      <calculatedColumnFormula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calculatedColumnFormula>
    </tableColumn>
    <tableColumn id="31" xr3:uid="{21872658-69A7-4E4A-A11A-C31FD64E8B90}" name="Drawdown" dataDxfId="474">
      <calculatedColumnFormula>IF(Tabla33610673487[[#This Row],[Equity]]&lt;Tabla33610673487[[#This Row],[Equity Peak]],(Tabla33610673487[[#This Row],[Equity Peak]]-Tabla33610673487[[#This Row],[Equity]])/Tabla33610673487[[#This Row],[Equity Peak]],"")</calculatedColumnFormula>
    </tableColumn>
    <tableColumn id="17" xr3:uid="{E7665350-3CEA-4565-8EFB-564BAECFC76D}" name="Currency" dataDxfId="473">
      <calculatedColumnFormula>IF(B17="FX",N17,0)</calculatedColumnFormula>
    </tableColumn>
    <tableColumn id="18" xr3:uid="{E109A1A8-F707-40EB-91F7-6D7AAEE52A15}" name="Heat3" dataDxfId="472">
      <calculatedColumnFormula>IF(D17="O",IF(V17&lt;0,V17,0),0)</calculatedColumnFormula>
    </tableColumn>
    <tableColumn id="19" xr3:uid="{211A9DC5-F5CB-434A-A425-69414120CBEB}" name="Commodities" dataDxfId="471">
      <calculatedColumnFormula>IF(B17="COM",N17,0)</calculatedColumnFormula>
    </tableColumn>
    <tableColumn id="20" xr3:uid="{E1B42C24-B710-4768-BD4A-00413A1EC3DB}" name="Heat4" dataDxfId="470">
      <calculatedColumnFormula>IF(D17="O",IF(X17&lt;0,X17,0),0)</calculatedColumnFormula>
    </tableColumn>
    <tableColumn id="21" xr3:uid="{67371655-9382-47DE-80C5-C4B6BCB394DF}" name="Index" dataDxfId="469">
      <calculatedColumnFormula>IF(B17="IND",N17,0)</calculatedColumnFormula>
    </tableColumn>
    <tableColumn id="22" xr3:uid="{5EB862B9-0536-4B36-93BF-E175564B8DEC}" name="Heat5" dataDxfId="468">
      <calculatedColumnFormula>IF(D17="O",IF(Z17&lt;0,Z17,0),0)</calculatedColumnFormula>
    </tableColumn>
    <tableColumn id="27" xr3:uid="{B217A3C7-501F-4A98-9FAD-2DBDE248A2E1}" name="Cryptocurrency" dataDxfId="467">
      <calculatedColumnFormula>IF(B17="CRYPTO",N17,0)</calculatedColumnFormula>
    </tableColumn>
    <tableColumn id="28" xr3:uid="{4864EFC1-CD9D-4C14-8F9F-40226A819FC8}" name="Heat6" dataDxfId="466">
      <calculatedColumnFormula>IF(D17="O",IF(AB17&lt;0,AB17,0),0)</calculatedColumnFormula>
    </tableColumn>
    <tableColumn id="23" xr3:uid="{62982577-9E1F-42C1-8F0D-6393F5304BB4}" name="Length of _x000a_Trade" dataDxfId="465">
      <calculatedColumnFormula>IF(K17&lt;&gt;"",K17-E17,0)</calculatedColumnFormula>
    </tableColumn>
    <tableColumn id="24" xr3:uid="{215576A8-5C83-4D10-B143-AA4156E11038}" name="Win" dataDxfId="464">
      <calculatedColumnFormula>IF(N17&gt;0,AD17,0)</calculatedColumnFormula>
    </tableColumn>
    <tableColumn id="25" xr3:uid="{3B64A97B-5C3C-48F9-8CD4-90412237B9AD}" name="Loss" dataDxfId="463">
      <calculatedColumnFormula>IF(N17&lt;0,AD17,0)</calculatedColumnFormula>
    </tableColumn>
    <tableColumn id="26" xr3:uid="{CCC44D5E-F005-4DE6-B08C-E8DDE4CE6373}" name="Breakeven" dataDxfId="462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D55EFFD-332E-4659-8AD4-350CA9E0C643}" name="Tabla336106734820" displayName="Tabla336106734820" ref="B16:AG35" totalsRowShown="0" headerRowDxfId="453" dataDxfId="452">
  <autoFilter ref="B16:AG35" xr:uid="{00000000-0009-0000-0100-000009000000}"/>
  <sortState xmlns:xlrd2="http://schemas.microsoft.com/office/spreadsheetml/2017/richdata2" ref="B17:AG35">
    <sortCondition descending="1" ref="D16:D35"/>
  </sortState>
  <tableColumns count="32">
    <tableColumn id="1" xr3:uid="{858B929A-2ECE-4C71-B826-FD2D74C7C29C}" name="Inst" dataDxfId="451"/>
    <tableColumn id="2" xr3:uid="{953F9AF4-FDE0-40DA-A873-4C31B8211867}" name="L/S" dataDxfId="450"/>
    <tableColumn id="3" xr3:uid="{241EFCFE-5673-44B6-A91B-5CB8A2D9BA91}" name="O/C" dataDxfId="449">
      <calculatedColumnFormula>IF(E17&lt;&gt;"",IF(K17&lt;&gt;"","C","O"),"")</calculatedColumnFormula>
    </tableColumn>
    <tableColumn id="4" xr3:uid="{4E1D303E-8351-4F72-921D-5D53BB530A99}" name="DATE" dataDxfId="448"/>
    <tableColumn id="5" xr3:uid="{163F4342-E6DA-4917-8787-9D2E343E5DD8}" name="INST." dataDxfId="447"/>
    <tableColumn id="6" xr3:uid="{5FCEF02C-0AB9-4F39-907A-6A4C74EC1AB5}" name="ENTRY " dataDxfId="446"/>
    <tableColumn id="7" xr3:uid="{0975BC57-F98B-47DA-8C23-3866F6E7125F}" name="STOP " dataDxfId="445"/>
    <tableColumn id="8" xr3:uid="{86C07F0D-3290-4459-A8D3-EF6FB74A7285}" name="TR_x000a_(in Pips)" dataDxfId="444">
      <calculatedColumnFormula>ABS(G17-H17)</calculatedColumnFormula>
    </tableColumn>
    <tableColumn id="9" xr3:uid="{CB2DD69F-700F-468E-86CD-1D5E7A906CB0}" name="TARGET" dataDxfId="443"/>
    <tableColumn id="10" xr3:uid="{C49D63D1-34AE-4BAE-94F2-C59DF3D928AF}" name="DATE2" dataDxfId="442"/>
    <tableColumn id="11" xr3:uid="{FC66C145-3358-45D7-9AD9-56C9A98C94A3}" name="EXIT" dataDxfId="441"/>
    <tableColumn id="12" xr3:uid="{B56E9FCD-1466-4066-985D-552663A1E03A}" name="RESULT" dataDxfId="440">
      <calculatedColumnFormula>ROUND(IF(C17="L",(L17-G17),(G17-L17)),4)</calculatedColumnFormula>
    </tableColumn>
    <tableColumn id="13" xr3:uid="{08FC2666-7AB9-4B9F-9A1E-0E31198A35BE}" name="No. of Rs" dataDxfId="439">
      <calculatedColumnFormula>IFERROR(ROUND((M17/I17),2),"")</calculatedColumnFormula>
    </tableColumn>
    <tableColumn id="14" xr3:uid="{6BE3C59F-D9BE-4A62-9D80-7261C8062DA4}" name="Heat" dataDxfId="438">
      <calculatedColumnFormula>IF(D17="O",IF(N17&lt;0,N17,0),0)</calculatedColumnFormula>
    </tableColumn>
    <tableColumn id="15" xr3:uid="{A4BD4CCD-24BE-461B-A686-EA026D1E05D0}" name=" TR WIN" dataDxfId="437">
      <calculatedColumnFormula>IF(N17&gt;= 0,N17,0)</calculatedColumnFormula>
    </tableColumn>
    <tableColumn id="16" xr3:uid="{FFFBAAF5-6C4F-440C-B822-95EC9A87BABF}" name=" TR LOSS" dataDxfId="436">
      <calculatedColumnFormula>IF(N17&lt;0,N17,0)</calculatedColumnFormula>
    </tableColumn>
    <tableColumn id="33" xr3:uid="{875B0417-04BA-41EF-B98E-AEF823F8B008}" name="Initial Losing Trade" dataDxfId="435">
      <calculatedColumnFormula>IF(AND(OFFSET(Tabla336106734820[[#This Row],[Equity]],1,0)="",Tabla336106734820[[#This Row],[No. of Rs]]&lt;0),"Yes",IF(AND(OFFSET(Tabla336106734820[[#This Row],[Initial Losing Trade]],1,0)="Yes",Tabla336106734820[[#This Row],[No. of Rs]]&lt;0),"Yes","No"))</calculatedColumnFormula>
    </tableColumn>
    <tableColumn id="30" xr3:uid="{DF8156E3-C75C-4133-8DD3-0519B464F2FB}" name="Equity" dataDxfId="434">
      <calculatedColumnFormula>IF(OFFSET(Tabla336106734820[[#This Row],[Equity]],1,0)="",IF(Tabla336106734820[[#This Row],[No. of Rs]]="",$F$11,$F$11+($F$11*Tabla336106734820[[#This Row],[No. of Rs]]/100)),IF(Tabla336106734820[[#This Row],[No. of Rs]]="",OFFSET(Tabla336106734820[[#This Row],[Equity]],1,0),OFFSET(Tabla336106734820[[#This Row],[Equity]],1,0)+($F$11*Tabla336106734820[[#This Row],[No. of Rs]]/100)))</calculatedColumnFormula>
    </tableColumn>
    <tableColumn id="32" xr3:uid="{84B15EB0-0F2F-4E62-8677-A413E9D2C030}" name="Equity Peak" dataDxfId="433">
      <calculatedColumnFormula>IF(OFFSET(Tabla336106734820[[#This Row],[Equity Peak]],1,0)="",IF(Tabla336106734820[[#This Row],[Initial Losing Trade]]="Yes",$F$11,Tabla336106734820[[#This Row],[Equity]]),IF(OFFSET(Tabla336106734820[[#This Row],[Equity Peak]],1,0)&gt;Tabla336106734820[[#This Row],[Equity]],OFFSET(Tabla336106734820[[#This Row],[Equity Peak]],1,0),Tabla336106734820[[#This Row],[Equity]]))</calculatedColumnFormula>
    </tableColumn>
    <tableColumn id="31" xr3:uid="{0212806E-941C-4CC0-8C67-4BFD658FBA56}" name="Drawdown" dataDxfId="432">
      <calculatedColumnFormula>IF(Tabla336106734820[[#This Row],[Equity]]&lt;Tabla336106734820[[#This Row],[Equity Peak]],(Tabla336106734820[[#This Row],[Equity Peak]]-Tabla336106734820[[#This Row],[Equity]])/Tabla336106734820[[#This Row],[Equity Peak]],"")</calculatedColumnFormula>
    </tableColumn>
    <tableColumn id="17" xr3:uid="{6245FE13-A7B3-4ED6-B560-8DFB84FDD70F}" name="Currency" dataDxfId="431">
      <calculatedColumnFormula>IF(B17="FX",N17,0)</calculatedColumnFormula>
    </tableColumn>
    <tableColumn id="18" xr3:uid="{F9D3199C-294A-45CF-923B-8ACB9BED9DE7}" name="Heat3" dataDxfId="430">
      <calculatedColumnFormula>IF(D17="O",IF(V17&lt;0,V17,0),0)</calculatedColumnFormula>
    </tableColumn>
    <tableColumn id="19" xr3:uid="{FE6EB8C2-7113-4966-A868-B538B16D5F7C}" name="Commodities" dataDxfId="429">
      <calculatedColumnFormula>IF(B17="COM",N17,0)</calculatedColumnFormula>
    </tableColumn>
    <tableColumn id="20" xr3:uid="{78DE7D1F-2446-450C-B155-47050E3A75DB}" name="Heat4" dataDxfId="428">
      <calculatedColumnFormula>IF(D17="O",IF(X17&lt;0,X17,0),0)</calculatedColumnFormula>
    </tableColumn>
    <tableColumn id="21" xr3:uid="{0F030171-2555-481A-A477-29DC4C86836E}" name="Index" dataDxfId="427">
      <calculatedColumnFormula>IF(B17="IND",N17,0)</calculatedColumnFormula>
    </tableColumn>
    <tableColumn id="22" xr3:uid="{56C944A0-7368-41FF-A503-A8402B42D61E}" name="Heat5" dataDxfId="426">
      <calculatedColumnFormula>IF(D17="O",IF(Z17&lt;0,Z17,0),0)</calculatedColumnFormula>
    </tableColumn>
    <tableColumn id="27" xr3:uid="{4B6276F4-3995-4F7F-9961-7B44A7C21D9C}" name="Cryptocurrency" dataDxfId="425">
      <calculatedColumnFormula>IF(B17="CRYPTO",N17,0)</calculatedColumnFormula>
    </tableColumn>
    <tableColumn id="28" xr3:uid="{D4235797-5BAE-4889-8EF8-709E06A020B8}" name="Heat6" dataDxfId="424">
      <calculatedColumnFormula>IF(D17="O",IF(AB17&lt;0,AB17,0),0)</calculatedColumnFormula>
    </tableColumn>
    <tableColumn id="23" xr3:uid="{83E98E5A-3A30-42EA-9901-01A8184FD4A7}" name="Length of _x000a_Trade" dataDxfId="423">
      <calculatedColumnFormula>IF(K17&lt;&gt;"",K17-E17,0)</calculatedColumnFormula>
    </tableColumn>
    <tableColumn id="24" xr3:uid="{13622C59-F1F6-4F56-8619-8D16FBBA1846}" name="Win" dataDxfId="422">
      <calculatedColumnFormula>IF(N17&gt;0,AD17,0)</calculatedColumnFormula>
    </tableColumn>
    <tableColumn id="25" xr3:uid="{295E6261-4D0B-4400-B4E3-F71DB39390A1}" name="Loss" dataDxfId="421">
      <calculatedColumnFormula>IF(N17&lt;0,AD17,0)</calculatedColumnFormula>
    </tableColumn>
    <tableColumn id="26" xr3:uid="{CEEFF8F1-3D26-4EC5-A38E-58DBD02A0816}" name="Breakeven" dataDxfId="420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A7EED59-A505-4735-ABB7-55238989D4F5}" name="Tabla33610673489" displayName="Tabla33610673489" ref="B16:AG42" totalsRowShown="0" headerRowDxfId="411" dataDxfId="410">
  <autoFilter ref="B16:AG42" xr:uid="{00000000-0009-0000-0100-000009000000}"/>
  <sortState xmlns:xlrd2="http://schemas.microsoft.com/office/spreadsheetml/2017/richdata2" ref="B17:AG42">
    <sortCondition descending="1" ref="D16:D42"/>
  </sortState>
  <tableColumns count="32">
    <tableColumn id="1" xr3:uid="{D6C25AA8-4C9C-4374-9E33-30642C2592D5}" name="Inst" dataDxfId="409"/>
    <tableColumn id="2" xr3:uid="{ED0142E5-5212-44A6-AB08-8DB8F9E569C2}" name="L/S" dataDxfId="408"/>
    <tableColumn id="3" xr3:uid="{B2D2BA38-01D7-4AE3-B499-D3ECEF8B4725}" name="O/C" dataDxfId="407">
      <calculatedColumnFormula>IF(E17&lt;&gt;"",IF(K17&lt;&gt;"","C","O"),"")</calculatedColumnFormula>
    </tableColumn>
    <tableColumn id="4" xr3:uid="{B3743894-D648-4D35-A15B-9B9558E30DE8}" name="DATE" dataDxfId="406"/>
    <tableColumn id="5" xr3:uid="{F5454CEC-36C1-4976-8CD4-82D6A3D21894}" name="INST." dataDxfId="405"/>
    <tableColumn id="6" xr3:uid="{8C24A514-6246-496A-AF9D-4ACFB58E380D}" name="ENTRY " dataDxfId="404"/>
    <tableColumn id="7" xr3:uid="{7ADCA3AF-6271-4FB2-8A0E-9565700BACF7}" name="STOP " dataDxfId="403"/>
    <tableColumn id="8" xr3:uid="{4B3EA27F-7DB2-4FA7-AC7A-9EC9DED54ECE}" name="TR_x000a_(in Pips)" dataDxfId="402">
      <calculatedColumnFormula>ABS(G17-H17)</calculatedColumnFormula>
    </tableColumn>
    <tableColumn id="9" xr3:uid="{7E529C42-0136-4CCF-80BC-812B6A412B84}" name="TARGET" dataDxfId="401"/>
    <tableColumn id="10" xr3:uid="{2D05E442-A103-4F70-9FF7-A12076B5A877}" name="DATE2" dataDxfId="400"/>
    <tableColumn id="11" xr3:uid="{33B1B2DD-DFB8-427B-9E29-9858708E7862}" name="EXIT" dataDxfId="399"/>
    <tableColumn id="12" xr3:uid="{0051016F-AC27-4A25-A8E2-C73C38B918ED}" name="RESULT" dataDxfId="398">
      <calculatedColumnFormula>ROUND(IF(C17="L",(L17-G17),(G17-L17)),4)</calculatedColumnFormula>
    </tableColumn>
    <tableColumn id="13" xr3:uid="{8BD635E1-035F-4173-9FD7-BD23E9C2F1AB}" name="No. of Rs" dataDxfId="397">
      <calculatedColumnFormula>IFERROR(ROUND((M17/I17),2),"")</calculatedColumnFormula>
    </tableColumn>
    <tableColumn id="14" xr3:uid="{41F8303F-F3AF-4509-BF3E-D8DFC1D35C59}" name="Heat" dataDxfId="396">
      <calculatedColumnFormula>IF(D17="O",IF(N17&lt;0,N17,0),0)</calculatedColumnFormula>
    </tableColumn>
    <tableColumn id="15" xr3:uid="{C9A6FAF0-29D3-4F6E-B0B6-8089D415A43C}" name=" TR WIN" dataDxfId="395">
      <calculatedColumnFormula>IF(N17&gt;= 0,N17,0)</calculatedColumnFormula>
    </tableColumn>
    <tableColumn id="16" xr3:uid="{21FB96AB-3116-4163-A142-4B3A7B732970}" name=" TR LOSS" dataDxfId="394">
      <calculatedColumnFormula>IF(N17&lt;0,N17,0)</calculatedColumnFormula>
    </tableColumn>
    <tableColumn id="33" xr3:uid="{710B54AA-28A2-46DD-B18B-3A11B05559E0}" name="Initial Losing Trade" dataDxfId="393">
      <calculatedColumnFormula>IF(AND(OFFSET(Tabla33610673489[[#This Row],[Equity]],1,0)="",Tabla33610673489[[#This Row],[No. of Rs]]&lt;0),"Yes",IF(AND(OFFSET(Tabla33610673489[[#This Row],[Initial Losing Trade]],1,0)="Yes",Tabla33610673489[[#This Row],[No. of Rs]]&lt;0),"Yes","No"))</calculatedColumnFormula>
    </tableColumn>
    <tableColumn id="30" xr3:uid="{9CF8498F-CA42-4CB4-823C-E9DAFB509E90}" name="Equity" dataDxfId="392">
      <calculatedColumnFormula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calculatedColumnFormula>
    </tableColumn>
    <tableColumn id="32" xr3:uid="{DD95A26B-747B-4511-8324-73B665FF7B65}" name="Equity Peak" dataDxfId="391">
      <calculatedColumnFormula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calculatedColumnFormula>
    </tableColumn>
    <tableColumn id="31" xr3:uid="{BE167F1E-AEA0-4324-ADCC-D0B12EC35DF9}" name="Drawdown" dataDxfId="390">
      <calculatedColumnFormula>IF(Tabla33610673489[[#This Row],[Equity]]&lt;Tabla33610673489[[#This Row],[Equity Peak]],(Tabla33610673489[[#This Row],[Equity Peak]]-Tabla33610673489[[#This Row],[Equity]])/Tabla33610673489[[#This Row],[Equity Peak]],"")</calculatedColumnFormula>
    </tableColumn>
    <tableColumn id="17" xr3:uid="{6979F90E-6CF9-41AF-B1B1-ABA0FCB21631}" name="Currency" dataDxfId="389">
      <calculatedColumnFormula>IF(B17="FX",N17,0)</calculatedColumnFormula>
    </tableColumn>
    <tableColumn id="18" xr3:uid="{06658DD1-6520-4EC1-9CE6-95E06F64CC91}" name="Heat3" dataDxfId="388">
      <calculatedColumnFormula>IF(D17="O",IF(V17&lt;0,V17,0),0)</calculatedColumnFormula>
    </tableColumn>
    <tableColumn id="19" xr3:uid="{5FB277B2-386D-4402-837B-EA650E616424}" name="Commodities" dataDxfId="387">
      <calculatedColumnFormula>IF(B17="COM",N17,0)</calculatedColumnFormula>
    </tableColumn>
    <tableColumn id="20" xr3:uid="{5C7BE74E-F7F1-4315-A7B7-08E1162BD6D9}" name="Heat4" dataDxfId="386">
      <calculatedColumnFormula>IF(D17="O",IF(X17&lt;0,X17,0),0)</calculatedColumnFormula>
    </tableColumn>
    <tableColumn id="21" xr3:uid="{12D25617-2543-43E6-AE08-AA62CF873488}" name="Index" dataDxfId="385">
      <calculatedColumnFormula>IF(B17="IND",N17,0)</calculatedColumnFormula>
    </tableColumn>
    <tableColumn id="22" xr3:uid="{9ABEC3C0-DBA3-4935-B18C-BAEFD7201FC7}" name="Heat5" dataDxfId="384">
      <calculatedColumnFormula>IF(D17="O",IF(Z17&lt;0,Z17,0),0)</calculatedColumnFormula>
    </tableColumn>
    <tableColumn id="27" xr3:uid="{55418DE8-28F4-4F5B-AA7C-47249CE78957}" name="Cryptocurrency" dataDxfId="383">
      <calculatedColumnFormula>IF(B17="CRYPTO",N17,0)</calculatedColumnFormula>
    </tableColumn>
    <tableColumn id="28" xr3:uid="{CBE36B60-65F8-4EC6-872E-B967011C689F}" name="Heat6" dataDxfId="382">
      <calculatedColumnFormula>IF(D17="O",IF(AB17&lt;0,AB17,0),0)</calculatedColumnFormula>
    </tableColumn>
    <tableColumn id="23" xr3:uid="{7ACCB82F-9042-42B9-BCC3-FFF03C909595}" name="Length of _x000a_Trade" dataDxfId="381">
      <calculatedColumnFormula>IF(K17&lt;&gt;"",K17-E17,0)</calculatedColumnFormula>
    </tableColumn>
    <tableColumn id="24" xr3:uid="{F8BA6D8E-C951-4D69-BAF3-0DF90BD3EC5E}" name="Win" dataDxfId="380">
      <calculatedColumnFormula>IF(N17&gt;0,AD17,0)</calculatedColumnFormula>
    </tableColumn>
    <tableColumn id="25" xr3:uid="{282D384C-AB75-4CC3-B2B2-AC2D24FBD8B7}" name="Loss" dataDxfId="379">
      <calculatedColumnFormula>IF(N17&lt;0,AD17,0)</calculatedColumnFormula>
    </tableColumn>
    <tableColumn id="26" xr3:uid="{56EB4FBA-C987-48E0-A9B4-2E455009D843}" name="Breakeven" dataDxfId="378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2CC8C6AD-D1E5-4844-AD94-4443A1184A63}" name="Tabla336106734821" displayName="Tabla336106734821" ref="B16:AG52" totalsRowShown="0" headerRowDxfId="369" dataDxfId="368">
  <autoFilter ref="B16:AG52" xr:uid="{00000000-0009-0000-0100-000009000000}"/>
  <sortState xmlns:xlrd2="http://schemas.microsoft.com/office/spreadsheetml/2017/richdata2" ref="B17:AG52">
    <sortCondition descending="1" ref="D16:D52"/>
  </sortState>
  <tableColumns count="32">
    <tableColumn id="1" xr3:uid="{3FBF67C7-4E04-471C-A975-DA96E5F7A08B}" name="Inst" dataDxfId="367"/>
    <tableColumn id="2" xr3:uid="{5137A883-ADE9-4CFB-AD76-68588BD29B5F}" name="L/S" dataDxfId="366"/>
    <tableColumn id="3" xr3:uid="{6BAF27B1-C264-4CA5-8163-772E96077465}" name="O/C" dataDxfId="365">
      <calculatedColumnFormula>IF(E17&lt;&gt;"",IF(K17&lt;&gt;"","C","O"),"")</calculatedColumnFormula>
    </tableColumn>
    <tableColumn id="4" xr3:uid="{C22704A5-01B5-480A-90BC-A4D680092E24}" name="DATE" dataDxfId="364"/>
    <tableColumn id="5" xr3:uid="{D8F8E754-52F4-41AA-9793-FE0A82DC1F6B}" name="INST." dataDxfId="363"/>
    <tableColumn id="6" xr3:uid="{242351F4-7937-4E4E-9031-155F32EAD725}" name="ENTRY " dataDxfId="362"/>
    <tableColumn id="7" xr3:uid="{E03B5EAB-2984-4503-857D-E8FF21B2B52D}" name="STOP " dataDxfId="361"/>
    <tableColumn id="8" xr3:uid="{2988A678-19ED-43B2-A0C8-7B075552B066}" name="TR_x000a_(in Pips)" dataDxfId="360">
      <calculatedColumnFormula>ABS(G17-H17)</calculatedColumnFormula>
    </tableColumn>
    <tableColumn id="9" xr3:uid="{45048CB5-9787-4D8C-95A9-08B3720972FF}" name="TARGET" dataDxfId="359"/>
    <tableColumn id="10" xr3:uid="{84AE38C6-F74B-4DBA-BFE3-826F47663CC1}" name="DATE2" dataDxfId="358"/>
    <tableColumn id="11" xr3:uid="{4D9BD64C-E3EA-4BFA-8B8E-9A270DB22947}" name="EXIT" dataDxfId="357"/>
    <tableColumn id="12" xr3:uid="{81CAA357-391B-46B7-9251-F2810F9A75C4}" name="RESULT" dataDxfId="356">
      <calculatedColumnFormula>ROUND(IF(C17="L",(L17-G17),(G17-L17)),4)</calculatedColumnFormula>
    </tableColumn>
    <tableColumn id="13" xr3:uid="{C48E48FA-2D8F-491A-941B-75EB4A7DC1DD}" name="No. of Rs" dataDxfId="355">
      <calculatedColumnFormula>IFERROR(ROUND((M17/I17),2),"")</calculatedColumnFormula>
    </tableColumn>
    <tableColumn id="14" xr3:uid="{A6AF1E0B-8F0A-43B9-AF76-4BE5D80AFBA5}" name="Heat" dataDxfId="354">
      <calculatedColumnFormula>IF(D17="O",IF(N17&lt;0,N17,0),0)</calculatedColumnFormula>
    </tableColumn>
    <tableColumn id="15" xr3:uid="{BBB8DD55-008B-4AD2-BB15-E898A094B856}" name=" TR WIN" dataDxfId="353">
      <calculatedColumnFormula>IF(N17&gt;= 0,N17,0)</calculatedColumnFormula>
    </tableColumn>
    <tableColumn id="16" xr3:uid="{EB332983-EB98-45BE-AA76-A4DAE237923E}" name=" TR LOSS" dataDxfId="352">
      <calculatedColumnFormula>IF(N17&lt;0,N17,0)</calculatedColumnFormula>
    </tableColumn>
    <tableColumn id="33" xr3:uid="{BF4689BA-5545-4643-A61A-CEFD9FA75D71}" name="Initial Losing Trade" dataDxfId="351">
      <calculatedColumnFormula>IF(AND(OFFSET(Tabla336106734821[[#This Row],[Equity]],1,0)="",Tabla336106734821[[#This Row],[No. of Rs]]&lt;0),"Yes",IF(AND(OFFSET(Tabla336106734821[[#This Row],[Initial Losing Trade]],1,0)="Yes",Tabla336106734821[[#This Row],[No. of Rs]]&lt;0),"Yes","No"))</calculatedColumnFormula>
    </tableColumn>
    <tableColumn id="30" xr3:uid="{4E861751-C979-466E-8C04-F63F0419C297}" name="Equity" dataDxfId="350">
      <calculatedColumnFormula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calculatedColumnFormula>
    </tableColumn>
    <tableColumn id="32" xr3:uid="{B83B9994-8120-4DE5-8E99-4857F5DED035}" name="Equity Peak" dataDxfId="349">
      <calculatedColumnFormula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calculatedColumnFormula>
    </tableColumn>
    <tableColumn id="31" xr3:uid="{815A20C6-8C68-422D-8009-08B288412650}" name="Drawdown" dataDxfId="348">
      <calculatedColumnFormula>IF(Tabla336106734821[[#This Row],[Equity]]&lt;Tabla336106734821[[#This Row],[Equity Peak]],(Tabla336106734821[[#This Row],[Equity Peak]]-Tabla336106734821[[#This Row],[Equity]])/Tabla336106734821[[#This Row],[Equity Peak]],"")</calculatedColumnFormula>
    </tableColumn>
    <tableColumn id="17" xr3:uid="{703AF3AE-4FF9-48A4-A8B7-46836C02F63A}" name="Currency" dataDxfId="347">
      <calculatedColumnFormula>IF(B17="FX",N17,0)</calculatedColumnFormula>
    </tableColumn>
    <tableColumn id="18" xr3:uid="{4A27A7F7-5A0C-4579-B012-9B622FD9A558}" name="Heat3" dataDxfId="346">
      <calculatedColumnFormula>IF(D17="O",IF(V17&lt;0,V17,0),0)</calculatedColumnFormula>
    </tableColumn>
    <tableColumn id="19" xr3:uid="{1BC1B91E-66F0-428F-9443-28AA2AFED178}" name="Commodities" dataDxfId="345">
      <calculatedColumnFormula>IF(B17="COM",N17,0)</calculatedColumnFormula>
    </tableColumn>
    <tableColumn id="20" xr3:uid="{A2C85671-3773-46D2-B539-B255F51AE9BF}" name="Heat4" dataDxfId="344">
      <calculatedColumnFormula>IF(D17="O",IF(X17&lt;0,X17,0),0)</calculatedColumnFormula>
    </tableColumn>
    <tableColumn id="21" xr3:uid="{9F41A49C-D9F9-4031-816D-BAC61AF58F97}" name="Index" dataDxfId="343">
      <calculatedColumnFormula>IF(B17="IND",N17,0)</calculatedColumnFormula>
    </tableColumn>
    <tableColumn id="22" xr3:uid="{1B96DD1E-8D70-4E26-913A-5A07656F04C6}" name="Heat5" dataDxfId="342">
      <calculatedColumnFormula>IF(D17="O",IF(Z17&lt;0,Z17,0),0)</calculatedColumnFormula>
    </tableColumn>
    <tableColumn id="27" xr3:uid="{71B9F141-E64F-4328-8C28-41CA95378FC7}" name="Cryptocurrency" dataDxfId="341">
      <calculatedColumnFormula>IF(B17="CRYPTO",N17,0)</calculatedColumnFormula>
    </tableColumn>
    <tableColumn id="28" xr3:uid="{402929B6-B3DB-494E-A25F-EF21F767C78A}" name="Heat6" dataDxfId="340">
      <calculatedColumnFormula>IF(D17="O",IF(AB17&lt;0,AB17,0),0)</calculatedColumnFormula>
    </tableColumn>
    <tableColumn id="23" xr3:uid="{1C4B9500-34A5-4D0A-AF18-C87BA0D9AA91}" name="Length of _x000a_Trade" dataDxfId="339">
      <calculatedColumnFormula>IF(K17&lt;&gt;"",K17-E17,0)</calculatedColumnFormula>
    </tableColumn>
    <tableColumn id="24" xr3:uid="{B6DD69A3-EC61-466D-B809-FB3BA6972DA8}" name="Win" dataDxfId="338">
      <calculatedColumnFormula>IF(N17&gt;0,AD17,0)</calculatedColumnFormula>
    </tableColumn>
    <tableColumn id="25" xr3:uid="{88377105-E046-44A6-B715-86D460078C1B}" name="Loss" dataDxfId="337">
      <calculatedColumnFormula>IF(N17&lt;0,AD17,0)</calculatedColumnFormula>
    </tableColumn>
    <tableColumn id="26" xr3:uid="{DC48B68A-B186-4E6F-8A08-4997BE86F0B1}" name="Breakeven" dataDxfId="336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00855CC-EEB5-4FC2-9FA5-63AD769B2CBE}" name="Tabla336106734822" displayName="Tabla336106734822" ref="B16:AG35" totalsRowShown="0" headerRowDxfId="327" dataDxfId="326">
  <autoFilter ref="B16:AG35" xr:uid="{00000000-0009-0000-0100-000009000000}"/>
  <sortState xmlns:xlrd2="http://schemas.microsoft.com/office/spreadsheetml/2017/richdata2" ref="B17:AG35">
    <sortCondition descending="1" ref="D16:D35"/>
  </sortState>
  <tableColumns count="32">
    <tableColumn id="1" xr3:uid="{1FE7D0F5-3BC8-435C-AA10-FB7481B3F28B}" name="Inst" dataDxfId="325"/>
    <tableColumn id="2" xr3:uid="{F14D403F-FDF0-48A0-89CC-AC9A4EC6BBEA}" name="L/S" dataDxfId="324"/>
    <tableColumn id="3" xr3:uid="{BABF426E-8996-4F93-98CF-405C11D11D5C}" name="O/C" dataDxfId="323">
      <calculatedColumnFormula>IF(E17&lt;&gt;"",IF(K17&lt;&gt;"","C","O"),"")</calculatedColumnFormula>
    </tableColumn>
    <tableColumn id="4" xr3:uid="{556729D9-07C4-42B2-8670-43D15AC8B7CB}" name="DATE" dataDxfId="322"/>
    <tableColumn id="5" xr3:uid="{04FCB49D-56F4-4409-83C4-13C654659D66}" name="INST." dataDxfId="321"/>
    <tableColumn id="6" xr3:uid="{705D341C-033E-42C6-B5C1-EA46AD716229}" name="ENTRY " dataDxfId="320"/>
    <tableColumn id="7" xr3:uid="{3F1BB6D0-D438-4E3E-ADC4-1D9A72BAAD25}" name="STOP " dataDxfId="319"/>
    <tableColumn id="8" xr3:uid="{74F159B2-4692-4B56-BDA4-FE372933EEA0}" name="TR_x000a_(in Pips)" dataDxfId="318">
      <calculatedColumnFormula>ABS(G17-H17)</calculatedColumnFormula>
    </tableColumn>
    <tableColumn id="9" xr3:uid="{C1938395-05B3-4066-915D-DA4C92C4ED58}" name="TARGET" dataDxfId="317"/>
    <tableColumn id="10" xr3:uid="{A415B6C8-EDF9-4C36-BD66-565B733B8D98}" name="DATE2" dataDxfId="316"/>
    <tableColumn id="11" xr3:uid="{0EC4D595-F438-47BC-9D5D-B4667FB4CA73}" name="EXIT" dataDxfId="315"/>
    <tableColumn id="12" xr3:uid="{3F86AFF9-F54A-4DC2-A40B-B58D59F03ACB}" name="RESULT" dataDxfId="314">
      <calculatedColumnFormula>ROUND(IF(C17="L",(L17-G17),(G17-L17)),4)</calculatedColumnFormula>
    </tableColumn>
    <tableColumn id="13" xr3:uid="{15938DD7-07D4-4653-BE15-3EBA8A9CFCAA}" name="No. of Rs" dataDxfId="313">
      <calculatedColumnFormula>IFERROR(ROUND((M17/I17),2),"")</calculatedColumnFormula>
    </tableColumn>
    <tableColumn id="14" xr3:uid="{7A933EB0-5C53-4732-893C-6D28A3A7EDD8}" name="Heat" dataDxfId="312">
      <calculatedColumnFormula>IF(D17="O",IF(N17&lt;0,N17,0),0)</calculatedColumnFormula>
    </tableColumn>
    <tableColumn id="15" xr3:uid="{FC97ACB5-5968-421E-82B6-63926C934D7D}" name=" TR WIN" dataDxfId="311">
      <calculatedColumnFormula>IF(N17&gt;= 0,N17,0)</calculatedColumnFormula>
    </tableColumn>
    <tableColumn id="16" xr3:uid="{4F82BFB5-DC62-4607-8641-AD1A61185BDA}" name=" TR LOSS" dataDxfId="310">
      <calculatedColumnFormula>IF(N17&lt;0,N17,0)</calculatedColumnFormula>
    </tableColumn>
    <tableColumn id="33" xr3:uid="{A1AFC65E-32D9-42AC-A777-AE2C961A7EE8}" name="Initial Losing Trade" dataDxfId="309">
      <calculatedColumnFormula>IF(AND(OFFSET(Tabla336106734822[[#This Row],[Equity]],1,0)="",Tabla336106734822[[#This Row],[No. of Rs]]&lt;0),"Yes",IF(AND(OFFSET(Tabla336106734822[[#This Row],[Initial Losing Trade]],1,0)="Yes",Tabla336106734822[[#This Row],[No. of Rs]]&lt;0),"Yes","No"))</calculatedColumnFormula>
    </tableColumn>
    <tableColumn id="30" xr3:uid="{72CCDF60-50F7-4472-B82E-653BDEE79660}" name="Equity" dataDxfId="308">
      <calculatedColumnFormula>IF(OFFSET(Tabla336106734822[[#This Row],[Equity]],1,0)="",IF(Tabla336106734822[[#This Row],[No. of Rs]]="",$F$11,$F$11+($F$11*Tabla336106734822[[#This Row],[No. of Rs]]/100)),IF(Tabla336106734822[[#This Row],[No. of Rs]]="",OFFSET(Tabla336106734822[[#This Row],[Equity]],1,0),OFFSET(Tabla336106734822[[#This Row],[Equity]],1,0)+($F$11*Tabla336106734822[[#This Row],[No. of Rs]]/100)))</calculatedColumnFormula>
    </tableColumn>
    <tableColumn id="32" xr3:uid="{4194D849-A4A9-416D-B48B-5CB2C341D5C7}" name="Equity Peak" dataDxfId="307">
      <calculatedColumnFormula>IF(OFFSET(Tabla336106734822[[#This Row],[Equity Peak]],1,0)="",IF(Tabla336106734822[[#This Row],[Initial Losing Trade]]="Yes",$F$11,Tabla336106734822[[#This Row],[Equity]]),IF(OFFSET(Tabla336106734822[[#This Row],[Equity Peak]],1,0)&gt;Tabla336106734822[[#This Row],[Equity]],OFFSET(Tabla336106734822[[#This Row],[Equity Peak]],1,0),Tabla336106734822[[#This Row],[Equity]]))</calculatedColumnFormula>
    </tableColumn>
    <tableColumn id="31" xr3:uid="{1E30D88E-B514-4B55-91D6-8C456AF5056C}" name="Drawdown" dataDxfId="306">
      <calculatedColumnFormula>IF(Tabla336106734822[[#This Row],[Equity]]&lt;Tabla336106734822[[#This Row],[Equity Peak]],(Tabla336106734822[[#This Row],[Equity Peak]]-Tabla336106734822[[#This Row],[Equity]])/Tabla336106734822[[#This Row],[Equity Peak]],"")</calculatedColumnFormula>
    </tableColumn>
    <tableColumn id="17" xr3:uid="{2A11015F-F975-4DE1-96F0-5FCBB24679C4}" name="Currency" dataDxfId="305">
      <calculatedColumnFormula>IF(B17="FX",N17,0)</calculatedColumnFormula>
    </tableColumn>
    <tableColumn id="18" xr3:uid="{9D949FE1-38B0-4493-89B3-3A33CCE76245}" name="Heat3" dataDxfId="304">
      <calculatedColumnFormula>IF(D17="O",IF(V17&lt;0,V17,0),0)</calculatedColumnFormula>
    </tableColumn>
    <tableColumn id="19" xr3:uid="{C9850E13-BA12-45DA-9453-5FD37631A22E}" name="Commodities" dataDxfId="303">
      <calculatedColumnFormula>IF(B17="COM",N17,0)</calculatedColumnFormula>
    </tableColumn>
    <tableColumn id="20" xr3:uid="{D43625F9-4CE5-413C-AD0B-BB32C384E088}" name="Heat4" dataDxfId="302">
      <calculatedColumnFormula>IF(D17="O",IF(X17&lt;0,X17,0),0)</calculatedColumnFormula>
    </tableColumn>
    <tableColumn id="21" xr3:uid="{982220ED-1820-4275-A448-CD3929243973}" name="Index" dataDxfId="301">
      <calculatedColumnFormula>IF(B17="IND",N17,0)</calculatedColumnFormula>
    </tableColumn>
    <tableColumn id="22" xr3:uid="{ECBC1292-FFAE-43B4-84AC-7D4025CBB69E}" name="Heat5" dataDxfId="300">
      <calculatedColumnFormula>IF(D17="O",IF(Z17&lt;0,Z17,0),0)</calculatedColumnFormula>
    </tableColumn>
    <tableColumn id="27" xr3:uid="{634DF477-B7B9-4A3C-8AAA-5B2B910E0993}" name="Cryptocurrency" dataDxfId="299">
      <calculatedColumnFormula>IF(B17="CRYPTO",N17,0)</calculatedColumnFormula>
    </tableColumn>
    <tableColumn id="28" xr3:uid="{57A40559-82FB-4C41-B5F0-1B6B5E48A69B}" name="Heat6" dataDxfId="298">
      <calculatedColumnFormula>IF(D17="O",IF(AB17&lt;0,AB17,0),0)</calculatedColumnFormula>
    </tableColumn>
    <tableColumn id="23" xr3:uid="{37E1C39D-DEBD-4DCF-A874-DB952341EE65}" name="Length of _x000a_Trade" dataDxfId="297">
      <calculatedColumnFormula>IF(K17&lt;&gt;"",K17-E17,0)</calculatedColumnFormula>
    </tableColumn>
    <tableColumn id="24" xr3:uid="{B51BD5C3-DF56-4F2F-8B67-D78D497269B2}" name="Win" dataDxfId="296">
      <calculatedColumnFormula>IF(N17&gt;0,AD17,0)</calculatedColumnFormula>
    </tableColumn>
    <tableColumn id="25" xr3:uid="{B5408AC8-4FD2-4E3A-96F4-7BB404E4FD6D}" name="Loss" dataDxfId="295">
      <calculatedColumnFormula>IF(N17&lt;0,AD17,0)</calculatedColumnFormula>
    </tableColumn>
    <tableColumn id="26" xr3:uid="{4FEBAC16-FDDE-4677-907B-1C14BFEE684E}" name="Breakeven" dataDxfId="294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48464C3-384A-4632-AD06-3E3BF4C9D76C}" name="Tabla336106734810" displayName="Tabla336106734810" ref="B16:AG27" totalsRowShown="0" headerRowDxfId="285" dataDxfId="284">
  <autoFilter ref="B16:AG27" xr:uid="{00000000-0009-0000-0100-000009000000}"/>
  <sortState xmlns:xlrd2="http://schemas.microsoft.com/office/spreadsheetml/2017/richdata2" ref="B17:AG27">
    <sortCondition descending="1" ref="D16:D27"/>
  </sortState>
  <tableColumns count="32">
    <tableColumn id="1" xr3:uid="{298990E8-D8BD-4720-A4C9-51EB7F96E208}" name="Inst" dataDxfId="283"/>
    <tableColumn id="2" xr3:uid="{6A51912E-7EF0-4F7A-9E9D-6E0917E07758}" name="L/S" dataDxfId="282"/>
    <tableColumn id="3" xr3:uid="{EA085394-568D-4EF7-A943-9A25D9349042}" name="O/C" dataDxfId="281">
      <calculatedColumnFormula>IF(E17&lt;&gt;"",IF(K17&lt;&gt;"","C","O"),"")</calculatedColumnFormula>
    </tableColumn>
    <tableColumn id="4" xr3:uid="{5D0D52E0-2786-4DD1-A3EF-1E91DE83EB9C}" name="DATE" dataDxfId="280"/>
    <tableColumn id="5" xr3:uid="{5E685B8B-61ED-45BC-A83E-2B6EEE8A56BA}" name="INST." dataDxfId="279"/>
    <tableColumn id="6" xr3:uid="{6CE941AA-890C-4278-9F76-D71B181D2179}" name="ENTRY " dataDxfId="278"/>
    <tableColumn id="7" xr3:uid="{24006556-A6D7-457F-8244-A8C60307A3B9}" name="STOP " dataDxfId="277"/>
    <tableColumn id="8" xr3:uid="{FF5475CF-43F9-4532-A8C7-30E19C55B2BC}" name="TR_x000a_(in Pips)" dataDxfId="276">
      <calculatedColumnFormula>ABS(G17-H17)</calculatedColumnFormula>
    </tableColumn>
    <tableColumn id="9" xr3:uid="{DFB04AC0-77FC-470C-B845-ED5FA1BEA83E}" name="TARGET" dataDxfId="275"/>
    <tableColumn id="10" xr3:uid="{684F1373-8CE2-47A0-B46D-F5164A05CCE5}" name="DATE2" dataDxfId="274"/>
    <tableColumn id="11" xr3:uid="{DB7EC1AC-2156-4FAA-AF98-7F331047E660}" name="EXIT" dataDxfId="273"/>
    <tableColumn id="12" xr3:uid="{6BF07722-2C56-4057-91E3-0ED790FA9103}" name="RESULT" dataDxfId="272">
      <calculatedColumnFormula>ROUND(IF(C17="L",(L17-G17),(G17-L17)),4)</calculatedColumnFormula>
    </tableColumn>
    <tableColumn id="13" xr3:uid="{AF978F4E-DA74-4B85-93A5-4BC294C97E8F}" name="No. of Rs" dataDxfId="271">
      <calculatedColumnFormula>IFERROR(ROUND((M17/I17),2),"")</calculatedColumnFormula>
    </tableColumn>
    <tableColumn id="14" xr3:uid="{42296D02-EE5F-4AEF-ABA7-31B4933FD0DB}" name="Heat" dataDxfId="270">
      <calculatedColumnFormula>IF(D17="O",IF(N17&lt;0,N17,0),0)</calculatedColumnFormula>
    </tableColumn>
    <tableColumn id="15" xr3:uid="{44AF871E-C29F-4F08-8B2A-D063011CA8F6}" name=" TR WIN" dataDxfId="269">
      <calculatedColumnFormula>IF(N17&gt;= 0,N17,0)</calculatedColumnFormula>
    </tableColumn>
    <tableColumn id="16" xr3:uid="{5A161A08-0860-4E32-A3F5-2AA346FD6261}" name=" TR LOSS" dataDxfId="268">
      <calculatedColumnFormula>IF(N17&lt;0,N17,0)</calculatedColumnFormula>
    </tableColumn>
    <tableColumn id="33" xr3:uid="{05F83F5D-73D1-459D-84E3-022DBCBE7CB0}" name="Initial Losing Trade" dataDxfId="267">
      <calculatedColumnFormula>IF(AND(OFFSET(Tabla336106734810[[#This Row],[Equity]],1,0)="",Tabla336106734810[[#This Row],[No. of Rs]]&lt;0),"Yes",IF(AND(OFFSET(Tabla336106734810[[#This Row],[Initial Losing Trade]],1,0)="Yes",Tabla336106734810[[#This Row],[No. of Rs]]&lt;0),"Yes","No"))</calculatedColumnFormula>
    </tableColumn>
    <tableColumn id="30" xr3:uid="{F9924444-10C7-487B-B02E-64F4A1D00375}" name="Equity" dataDxfId="266">
      <calculatedColumnFormula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calculatedColumnFormula>
    </tableColumn>
    <tableColumn id="32" xr3:uid="{14330FB8-B0DB-4EDA-8E44-4735D83A3F48}" name="Equity Peak" dataDxfId="265">
      <calculatedColumnFormula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calculatedColumnFormula>
    </tableColumn>
    <tableColumn id="31" xr3:uid="{DE73C393-DB7B-4221-8129-754DD53D0B52}" name="Drawdown" dataDxfId="264">
      <calculatedColumnFormula>IF(Tabla336106734810[[#This Row],[Equity]]&lt;Tabla336106734810[[#This Row],[Equity Peak]],(Tabla336106734810[[#This Row],[Equity Peak]]-Tabla336106734810[[#This Row],[Equity]])/Tabla336106734810[[#This Row],[Equity Peak]],"")</calculatedColumnFormula>
    </tableColumn>
    <tableColumn id="17" xr3:uid="{E832EA41-CCF7-4274-B7A7-F37B244136B2}" name="Currency" dataDxfId="263">
      <calculatedColumnFormula>IF(B17="FX",N17,0)</calculatedColumnFormula>
    </tableColumn>
    <tableColumn id="18" xr3:uid="{4D1D7E25-C875-40BA-AFA3-63B485D6CCAD}" name="Heat3" dataDxfId="262">
      <calculatedColumnFormula>IF(D17="O",IF(V17&lt;0,V17,0),0)</calculatedColumnFormula>
    </tableColumn>
    <tableColumn id="19" xr3:uid="{6AD69C0C-A236-4F46-BD44-1866540BE721}" name="Commodities" dataDxfId="261">
      <calculatedColumnFormula>IF(B17="COM",N17,0)</calculatedColumnFormula>
    </tableColumn>
    <tableColumn id="20" xr3:uid="{62440544-E31C-48F7-B0A6-4C90570A8695}" name="Heat4" dataDxfId="260">
      <calculatedColumnFormula>IF(D17="O",IF(X17&lt;0,X17,0),0)</calculatedColumnFormula>
    </tableColumn>
    <tableColumn id="21" xr3:uid="{7165CDF9-8F23-4F73-B840-9197731E888E}" name="Index" dataDxfId="259">
      <calculatedColumnFormula>IF(B17="IND",N17,0)</calculatedColumnFormula>
    </tableColumn>
    <tableColumn id="22" xr3:uid="{1ADDDF1C-22CB-449B-9B58-D23DB881D344}" name="Heat5" dataDxfId="258">
      <calculatedColumnFormula>IF(D17="O",IF(Z17&lt;0,Z17,0),0)</calculatedColumnFormula>
    </tableColumn>
    <tableColumn id="27" xr3:uid="{51AD1466-1544-4D4D-97AC-ABF2DB15718D}" name="Cryptocurrency" dataDxfId="257">
      <calculatedColumnFormula>IF(B17="CRYPTO",N17,0)</calculatedColumnFormula>
    </tableColumn>
    <tableColumn id="28" xr3:uid="{3C0EDA77-1466-4CD9-8804-9803E2B71356}" name="Heat6" dataDxfId="256">
      <calculatedColumnFormula>IF(D17="O",IF(AB17&lt;0,AB17,0),0)</calculatedColumnFormula>
    </tableColumn>
    <tableColumn id="23" xr3:uid="{2CD3BFE0-8262-4810-919E-F980DCC46BC8}" name="Length of _x000a_Trade" dataDxfId="255">
      <calculatedColumnFormula>IF(K17&lt;&gt;"",K17-E17,0)</calculatedColumnFormula>
    </tableColumn>
    <tableColumn id="24" xr3:uid="{8B33B193-6B1F-4787-BCD3-279A4B0DD8DC}" name="Win" dataDxfId="254">
      <calculatedColumnFormula>IF(N17&gt;0,AD17,0)</calculatedColumnFormula>
    </tableColumn>
    <tableColumn id="25" xr3:uid="{230DBCE2-03E1-467C-ABA8-54A3B568751B}" name="Loss" dataDxfId="253">
      <calculatedColumnFormula>IF(N17&lt;0,AD17,0)</calculatedColumnFormula>
    </tableColumn>
    <tableColumn id="26" xr3:uid="{4288B496-5D73-415A-B257-866325B914AF}" name="Breakeven" dataDxfId="252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77C6D2A-1FDB-41FD-AF1C-1963A7490F74}" name="Tabla336106734811" displayName="Tabla336106734811" ref="B16:AG25" totalsRowShown="0" headerRowDxfId="243" dataDxfId="242">
  <autoFilter ref="B16:AG25" xr:uid="{00000000-0009-0000-0100-000009000000}"/>
  <sortState xmlns:xlrd2="http://schemas.microsoft.com/office/spreadsheetml/2017/richdata2" ref="B17:AG25">
    <sortCondition descending="1" ref="D16:D25"/>
  </sortState>
  <tableColumns count="32">
    <tableColumn id="1" xr3:uid="{FF1E4D5D-EA8E-414A-9586-A4E0841AD60A}" name="Inst" dataDxfId="241"/>
    <tableColumn id="2" xr3:uid="{5FEF7A20-2C02-4C7B-819D-315126E706FA}" name="L/S" dataDxfId="240"/>
    <tableColumn id="3" xr3:uid="{9E32EB8B-F3B0-4D8A-872D-59D492AD9B83}" name="O/C" dataDxfId="239">
      <calculatedColumnFormula>IF(E17&lt;&gt;"",IF(K17&lt;&gt;"","C","O"),"")</calculatedColumnFormula>
    </tableColumn>
    <tableColumn id="4" xr3:uid="{2C2EB770-50EB-457D-B75F-FDFEA71CF28F}" name="DATE" dataDxfId="238"/>
    <tableColumn id="5" xr3:uid="{C788ACE4-6254-4F88-96FB-59066F6B2C1A}" name="INST." dataDxfId="237"/>
    <tableColumn id="6" xr3:uid="{07469194-375A-4E48-87A8-5636749F8782}" name="ENTRY " dataDxfId="236"/>
    <tableColumn id="7" xr3:uid="{EA2F072A-33BD-47D3-A2CA-CD7116B7361E}" name="STOP " dataDxfId="235"/>
    <tableColumn id="8" xr3:uid="{0BC93AD0-F67A-47C4-8DF0-44264358FEA6}" name="TR_x000a_(in Pips)" dataDxfId="234">
      <calculatedColumnFormula>ABS(G17-H17)</calculatedColumnFormula>
    </tableColumn>
    <tableColumn id="9" xr3:uid="{D4BE0477-9071-45AD-B62E-A259B8BD7600}" name="TARGET" dataDxfId="233"/>
    <tableColumn id="10" xr3:uid="{693B6F3C-D122-4CE6-A9A3-BC1838D89746}" name="DATE2" dataDxfId="232"/>
    <tableColumn id="11" xr3:uid="{2B4F6125-9E2C-44E4-8B66-EFF697F7CFD0}" name="EXIT" dataDxfId="231"/>
    <tableColumn id="12" xr3:uid="{DAB7F0CC-EF56-47C5-B7B1-BB6F814B78AD}" name="RESULT" dataDxfId="230">
      <calculatedColumnFormula>ROUND(IF(C17="L",(L17-G17),(G17-L17)),4)</calculatedColumnFormula>
    </tableColumn>
    <tableColumn id="13" xr3:uid="{28DB8BF7-9D3B-4BA9-9B50-64A598BAD451}" name="No. of Rs" dataDxfId="229">
      <calculatedColumnFormula>IFERROR(ROUND((M17/I17),2),"")</calculatedColumnFormula>
    </tableColumn>
    <tableColumn id="14" xr3:uid="{F3D66531-B53E-464F-A0B5-3BEA25466A35}" name="Heat" dataDxfId="228">
      <calculatedColumnFormula>IF(D17="O",IF(N17&lt;0,N17,0),0)</calculatedColumnFormula>
    </tableColumn>
    <tableColumn id="15" xr3:uid="{486CDF2E-CACB-44E1-AA0C-BF7E7D3E55CB}" name=" TR WIN" dataDxfId="227">
      <calculatedColumnFormula>IF(N17&gt;= 0,N17,0)</calculatedColumnFormula>
    </tableColumn>
    <tableColumn id="16" xr3:uid="{E08DBB0B-BBD8-40A2-968B-4A74EE33E028}" name=" TR LOSS" dataDxfId="226">
      <calculatedColumnFormula>IF(N17&lt;0,N17,0)</calculatedColumnFormula>
    </tableColumn>
    <tableColumn id="33" xr3:uid="{04AE0A89-43B3-4DA6-A953-0DAF9CD60527}" name="Initial Losing Trade" dataDxfId="225">
      <calculatedColumnFormula>IF(AND(OFFSET(Tabla336106734811[[#This Row],[Equity]],1,0)="",Tabla336106734811[[#This Row],[No. of Rs]]&lt;0),"Yes",IF(AND(OFFSET(Tabla336106734811[[#This Row],[Initial Losing Trade]],1,0)="Yes",Tabla336106734811[[#This Row],[No. of Rs]]&lt;0),"Yes","No"))</calculatedColumnFormula>
    </tableColumn>
    <tableColumn id="30" xr3:uid="{456A6795-EAFA-4469-AD48-D11105B7CDF4}" name="Equity" dataDxfId="224">
      <calculatedColumnFormula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calculatedColumnFormula>
    </tableColumn>
    <tableColumn id="32" xr3:uid="{F1F127AC-E396-46B3-83FF-4022821D67B3}" name="Equity Peak" dataDxfId="223">
      <calculatedColumnFormula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calculatedColumnFormula>
    </tableColumn>
    <tableColumn id="31" xr3:uid="{64D8F805-D9CD-48E2-BA81-6F3636097B00}" name="Drawdown" dataDxfId="222">
      <calculatedColumnFormula>IF(Tabla336106734811[[#This Row],[Equity]]&lt;Tabla336106734811[[#This Row],[Equity Peak]],(Tabla336106734811[[#This Row],[Equity Peak]]-Tabla336106734811[[#This Row],[Equity]])/Tabla336106734811[[#This Row],[Equity Peak]],"")</calculatedColumnFormula>
    </tableColumn>
    <tableColumn id="17" xr3:uid="{DBCEE32D-A82C-4493-B189-1095E1441A8B}" name="Currency" dataDxfId="221">
      <calculatedColumnFormula>IF(B17="FX",N17,0)</calculatedColumnFormula>
    </tableColumn>
    <tableColumn id="18" xr3:uid="{9A0ECD79-D65B-44D3-A525-974B1926374E}" name="Heat3" dataDxfId="220">
      <calculatedColumnFormula>IF(D17="O",IF(V17&lt;0,V17,0),0)</calculatedColumnFormula>
    </tableColumn>
    <tableColumn id="19" xr3:uid="{45F34A07-626A-4712-BF1A-A167EC7DA6B7}" name="Commodities" dataDxfId="219">
      <calculatedColumnFormula>IF(B17="COM",N17,0)</calculatedColumnFormula>
    </tableColumn>
    <tableColumn id="20" xr3:uid="{4DBA2330-364E-4CAC-9BF3-396A00AC3DBB}" name="Heat4" dataDxfId="218">
      <calculatedColumnFormula>IF(D17="O",IF(X17&lt;0,X17,0),0)</calculatedColumnFormula>
    </tableColumn>
    <tableColumn id="21" xr3:uid="{754809B7-83A4-4406-A130-3BD247541254}" name="Index" dataDxfId="217">
      <calculatedColumnFormula>IF(B17="IND",N17,0)</calculatedColumnFormula>
    </tableColumn>
    <tableColumn id="22" xr3:uid="{CFFB37D0-CC51-496A-BAD5-8D280D6723D9}" name="Heat5" dataDxfId="216">
      <calculatedColumnFormula>IF(D17="O",IF(Z17&lt;0,Z17,0),0)</calculatedColumnFormula>
    </tableColumn>
    <tableColumn id="27" xr3:uid="{C57EA122-F311-409B-9BA2-6EC200C69B24}" name="Cryptocurrency" dataDxfId="215">
      <calculatedColumnFormula>IF(B17="CRYPTO",N17,0)</calculatedColumnFormula>
    </tableColumn>
    <tableColumn id="28" xr3:uid="{FE8D8ACC-73FC-47C6-96B7-445D2EA4F08F}" name="Heat6" dataDxfId="214">
      <calculatedColumnFormula>IF(D17="O",IF(AB17&lt;0,AB17,0),0)</calculatedColumnFormula>
    </tableColumn>
    <tableColumn id="23" xr3:uid="{D56470F7-09E1-4F68-97AD-9369CA7C5DF4}" name="Length of _x000a_Trade" dataDxfId="213">
      <calculatedColumnFormula>IF(K17&lt;&gt;"",K17-E17,0)</calculatedColumnFormula>
    </tableColumn>
    <tableColumn id="24" xr3:uid="{789281FB-83F1-4DAA-96FD-B98D3DF787B8}" name="Win" dataDxfId="212">
      <calculatedColumnFormula>IF(N17&gt;0,AD17,0)</calculatedColumnFormula>
    </tableColumn>
    <tableColumn id="25" xr3:uid="{300EAEF3-513E-4EED-9356-F72C4E7B501C}" name="Loss" dataDxfId="211">
      <calculatedColumnFormula>IF(N17&lt;0,AD17,0)</calculatedColumnFormula>
    </tableColumn>
    <tableColumn id="26" xr3:uid="{469AEFE2-940B-4F5C-8749-FAC56C1E312B}" name="Breakeven" dataDxfId="210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4E817CC-D324-4089-A4D3-70736BAFDBED}" name="Tabla336106734812" displayName="Tabla336106734812" ref="B16:AG34" totalsRowShown="0" headerRowDxfId="201" dataDxfId="200">
  <autoFilter ref="B16:AG34" xr:uid="{00000000-0009-0000-0100-000009000000}"/>
  <sortState xmlns:xlrd2="http://schemas.microsoft.com/office/spreadsheetml/2017/richdata2" ref="B17:AG34">
    <sortCondition descending="1" ref="D16:D34"/>
  </sortState>
  <tableColumns count="32">
    <tableColumn id="1" xr3:uid="{53A972DA-7383-49EE-84EA-858DC559D742}" name="Inst" dataDxfId="199"/>
    <tableColumn id="2" xr3:uid="{CB02D374-1F1E-4926-A81C-5B7FE8183078}" name="L/S" dataDxfId="198"/>
    <tableColumn id="3" xr3:uid="{FAE8484F-9320-4B8E-B715-15D1F9A9CBE2}" name="O/C" dataDxfId="197">
      <calculatedColumnFormula>IF(E17&lt;&gt;"",IF(K17&lt;&gt;"","C","O"),"")</calculatedColumnFormula>
    </tableColumn>
    <tableColumn id="4" xr3:uid="{F963E4A7-4FA7-444C-A44E-B85CEBAB164B}" name="DATE" dataDxfId="196"/>
    <tableColumn id="5" xr3:uid="{311CA312-A860-400B-A894-FCB33BA6C06C}" name="INST." dataDxfId="195"/>
    <tableColumn id="6" xr3:uid="{0F50911E-8AA0-46D2-A520-FA14D0425371}" name="ENTRY " dataDxfId="194"/>
    <tableColumn id="7" xr3:uid="{47B4BF33-B8E3-4FC6-BE42-A17F8566A7DC}" name="STOP " dataDxfId="193"/>
    <tableColumn id="8" xr3:uid="{A2DCF3E4-FF53-4661-A898-8347BD06BB33}" name="TR_x000a_(in Pips)" dataDxfId="192">
      <calculatedColumnFormula>ABS(G17-H17)</calculatedColumnFormula>
    </tableColumn>
    <tableColumn id="9" xr3:uid="{E49B9930-BB18-46DD-B899-94A8A6AC8908}" name="TARGET" dataDxfId="191"/>
    <tableColumn id="10" xr3:uid="{3E6C6DA6-9D96-44CD-8EFE-952EE68B20E0}" name="DATE2" dataDxfId="190"/>
    <tableColumn id="11" xr3:uid="{FF9754C7-EFF1-4FF5-BC0D-5CFB5DE3E015}" name="EXIT" dataDxfId="189"/>
    <tableColumn id="12" xr3:uid="{32A8C413-A8D3-41B4-BFFB-C86378094E18}" name="RESULT" dataDxfId="188">
      <calculatedColumnFormula>ROUND(IF(C17="L",(L17-G17),(G17-L17)),4)</calculatedColumnFormula>
    </tableColumn>
    <tableColumn id="13" xr3:uid="{5E472420-A60E-42F0-9E7A-1B27F3F0901A}" name="No. of Rs" dataDxfId="187">
      <calculatedColumnFormula>IFERROR(ROUND((M17/I17),2),"")</calculatedColumnFormula>
    </tableColumn>
    <tableColumn id="14" xr3:uid="{BE9FE3F6-5D17-406E-82E6-33867DB59770}" name="Heat" dataDxfId="186">
      <calculatedColumnFormula>IF(D17="O",IF(N17&lt;0,N17,0),0)</calculatedColumnFormula>
    </tableColumn>
    <tableColumn id="15" xr3:uid="{D2FDBC9C-C1EA-40D0-867A-3BB05819BE16}" name=" TR WIN" dataDxfId="185">
      <calculatedColumnFormula>IF(N17&gt;= 0,N17,0)</calculatedColumnFormula>
    </tableColumn>
    <tableColumn id="16" xr3:uid="{B4587BD9-50D7-4093-B1E3-7EF934A589F1}" name=" TR LOSS" dataDxfId="184">
      <calculatedColumnFormula>IF(N17&lt;0,N17,0)</calculatedColumnFormula>
    </tableColumn>
    <tableColumn id="33" xr3:uid="{DC329D3D-8B88-4763-B5C8-58D1A0177D16}" name="Initial Losing Trade" dataDxfId="183">
      <calculatedColumnFormula>IF(AND(OFFSET(Tabla336106734812[[#This Row],[Equity]],1,0)="",Tabla336106734812[[#This Row],[No. of Rs]]&lt;0),"Yes",IF(AND(OFFSET(Tabla336106734812[[#This Row],[Initial Losing Trade]],1,0)="Yes",Tabla336106734812[[#This Row],[No. of Rs]]&lt;0),"Yes","No"))</calculatedColumnFormula>
    </tableColumn>
    <tableColumn id="30" xr3:uid="{3BDB2B29-2471-4DF7-B0AE-00BE70501A99}" name="Equity" dataDxfId="182">
      <calculatedColumnFormula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calculatedColumnFormula>
    </tableColumn>
    <tableColumn id="32" xr3:uid="{84E24910-D7F4-49BE-A6D5-3CE907036A5F}" name="Equity Peak" dataDxfId="181">
      <calculatedColumnFormula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calculatedColumnFormula>
    </tableColumn>
    <tableColumn id="31" xr3:uid="{CD81295E-4CCD-4A3C-A4CE-0E91FBD415DA}" name="Drawdown" dataDxfId="180">
      <calculatedColumnFormula>IF(Tabla336106734812[[#This Row],[Equity]]&lt;Tabla336106734812[[#This Row],[Equity Peak]],(Tabla336106734812[[#This Row],[Equity Peak]]-Tabla336106734812[[#This Row],[Equity]])/Tabla336106734812[[#This Row],[Equity Peak]],"")</calculatedColumnFormula>
    </tableColumn>
    <tableColumn id="17" xr3:uid="{CEC67D3F-EA1C-49E3-93F2-DC8033E500A9}" name="Currency" dataDxfId="179">
      <calculatedColumnFormula>IF(B17="FX",N17,0)</calculatedColumnFormula>
    </tableColumn>
    <tableColumn id="18" xr3:uid="{C2FEBD76-7980-48D2-9401-70A3A37CD167}" name="Heat3" dataDxfId="178">
      <calculatedColumnFormula>IF(D17="O",IF(V17&lt;0,V17,0),0)</calculatedColumnFormula>
    </tableColumn>
    <tableColumn id="19" xr3:uid="{C1358CE8-457E-4BAB-A3EA-72D8F9DE0EDD}" name="Commodities" dataDxfId="177">
      <calculatedColumnFormula>IF(B17="COM",N17,0)</calculatedColumnFormula>
    </tableColumn>
    <tableColumn id="20" xr3:uid="{EA29754C-BEA1-49D0-8007-A1345A1F4E5E}" name="Heat4" dataDxfId="176">
      <calculatedColumnFormula>IF(D17="O",IF(X17&lt;0,X17,0),0)</calculatedColumnFormula>
    </tableColumn>
    <tableColumn id="21" xr3:uid="{77779734-1687-4949-BBE2-FC716C6D282A}" name="Index" dataDxfId="175">
      <calculatedColumnFormula>IF(B17="IND",N17,0)</calculatedColumnFormula>
    </tableColumn>
    <tableColumn id="22" xr3:uid="{5191A4A2-3172-435F-81BB-3CAB9AD645A9}" name="Heat5" dataDxfId="174">
      <calculatedColumnFormula>IF(D17="O",IF(Z17&lt;0,Z17,0),0)</calculatedColumnFormula>
    </tableColumn>
    <tableColumn id="27" xr3:uid="{3BC0364D-B57E-4968-A828-B676E1271C08}" name="Cryptocurrency" dataDxfId="173">
      <calculatedColumnFormula>IF(B17="CRYPTO",N17,0)</calculatedColumnFormula>
    </tableColumn>
    <tableColumn id="28" xr3:uid="{34E7642A-D014-4D90-855D-A3532FB0B2F5}" name="Heat6" dataDxfId="172">
      <calculatedColumnFormula>IF(D17="O",IF(AB17&lt;0,AB17,0),0)</calculatedColumnFormula>
    </tableColumn>
    <tableColumn id="23" xr3:uid="{07D34815-28C7-4171-9B9D-DBDB27D1F75A}" name="Length of _x000a_Trade" dataDxfId="171">
      <calculatedColumnFormula>IF(K17&lt;&gt;"",K17-E17,0)</calculatedColumnFormula>
    </tableColumn>
    <tableColumn id="24" xr3:uid="{5AC12D34-9D0C-4F9A-81DD-FF818C82681B}" name="Win" dataDxfId="170">
      <calculatedColumnFormula>IF(N17&gt;0,AD17,0)</calculatedColumnFormula>
    </tableColumn>
    <tableColumn id="25" xr3:uid="{5FBB941C-4CAA-461D-A7F6-58C8493F5889}" name="Loss" dataDxfId="169">
      <calculatedColumnFormula>IF(N17&lt;0,AD17,0)</calculatedColumnFormula>
    </tableColumn>
    <tableColumn id="26" xr3:uid="{723FEC19-3F43-4741-B9F0-40D6062E787A}" name="Breakeven" dataDxfId="168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247EE516-3E7D-411C-B264-DA072B755767}" name="Tabla336106734823" displayName="Tabla336106734823" ref="B16:AG58" totalsRowShown="0" headerRowDxfId="159" dataDxfId="158">
  <autoFilter ref="B16:AG58" xr:uid="{00000000-0009-0000-0100-000009000000}"/>
  <sortState xmlns:xlrd2="http://schemas.microsoft.com/office/spreadsheetml/2017/richdata2" ref="B17:AG58">
    <sortCondition descending="1" ref="D16:D58"/>
  </sortState>
  <tableColumns count="32">
    <tableColumn id="1" xr3:uid="{76547B86-8B82-4139-A272-84D40083C674}" name="Inst" dataDxfId="157"/>
    <tableColumn id="2" xr3:uid="{EF3C0211-8C94-4D3F-A7A9-6B6786AF07B6}" name="L/S" dataDxfId="156"/>
    <tableColumn id="3" xr3:uid="{98B3DEBF-14C4-424C-A552-56332E225821}" name="O/C" dataDxfId="155">
      <calculatedColumnFormula>IF(E17&lt;&gt;"",IF(K17&lt;&gt;"","C","O"),"")</calculatedColumnFormula>
    </tableColumn>
    <tableColumn id="4" xr3:uid="{3BB4D282-6F26-4734-8042-58150D31E919}" name="DATE" dataDxfId="154"/>
    <tableColumn id="5" xr3:uid="{D805E331-08D3-4614-9652-14B91DAF1EFE}" name="INST." dataDxfId="153"/>
    <tableColumn id="6" xr3:uid="{D930B11B-0EBD-4409-BB41-86E49D5A4379}" name="ENTRY " dataDxfId="152"/>
    <tableColumn id="7" xr3:uid="{D4944D65-1837-4B76-9A48-50F496FF367B}" name="STOP " dataDxfId="151"/>
    <tableColumn id="8" xr3:uid="{1BA7C81F-402D-4736-A27F-8EDA5BAAC93E}" name="TR_x000a_(in Pips)" dataDxfId="150">
      <calculatedColumnFormula>ABS(G17-H17)</calculatedColumnFormula>
    </tableColumn>
    <tableColumn id="9" xr3:uid="{12F90881-8E05-45DF-A9DF-897C85F6F210}" name="TARGET" dataDxfId="149"/>
    <tableColumn id="10" xr3:uid="{708AAB9B-F6BE-48D1-AC45-6BAEF9F5C095}" name="DATE2" dataDxfId="148"/>
    <tableColumn id="11" xr3:uid="{72B62C3C-007D-4946-8D7A-6C477351ED97}" name="EXIT" dataDxfId="147"/>
    <tableColumn id="12" xr3:uid="{2CE2F469-70EF-4770-966B-D1A42DD74EE6}" name="RESULT" dataDxfId="146">
      <calculatedColumnFormula>ROUND(IF(C17="L",(L17-G17),(G17-L17)),4)</calculatedColumnFormula>
    </tableColumn>
    <tableColumn id="13" xr3:uid="{13CFD89D-9A10-42E4-B627-3664FAC3C084}" name="No. of Rs" dataDxfId="145">
      <calculatedColumnFormula>IFERROR(ROUND((M17/I17),2),"")</calculatedColumnFormula>
    </tableColumn>
    <tableColumn id="14" xr3:uid="{1A465676-2EEF-435F-B3BD-FECCE21AF7E8}" name="Heat" dataDxfId="144">
      <calculatedColumnFormula>IF(D17="O",IF(N17&lt;0,N17,0),0)</calculatedColumnFormula>
    </tableColumn>
    <tableColumn id="15" xr3:uid="{3360C281-219D-4A3A-AF53-27DE1A5BE960}" name=" TR WIN" dataDxfId="143">
      <calculatedColumnFormula>IF(N17&gt;= 0,N17,0)</calculatedColumnFormula>
    </tableColumn>
    <tableColumn id="16" xr3:uid="{D9D68F5C-97EF-4D1C-805C-86764D7E2C21}" name=" TR LOSS" dataDxfId="142">
      <calculatedColumnFormula>IF(N17&lt;0,N17,0)</calculatedColumnFormula>
    </tableColumn>
    <tableColumn id="33" xr3:uid="{78D601E9-48B8-4215-924B-04E9B987BD1E}" name="Initial Losing Trade" dataDxfId="141">
      <calculatedColumnFormula>IF(AND(OFFSET(Tabla336106734823[[#This Row],[Equity]],1,0)="",Tabla336106734823[[#This Row],[No. of Rs]]&lt;0),"Yes",IF(AND(OFFSET(Tabla336106734823[[#This Row],[Initial Losing Trade]],1,0)="Yes",Tabla336106734823[[#This Row],[No. of Rs]]&lt;0),"Yes","No"))</calculatedColumnFormula>
    </tableColumn>
    <tableColumn id="30" xr3:uid="{875C3017-CBDF-4DC8-A533-56FE042F0372}" name="Equity" dataDxfId="140">
      <calculatedColumnFormula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calculatedColumnFormula>
    </tableColumn>
    <tableColumn id="32" xr3:uid="{7949FFA7-A834-4341-91B8-671F3B261065}" name="Equity Peak" dataDxfId="139">
      <calculatedColumnFormula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calculatedColumnFormula>
    </tableColumn>
    <tableColumn id="31" xr3:uid="{8EBAC2FE-AC0F-474E-ADC7-DE0FF7B7E06A}" name="Drawdown" dataDxfId="138">
      <calculatedColumnFormula>IF(Tabla336106734823[[#This Row],[Equity]]&lt;Tabla336106734823[[#This Row],[Equity Peak]],(Tabla336106734823[[#This Row],[Equity Peak]]-Tabla336106734823[[#This Row],[Equity]])/Tabla336106734823[[#This Row],[Equity Peak]],"")</calculatedColumnFormula>
    </tableColumn>
    <tableColumn id="17" xr3:uid="{A2797E93-605C-4D79-8DF1-0C1668B24DF5}" name="Currency" dataDxfId="137">
      <calculatedColumnFormula>IF(B17="FX",N17,0)</calculatedColumnFormula>
    </tableColumn>
    <tableColumn id="18" xr3:uid="{FF3F1874-93C5-4CFC-9A3E-A8EF6DBF1105}" name="Heat3" dataDxfId="136">
      <calculatedColumnFormula>IF(D17="O",IF(V17&lt;0,V17,0),0)</calculatedColumnFormula>
    </tableColumn>
    <tableColumn id="19" xr3:uid="{D42FBBFC-D1B1-4A6F-A943-CE5B85665DE3}" name="Commodities" dataDxfId="135">
      <calculatedColumnFormula>IF(B17="COM",N17,0)</calculatedColumnFormula>
    </tableColumn>
    <tableColumn id="20" xr3:uid="{A63EF359-9694-4B42-8984-1FF3C0DA167F}" name="Heat4" dataDxfId="134">
      <calculatedColumnFormula>IF(D17="O",IF(X17&lt;0,X17,0),0)</calculatedColumnFormula>
    </tableColumn>
    <tableColumn id="21" xr3:uid="{E43C750C-ACEE-4971-8DBD-FFFD7E5612E1}" name="Index" dataDxfId="133">
      <calculatedColumnFormula>IF(B17="IND",N17,0)</calculatedColumnFormula>
    </tableColumn>
    <tableColumn id="22" xr3:uid="{DFBEF69C-D9FB-4D05-9F50-825B07F12FB3}" name="Heat5" dataDxfId="132">
      <calculatedColumnFormula>IF(D17="O",IF(Z17&lt;0,Z17,0),0)</calculatedColumnFormula>
    </tableColumn>
    <tableColumn id="27" xr3:uid="{175B2D50-E74D-470A-9325-EDBB57E86675}" name="Cryptocurrency" dataDxfId="131">
      <calculatedColumnFormula>IF(B17="CRYPTO",N17,0)</calculatedColumnFormula>
    </tableColumn>
    <tableColumn id="28" xr3:uid="{A2910574-945A-43B3-8E4F-DE91EFA981BA}" name="Heat6" dataDxfId="130">
      <calculatedColumnFormula>IF(D17="O",IF(AB17&lt;0,AB17,0),0)</calculatedColumnFormula>
    </tableColumn>
    <tableColumn id="23" xr3:uid="{71BC585F-9FA3-4B74-A39A-8FCC0CCD841F}" name="Length of _x000a_Trade" dataDxfId="129">
      <calculatedColumnFormula>IF(K17&lt;&gt;"",K17-E17,0)</calculatedColumnFormula>
    </tableColumn>
    <tableColumn id="24" xr3:uid="{7ED24035-6855-4C58-9D07-E39AD72E24C9}" name="Win" dataDxfId="128">
      <calculatedColumnFormula>IF(N17&gt;0,AD17,0)</calculatedColumnFormula>
    </tableColumn>
    <tableColumn id="25" xr3:uid="{17E670D4-CFE5-4109-B331-4AF4D68ABD01}" name="Loss" dataDxfId="127">
      <calculatedColumnFormula>IF(N17&lt;0,AD17,0)</calculatedColumnFormula>
    </tableColumn>
    <tableColumn id="26" xr3:uid="{0098ED18-867B-4764-8FA8-F1DFF0F18172}" name="Breakeven" dataDxfId="126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AD5AB27-989F-4E9B-9CE8-E641DAC31FC2}" name="Tabla336106734824" displayName="Tabla336106734824" ref="B16:AG35" totalsRowShown="0" headerRowDxfId="117" dataDxfId="116">
  <autoFilter ref="B16:AG35" xr:uid="{00000000-0009-0000-0100-000009000000}"/>
  <sortState xmlns:xlrd2="http://schemas.microsoft.com/office/spreadsheetml/2017/richdata2" ref="B17:AG35">
    <sortCondition descending="1" ref="D16:D35"/>
  </sortState>
  <tableColumns count="32">
    <tableColumn id="1" xr3:uid="{C5C11191-6405-4135-8385-938F1542C481}" name="Inst" dataDxfId="115"/>
    <tableColumn id="2" xr3:uid="{C17223AB-8D05-41B1-8A12-B55DE3F6A669}" name="L/S" dataDxfId="114"/>
    <tableColumn id="3" xr3:uid="{B2F14288-BA83-4244-9546-ACED6B565884}" name="O/C" dataDxfId="113">
      <calculatedColumnFormula>IF(E17&lt;&gt;"",IF(K17&lt;&gt;"","C","O"),"")</calculatedColumnFormula>
    </tableColumn>
    <tableColumn id="4" xr3:uid="{FF75CF6E-46DE-4D6E-BC14-3C61C1567D76}" name="DATE" dataDxfId="112"/>
    <tableColumn id="5" xr3:uid="{EDD560DA-BF4E-4980-8C1B-B8A059AC74DA}" name="INST." dataDxfId="111"/>
    <tableColumn id="6" xr3:uid="{EC999E7C-6734-470F-B6E7-1A3B2A9F8DEA}" name="ENTRY " dataDxfId="110"/>
    <tableColumn id="7" xr3:uid="{01171BA4-2E95-4980-B294-09538E9DCC50}" name="STOP " dataDxfId="109"/>
    <tableColumn id="8" xr3:uid="{1D940ED3-9195-4C70-ADB7-6B0CFA6B3DCE}" name="TR_x000a_(in Pips)" dataDxfId="108">
      <calculatedColumnFormula>ABS(G17-H17)</calculatedColumnFormula>
    </tableColumn>
    <tableColumn id="9" xr3:uid="{3CDE5D4D-7661-419E-8B05-02C871380264}" name="TARGET" dataDxfId="107"/>
    <tableColumn id="10" xr3:uid="{3F67EE85-329F-4A5D-8674-67FB7BE1C95E}" name="DATE2" dataDxfId="106"/>
    <tableColumn id="11" xr3:uid="{C3E29A01-E1DA-4768-8062-45674C78BA0B}" name="EXIT" dataDxfId="105"/>
    <tableColumn id="12" xr3:uid="{EC45313F-A1C3-4887-BEEA-9FD88A2915B7}" name="RESULT" dataDxfId="104">
      <calculatedColumnFormula>ROUND(IF(C17="L",(L17-G17),(G17-L17)),4)</calculatedColumnFormula>
    </tableColumn>
    <tableColumn id="13" xr3:uid="{B9D938EC-3A13-4A08-A462-C8A514AD6B55}" name="No. of Rs" dataDxfId="103">
      <calculatedColumnFormula>IFERROR(ROUND((M17/I17),2),"")</calculatedColumnFormula>
    </tableColumn>
    <tableColumn id="14" xr3:uid="{8BF4FC87-DF1D-4F86-8146-56569B0D4E57}" name="Heat" dataDxfId="102">
      <calculatedColumnFormula>IF(D17="O",IF(N17&lt;0,N17,0),0)</calculatedColumnFormula>
    </tableColumn>
    <tableColumn id="15" xr3:uid="{E7E3E0C5-7965-460F-ABF6-F0C48B4AB607}" name=" TR WIN" dataDxfId="101">
      <calculatedColumnFormula>IF(N17&gt;= 0,N17,0)</calculatedColumnFormula>
    </tableColumn>
    <tableColumn id="16" xr3:uid="{7A2CA8A2-2A56-4D07-ABC0-2BCB402CAF33}" name=" TR LOSS" dataDxfId="100">
      <calculatedColumnFormula>IF(N17&lt;0,N17,0)</calculatedColumnFormula>
    </tableColumn>
    <tableColumn id="33" xr3:uid="{4749C452-4CC0-4ADD-BE5E-DEAD7F399C36}" name="Initial Losing Trade" dataDxfId="99">
      <calculatedColumnFormula>IF(AND(OFFSET(Tabla336106734824[[#This Row],[Equity]],1,0)="",Tabla336106734824[[#This Row],[No. of Rs]]&lt;0),"Yes",IF(AND(OFFSET(Tabla336106734824[[#This Row],[Initial Losing Trade]],1,0)="Yes",Tabla336106734824[[#This Row],[No. of Rs]]&lt;0),"Yes","No"))</calculatedColumnFormula>
    </tableColumn>
    <tableColumn id="30" xr3:uid="{9FD46813-5577-4060-A1DE-052B121DC70A}" name="Equity" dataDxfId="98">
      <calculatedColumnFormula>IF(OFFSET(Tabla336106734824[[#This Row],[Equity]],1,0)="",IF(Tabla336106734824[[#This Row],[No. of Rs]]="",$F$11,$F$11+($F$11*Tabla336106734824[[#This Row],[No. of Rs]]/100)),IF(Tabla336106734824[[#This Row],[No. of Rs]]="",OFFSET(Tabla336106734824[[#This Row],[Equity]],1,0),OFFSET(Tabla336106734824[[#This Row],[Equity]],1,0)+($F$11*Tabla336106734824[[#This Row],[No. of Rs]]/100)))</calculatedColumnFormula>
    </tableColumn>
    <tableColumn id="32" xr3:uid="{CBF19844-C9BA-4B05-A1CE-EA1AC6327F6E}" name="Equity Peak" dataDxfId="97">
      <calculatedColumnFormula>IF(OFFSET(Tabla336106734824[[#This Row],[Equity Peak]],1,0)="",IF(Tabla336106734824[[#This Row],[Initial Losing Trade]]="Yes",$F$11,Tabla336106734824[[#This Row],[Equity]]),IF(OFFSET(Tabla336106734824[[#This Row],[Equity Peak]],1,0)&gt;Tabla336106734824[[#This Row],[Equity]],OFFSET(Tabla336106734824[[#This Row],[Equity Peak]],1,0),Tabla336106734824[[#This Row],[Equity]]))</calculatedColumnFormula>
    </tableColumn>
    <tableColumn id="31" xr3:uid="{6E0A3756-BADE-439C-912C-418354DBE9B6}" name="Drawdown" dataDxfId="96">
      <calculatedColumnFormula>IF(Tabla336106734824[[#This Row],[Equity]]&lt;Tabla336106734824[[#This Row],[Equity Peak]],(Tabla336106734824[[#This Row],[Equity Peak]]-Tabla336106734824[[#This Row],[Equity]])/Tabla336106734824[[#This Row],[Equity Peak]],"")</calculatedColumnFormula>
    </tableColumn>
    <tableColumn id="17" xr3:uid="{7FC9E447-5902-4E17-A89F-EC8222263A4A}" name="Currency" dataDxfId="95">
      <calculatedColumnFormula>IF(B17="FX",N17,0)</calculatedColumnFormula>
    </tableColumn>
    <tableColumn id="18" xr3:uid="{05433508-6178-4E29-A089-02842400EBBB}" name="Heat3" dataDxfId="94">
      <calculatedColumnFormula>IF(D17="O",IF(V17&lt;0,V17,0),0)</calculatedColumnFormula>
    </tableColumn>
    <tableColumn id="19" xr3:uid="{678A3C8D-0B2F-4FF1-85EC-CF7B583A57DF}" name="Commodities" dataDxfId="93">
      <calculatedColumnFormula>IF(B17="COM",N17,0)</calculatedColumnFormula>
    </tableColumn>
    <tableColumn id="20" xr3:uid="{D63DE512-ED37-45B8-93BF-7513B44226BF}" name="Heat4" dataDxfId="92">
      <calculatedColumnFormula>IF(D17="O",IF(X17&lt;0,X17,0),0)</calculatedColumnFormula>
    </tableColumn>
    <tableColumn id="21" xr3:uid="{2EF044BC-E7E4-4CB0-85E0-6599D50829DB}" name="Index" dataDxfId="91">
      <calculatedColumnFormula>IF(B17="IND",N17,0)</calculatedColumnFormula>
    </tableColumn>
    <tableColumn id="22" xr3:uid="{362703DB-C285-40C0-AB0A-D11469754A7D}" name="Heat5" dataDxfId="90">
      <calculatedColumnFormula>IF(D17="O",IF(Z17&lt;0,Z17,0),0)</calculatedColumnFormula>
    </tableColumn>
    <tableColumn id="27" xr3:uid="{96838E9E-FED0-49DD-BA5D-2113A7969C4A}" name="Cryptocurrency" dataDxfId="89">
      <calculatedColumnFormula>IF(B17="CRYPTO",N17,0)</calculatedColumnFormula>
    </tableColumn>
    <tableColumn id="28" xr3:uid="{BA6C4D5F-440B-4B45-9236-1594069B0FCC}" name="Heat6" dataDxfId="88">
      <calculatedColumnFormula>IF(D17="O",IF(AB17&lt;0,AB17,0),0)</calculatedColumnFormula>
    </tableColumn>
    <tableColumn id="23" xr3:uid="{FEFA5700-F78C-4631-B6CA-90BFB1B9878D}" name="Length of _x000a_Trade" dataDxfId="87">
      <calculatedColumnFormula>IF(K17&lt;&gt;"",K17-E17,0)</calculatedColumnFormula>
    </tableColumn>
    <tableColumn id="24" xr3:uid="{EFEAF37B-AED9-439C-83CE-74B25E75B301}" name="Win" dataDxfId="86">
      <calculatedColumnFormula>IF(N17&gt;0,AD17,0)</calculatedColumnFormula>
    </tableColumn>
    <tableColumn id="25" xr3:uid="{DC4FE53D-1E6F-4398-BB69-5227140EEBA8}" name="Loss" dataDxfId="85">
      <calculatedColumnFormula>IF(N17&lt;0,AD17,0)</calculatedColumnFormula>
    </tableColumn>
    <tableColumn id="26" xr3:uid="{B411D3C7-EE1C-4942-AE2D-DA5205501CD1}" name="Breakeven" dataDxfId="84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35FDAE18-0679-438E-8302-EAFA99962F52}" name="Tabla336106734825" displayName="Tabla336106734825" ref="B16:AG25" totalsRowShown="0" headerRowDxfId="75" dataDxfId="74">
  <autoFilter ref="B16:AG25" xr:uid="{00000000-0009-0000-0100-000009000000}"/>
  <sortState xmlns:xlrd2="http://schemas.microsoft.com/office/spreadsheetml/2017/richdata2" ref="B17:AG25">
    <sortCondition descending="1" ref="D16:D25"/>
  </sortState>
  <tableColumns count="32">
    <tableColumn id="1" xr3:uid="{BB33AFC9-1408-4470-B075-2826642090BD}" name="Inst" dataDxfId="73"/>
    <tableColumn id="2" xr3:uid="{12C1D6A0-0D6A-4063-AD0F-C02D9A7E5BB3}" name="L/S" dataDxfId="72"/>
    <tableColumn id="3" xr3:uid="{A579BB4E-3D0E-4016-9D25-4BF85ADE6B99}" name="O/C" dataDxfId="71">
      <calculatedColumnFormula>IF(E17&lt;&gt;"",IF(K17&lt;&gt;"","C","O"),"")</calculatedColumnFormula>
    </tableColumn>
    <tableColumn id="4" xr3:uid="{DF595538-2B59-4E26-9D9D-DD0CC2BB7783}" name="DATE" dataDxfId="70"/>
    <tableColumn id="5" xr3:uid="{EED7CFC2-E365-4A2A-9498-F1395FB4E2BD}" name="INST." dataDxfId="69"/>
    <tableColumn id="6" xr3:uid="{1D7EE1BD-7399-4D21-A5E2-F4C837AEE4E3}" name="ENTRY " dataDxfId="68"/>
    <tableColumn id="7" xr3:uid="{23758C06-6B13-42F2-B30F-77369D83A88C}" name="STOP " dataDxfId="67"/>
    <tableColumn id="8" xr3:uid="{2923D513-70A9-42D1-AC68-0D6F4554F1F8}" name="TR_x000a_(in Pips)" dataDxfId="66">
      <calculatedColumnFormula>ABS(G17-H17)</calculatedColumnFormula>
    </tableColumn>
    <tableColumn id="9" xr3:uid="{20002B95-F261-442B-819B-8C5689D9645D}" name="TARGET" dataDxfId="65"/>
    <tableColumn id="10" xr3:uid="{607E4C9C-F8A6-4ACC-88C8-6D6A339FA117}" name="DATE2" dataDxfId="64"/>
    <tableColumn id="11" xr3:uid="{D12693D9-9E2D-4DC9-82C7-24B17C9709C9}" name="EXIT" dataDxfId="63"/>
    <tableColumn id="12" xr3:uid="{493619C7-865C-448F-AF58-9F7FC651D20E}" name="RESULT" dataDxfId="62">
      <calculatedColumnFormula>ROUND(IF(C17="L",(L17-G17),(G17-L17)),4)</calculatedColumnFormula>
    </tableColumn>
    <tableColumn id="13" xr3:uid="{020E316D-77BF-488F-A967-A341E8C1B3E6}" name="No. of Rs" dataDxfId="61">
      <calculatedColumnFormula>IFERROR(ROUND((M17/I17),2),"")</calculatedColumnFormula>
    </tableColumn>
    <tableColumn id="14" xr3:uid="{81A30D7B-A71E-4305-AF4E-B7BA1B93C5ED}" name="Heat" dataDxfId="60">
      <calculatedColumnFormula>IF(D17="O",IF(N17&lt;0,N17,0),0)</calculatedColumnFormula>
    </tableColumn>
    <tableColumn id="15" xr3:uid="{3585B8B1-DA74-49E1-BC81-3A9FD6DB8462}" name=" TR WIN" dataDxfId="59">
      <calculatedColumnFormula>IF(N17&gt;= 0,N17,0)</calculatedColumnFormula>
    </tableColumn>
    <tableColumn id="16" xr3:uid="{45880575-EB8B-4E5A-B427-79FBE802EA42}" name=" TR LOSS" dataDxfId="58">
      <calculatedColumnFormula>IF(N17&lt;0,N17,0)</calculatedColumnFormula>
    </tableColumn>
    <tableColumn id="33" xr3:uid="{38D298B0-A085-48CC-BE58-3EA9D823D076}" name="Initial Losing Trade" dataDxfId="57">
      <calculatedColumnFormula>IF(AND(OFFSET(Tabla336106734825[[#This Row],[Equity]],1,0)="",Tabla336106734825[[#This Row],[No. of Rs]]&lt;0),"Yes",IF(AND(OFFSET(Tabla336106734825[[#This Row],[Initial Losing Trade]],1,0)="Yes",Tabla336106734825[[#This Row],[No. of Rs]]&lt;0),"Yes","No"))</calculatedColumnFormula>
    </tableColumn>
    <tableColumn id="30" xr3:uid="{0F5DEF2A-AD69-4B60-B84E-89DDF924A5FD}" name="Equity" dataDxfId="56">
      <calculatedColumnFormula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calculatedColumnFormula>
    </tableColumn>
    <tableColumn id="32" xr3:uid="{BEB2E456-5A0F-424A-AD3D-43323B308047}" name="Equity Peak" dataDxfId="55">
      <calculatedColumnFormula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calculatedColumnFormula>
    </tableColumn>
    <tableColumn id="31" xr3:uid="{B5F2A43F-B9A9-433B-9BF9-632EFF8F0335}" name="Drawdown" dataDxfId="54">
      <calculatedColumnFormula>IF(Tabla336106734825[[#This Row],[Equity]]&lt;Tabla336106734825[[#This Row],[Equity Peak]],(Tabla336106734825[[#This Row],[Equity Peak]]-Tabla336106734825[[#This Row],[Equity]])/Tabla336106734825[[#This Row],[Equity Peak]],"")</calculatedColumnFormula>
    </tableColumn>
    <tableColumn id="17" xr3:uid="{4F8774C1-B48C-4AC2-BD59-D9D8021EDB89}" name="Currency" dataDxfId="53">
      <calculatedColumnFormula>IF(B17="FX",N17,0)</calculatedColumnFormula>
    </tableColumn>
    <tableColumn id="18" xr3:uid="{7A9EB237-55D0-4502-A148-9F33E0065F99}" name="Heat3" dataDxfId="52">
      <calculatedColumnFormula>IF(D17="O",IF(V17&lt;0,V17,0),0)</calculatedColumnFormula>
    </tableColumn>
    <tableColumn id="19" xr3:uid="{61C52FDA-CA78-4950-85F3-F7295C6E14FA}" name="Commodities" dataDxfId="51">
      <calculatedColumnFormula>IF(B17="COM",N17,0)</calculatedColumnFormula>
    </tableColumn>
    <tableColumn id="20" xr3:uid="{32A84976-BDDB-471E-BEB8-B4B75E784F64}" name="Heat4" dataDxfId="50">
      <calculatedColumnFormula>IF(D17="O",IF(X17&lt;0,X17,0),0)</calculatedColumnFormula>
    </tableColumn>
    <tableColumn id="21" xr3:uid="{05BFE00E-944C-46AD-BBD3-150A5A51295B}" name="Index" dataDxfId="49">
      <calculatedColumnFormula>IF(B17="IND",N17,0)</calculatedColumnFormula>
    </tableColumn>
    <tableColumn id="22" xr3:uid="{34AE811A-26C4-46B7-B969-D4047174E644}" name="Heat5" dataDxfId="48">
      <calculatedColumnFormula>IF(D17="O",IF(Z17&lt;0,Z17,0),0)</calculatedColumnFormula>
    </tableColumn>
    <tableColumn id="27" xr3:uid="{5E24A57F-FEAF-42CA-A269-1B5A5A73A6B8}" name="Cryptocurrency" dataDxfId="47">
      <calculatedColumnFormula>IF(B17="CRYPTO",N17,0)</calculatedColumnFormula>
    </tableColumn>
    <tableColumn id="28" xr3:uid="{2CD98406-47A7-44C9-919E-376BB4EFB283}" name="Heat6" dataDxfId="46">
      <calculatedColumnFormula>IF(D17="O",IF(AB17&lt;0,AB17,0),0)</calculatedColumnFormula>
    </tableColumn>
    <tableColumn id="23" xr3:uid="{CDBB51B1-4A4E-47C0-9F3B-CA61C32D3CF8}" name="Length of _x000a_Trade" dataDxfId="45">
      <calculatedColumnFormula>IF(K17&lt;&gt;"",K17-E17,0)</calculatedColumnFormula>
    </tableColumn>
    <tableColumn id="24" xr3:uid="{1FCA95BC-531E-436E-A355-25FA66493CE2}" name="Win" dataDxfId="44">
      <calculatedColumnFormula>IF(N17&gt;0,AD17,0)</calculatedColumnFormula>
    </tableColumn>
    <tableColumn id="25" xr3:uid="{8C0647AF-190A-453D-B2AE-184BA5CE6783}" name="Loss" dataDxfId="43">
      <calculatedColumnFormula>IF(N17&lt;0,AD17,0)</calculatedColumnFormula>
    </tableColumn>
    <tableColumn id="26" xr3:uid="{A0B7E2D9-1E3D-44E4-AC90-FE5FF65BB429}" name="Breakeven" dataDxfId="42">
      <calculatedColumnFormula>IF(N17=0,AD17,0)</calculatedColumnFormula>
    </tableColumn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9D5CB1E6-9D23-49BE-83E1-2DE5D3BD92B0}" name="Tabla336106734826" displayName="Tabla336106734826" ref="B16:AG27" totalsRowShown="0" headerRowDxfId="33" dataDxfId="32">
  <autoFilter ref="B16:AG27" xr:uid="{00000000-0009-0000-0100-000009000000}"/>
  <sortState xmlns:xlrd2="http://schemas.microsoft.com/office/spreadsheetml/2017/richdata2" ref="B17:AG27">
    <sortCondition descending="1" ref="D16:D27"/>
  </sortState>
  <tableColumns count="32">
    <tableColumn id="1" xr3:uid="{295F7D1C-3E33-4BC7-8510-78230FECDA72}" name="Inst" dataDxfId="31"/>
    <tableColumn id="2" xr3:uid="{90DF6F2C-E3A5-4E61-8D27-1548EAFCD8DC}" name="L/S" dataDxfId="30"/>
    <tableColumn id="3" xr3:uid="{75AD0E6F-2440-4A01-97F5-204C4D565BBB}" name="O/C" dataDxfId="29">
      <calculatedColumnFormula>IF(E17&lt;&gt;"",IF(K17&lt;&gt;"","C","O"),"")</calculatedColumnFormula>
    </tableColumn>
    <tableColumn id="4" xr3:uid="{BC481DA4-D86C-4EEB-88F2-BE0F9CD76F3E}" name="DATE" dataDxfId="28"/>
    <tableColumn id="5" xr3:uid="{44406608-85E8-4677-BC6B-2180EABAE4E5}" name="INST." dataDxfId="27"/>
    <tableColumn id="6" xr3:uid="{ED245E6F-E85E-455F-BE7B-2FBC31918A9F}" name="ENTRY " dataDxfId="26"/>
    <tableColumn id="7" xr3:uid="{0BEC6482-7329-4B75-91AF-7C34B1254711}" name="STOP " dataDxfId="25"/>
    <tableColumn id="8" xr3:uid="{94B1EF3E-5957-4A13-9536-40597E3BD6B7}" name="TR_x000a_(in Pips)" dataDxfId="24">
      <calculatedColumnFormula>ABS(G17-H17)</calculatedColumnFormula>
    </tableColumn>
    <tableColumn id="9" xr3:uid="{E3AA3C98-B8B0-4F13-854E-136086910F65}" name="TARGET" dataDxfId="23"/>
    <tableColumn id="10" xr3:uid="{9684D0D0-3A7E-4D34-B802-2BE8D8E189A8}" name="DATE2" dataDxfId="22"/>
    <tableColumn id="11" xr3:uid="{EBC47998-63F1-41CE-B23E-2B618D09CE84}" name="EXIT" dataDxfId="21"/>
    <tableColumn id="12" xr3:uid="{AB24A352-A2B3-455F-B6FB-4A3E0DB922CC}" name="RESULT" dataDxfId="20">
      <calculatedColumnFormula>ROUND(IF(C17="L",(L17-G17),(G17-L17)),4)</calculatedColumnFormula>
    </tableColumn>
    <tableColumn id="13" xr3:uid="{01B58812-28B0-4489-A199-5C73479AB4BD}" name="No. of Rs" dataDxfId="19">
      <calculatedColumnFormula>IFERROR(ROUND((M17/I17),2),"")</calculatedColumnFormula>
    </tableColumn>
    <tableColumn id="14" xr3:uid="{505307BC-95FF-41DE-A99A-99752774AA0D}" name="Heat" dataDxfId="18">
      <calculatedColumnFormula>IF(D17="O",IF(N17&lt;0,N17,0),0)</calculatedColumnFormula>
    </tableColumn>
    <tableColumn id="15" xr3:uid="{23C67F6D-6002-4444-B11D-AFD44ED4F258}" name=" TR WIN" dataDxfId="17">
      <calculatedColumnFormula>IF(N17&gt;= 0,N17,0)</calculatedColumnFormula>
    </tableColumn>
    <tableColumn id="16" xr3:uid="{65038E08-5D1B-4FD2-A53B-FC7AE018195B}" name=" TR LOSS" dataDxfId="16">
      <calculatedColumnFormula>IF(N17&lt;0,N17,0)</calculatedColumnFormula>
    </tableColumn>
    <tableColumn id="33" xr3:uid="{A840F398-B77A-42AE-A1DF-DC4668F77FD3}" name="Initial Losing Trade" dataDxfId="15">
      <calculatedColumnFormula>IF(AND(OFFSET(Tabla336106734826[[#This Row],[Equity]],1,0)="",Tabla336106734826[[#This Row],[No. of Rs]]&lt;0),"Yes",IF(AND(OFFSET(Tabla336106734826[[#This Row],[Initial Losing Trade]],1,0)="Yes",Tabla336106734826[[#This Row],[No. of Rs]]&lt;0),"Yes","No"))</calculatedColumnFormula>
    </tableColumn>
    <tableColumn id="30" xr3:uid="{DD907129-CC1D-4982-84FA-6F0BD590BD15}" name="Equity" dataDxfId="14">
      <calculatedColumnFormula>IF(OFFSET(Tabla336106734826[[#This Row],[Equity]],1,0)="",IF(Tabla336106734826[[#This Row],[No. of Rs]]="",$F$11,$F$11+($F$11*Tabla336106734826[[#This Row],[No. of Rs]]/100)),IF(Tabla336106734826[[#This Row],[No. of Rs]]="",OFFSET(Tabla336106734826[[#This Row],[Equity]],1,0),OFFSET(Tabla336106734826[[#This Row],[Equity]],1,0)+($F$11*Tabla336106734826[[#This Row],[No. of Rs]]/100)))</calculatedColumnFormula>
    </tableColumn>
    <tableColumn id="32" xr3:uid="{B1791C2B-993B-450B-AEC6-B3A6DCCF77EE}" name="Equity Peak" dataDxfId="13">
      <calculatedColumnFormula>IF(OFFSET(Tabla336106734826[[#This Row],[Equity Peak]],1,0)="",IF(Tabla336106734826[[#This Row],[Initial Losing Trade]]="Yes",$F$11,Tabla336106734826[[#This Row],[Equity]]),IF(OFFSET(Tabla336106734826[[#This Row],[Equity Peak]],1,0)&gt;Tabla336106734826[[#This Row],[Equity]],OFFSET(Tabla336106734826[[#This Row],[Equity Peak]],1,0),Tabla336106734826[[#This Row],[Equity]]))</calculatedColumnFormula>
    </tableColumn>
    <tableColumn id="31" xr3:uid="{4042E923-D7B4-44D6-94C4-2328CD2E62A2}" name="Drawdown" dataDxfId="12">
      <calculatedColumnFormula>IF(Tabla336106734826[[#This Row],[Equity]]&lt;Tabla336106734826[[#This Row],[Equity Peak]],(Tabla336106734826[[#This Row],[Equity Peak]]-Tabla336106734826[[#This Row],[Equity]])/Tabla336106734826[[#This Row],[Equity Peak]],"")</calculatedColumnFormula>
    </tableColumn>
    <tableColumn id="17" xr3:uid="{992DE1F9-3F07-4D03-A9E4-CA8014A5FABF}" name="Currency" dataDxfId="11">
      <calculatedColumnFormula>IF(B17="FX",N17,0)</calculatedColumnFormula>
    </tableColumn>
    <tableColumn id="18" xr3:uid="{1DB880FB-924F-443E-9EEF-051E328265BE}" name="Heat3" dataDxfId="10">
      <calculatedColumnFormula>IF(D17="O",IF(V17&lt;0,V17,0),0)</calculatedColumnFormula>
    </tableColumn>
    <tableColumn id="19" xr3:uid="{E088D639-EFA5-43E2-9957-30EB46002E80}" name="Commodities" dataDxfId="9">
      <calculatedColumnFormula>IF(B17="COM",N17,0)</calculatedColumnFormula>
    </tableColumn>
    <tableColumn id="20" xr3:uid="{5FE80C2F-B1C9-460B-8279-DDD49552A361}" name="Heat4" dataDxfId="8">
      <calculatedColumnFormula>IF(D17="O",IF(X17&lt;0,X17,0),0)</calculatedColumnFormula>
    </tableColumn>
    <tableColumn id="21" xr3:uid="{C338248F-155D-49D7-B286-76B366670A69}" name="Index" dataDxfId="7">
      <calculatedColumnFormula>IF(B17="IND",N17,0)</calculatedColumnFormula>
    </tableColumn>
    <tableColumn id="22" xr3:uid="{EDED54AD-5239-4601-960C-39CC4CB6C605}" name="Heat5" dataDxfId="6">
      <calculatedColumnFormula>IF(D17="O",IF(Z17&lt;0,Z17,0),0)</calculatedColumnFormula>
    </tableColumn>
    <tableColumn id="27" xr3:uid="{D6542A1F-CDC0-404F-A8AD-2F2B23ADA684}" name="Cryptocurrency" dataDxfId="5">
      <calculatedColumnFormula>IF(B17="CRYPTO",N17,0)</calculatedColumnFormula>
    </tableColumn>
    <tableColumn id="28" xr3:uid="{1F1DEACE-C8FA-4BAD-9D46-E1F850A2AAF8}" name="Heat6" dataDxfId="4">
      <calculatedColumnFormula>IF(D17="O",IF(AB17&lt;0,AB17,0),0)</calculatedColumnFormula>
    </tableColumn>
    <tableColumn id="23" xr3:uid="{206F048B-3B9B-4D70-B174-0B50FE503E19}" name="Length of _x000a_Trade" dataDxfId="3">
      <calculatedColumnFormula>IF(K17&lt;&gt;"",K17-E17,0)</calculatedColumnFormula>
    </tableColumn>
    <tableColumn id="24" xr3:uid="{92623D2D-5C37-4E45-9996-B7701CF0B33B}" name="Win" dataDxfId="2">
      <calculatedColumnFormula>IF(N17&gt;0,AD17,0)</calculatedColumnFormula>
    </tableColumn>
    <tableColumn id="25" xr3:uid="{BF999D67-6714-4032-9CB3-093370C56128}" name="Loss" dataDxfId="1">
      <calculatedColumnFormula>IF(N17&lt;0,AD17,0)</calculatedColumnFormula>
    </tableColumn>
    <tableColumn id="26" xr3:uid="{3A62F536-C591-47E5-831B-C53C91638E36}" name="Breakeven" dataDxfId="0">
      <calculatedColumnFormula>IF(N17=0,AD17,0)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013C3-47FF-4FE9-8595-476BF59175BE}">
  <sheetPr codeName="Hoja8">
    <pageSetUpPr fitToPage="1"/>
  </sheetPr>
  <dimension ref="A1:AX444"/>
  <sheetViews>
    <sheetView showGridLines="0" showZeros="0" tabSelected="1" zoomScale="115" zoomScaleNormal="115" zoomScalePageLayoutView="99" workbookViewId="0">
      <pane ySplit="16" topLeftCell="A17" activePane="bottomLeft" state="frozen"/>
      <selection activeCell="E2" sqref="E2:N5"/>
      <selection pane="bottomLeft" activeCell="E2" sqref="E2:N5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123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COUNTA(Tabla33610673[Inst])</f>
        <v>428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232.64000000000001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93.54000000000002</v>
      </c>
      <c r="W6" s="18"/>
      <c r="X6" s="17">
        <f>+X13</f>
        <v>26.479999999999993</v>
      </c>
      <c r="Y6" s="19"/>
      <c r="Z6" s="17">
        <f>+Z13</f>
        <v>78.490000000000009</v>
      </c>
      <c r="AA6" s="19"/>
      <c r="AB6" s="17">
        <f>+AB13</f>
        <v>34.130000000000003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COUNTIF(Tabla33610673[No. of Rs],"&gt;0")</f>
        <v>159</v>
      </c>
      <c r="G7" s="24">
        <f>IFERROR((F7/$F$6),"")</f>
        <v>0.37149532710280375</v>
      </c>
      <c r="H7" s="78">
        <f>IFERROR((+P13/F7),"")</f>
        <v>2.420943396226416</v>
      </c>
      <c r="I7" s="227">
        <f>H7/H9</f>
        <v>4.2285832516660768</v>
      </c>
      <c r="J7" s="227">
        <f>AVERAGE(Tabla33610673[No. of Rs])</f>
        <v>0.54355140186915896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0.40208046767537831</v>
      </c>
      <c r="W7" s="27"/>
      <c r="X7" s="26">
        <f>IFERROR((X6/N6),"")</f>
        <v>0.11382393397524068</v>
      </c>
      <c r="Y7" s="28"/>
      <c r="Z7" s="26">
        <f>IFERROR((Z6/N6),"")</f>
        <v>0.33738823933975243</v>
      </c>
      <c r="AA7" s="28"/>
      <c r="AB7" s="26">
        <f>IFERROR((AB6/N6),"")</f>
        <v>0.14670735900962861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COUNTIF(Tabla33610673[No. of Rs],"=0")</f>
        <v>3</v>
      </c>
      <c r="G8" s="24">
        <f>IFERROR((F8/$F$6),"")</f>
        <v>7.0093457943925233E-3</v>
      </c>
      <c r="H8" s="78"/>
      <c r="I8" s="228"/>
      <c r="J8" s="228"/>
      <c r="K8" s="163"/>
      <c r="L8" s="212" t="s">
        <v>112</v>
      </c>
      <c r="M8" s="213"/>
      <c r="N8" s="195">
        <f ca="1">OFFSET(Tabla33610673[[#Headers],[Equity]],1,0)</f>
        <v>332640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COUNTIF(Tabla33610673[No. of Rs],"&lt;0")</f>
        <v>266</v>
      </c>
      <c r="G9" s="32">
        <f>IFERROR((F9/$F$6),"")</f>
        <v>0.62149532710280375</v>
      </c>
      <c r="H9" s="79">
        <f>IFERROR((-Q13/F9),"")</f>
        <v>0.57251879699248098</v>
      </c>
      <c r="I9" s="229"/>
      <c r="J9" s="229"/>
      <c r="K9" s="149"/>
      <c r="L9" s="230" t="s">
        <v>106</v>
      </c>
      <c r="M9" s="231"/>
      <c r="N9" s="125">
        <f ca="1">MAX(Tabla33610673[Drawdown])</f>
        <v>6.3096111518708725E-2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 t="str">
        <f ca="1">OFFSET(Tabla33610673[[#Headers],[Drawdown]],1,0)</f>
        <v/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IF(COUNTIFS(Tabla33610673[O/C],"O")&lt;1,"None",COUNTIFS(Tabla33610673[O/C],"O"))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SUM(Tabla33610673[No. of Rs])</f>
        <v>232.64000000000001</v>
      </c>
      <c r="O13" s="42">
        <f>SUM(Tabla33610673[Heat])</f>
        <v>0</v>
      </c>
      <c r="P13" s="43">
        <f>SUM(Tabla33610673[[ TR WIN]])</f>
        <v>384.93000000000012</v>
      </c>
      <c r="Q13" s="43">
        <f>SUM(Tabla33610673[[ TR LOSS]])</f>
        <v>-152.28999999999994</v>
      </c>
      <c r="R13" s="114"/>
      <c r="S13" s="115"/>
      <c r="T13" s="115"/>
      <c r="U13" s="121"/>
      <c r="V13" s="44">
        <f>SUM(Tabla33610673[Currency])</f>
        <v>93.54000000000002</v>
      </c>
      <c r="W13" s="44">
        <f>SUM(Tabla33610673[Heat3])</f>
        <v>0</v>
      </c>
      <c r="X13" s="44">
        <f>SUM(Tabla33610673[Commodities])</f>
        <v>26.479999999999993</v>
      </c>
      <c r="Y13" s="44">
        <f>SUM(Tabla33610673[Heat4])</f>
        <v>0</v>
      </c>
      <c r="Z13" s="44">
        <f>SUM(Tabla33610673[Index])</f>
        <v>78.490000000000009</v>
      </c>
      <c r="AA13" s="44">
        <f>SUM(Tabla33610673[Heat5])</f>
        <v>0</v>
      </c>
      <c r="AB13" s="44">
        <f>SUM(Tabla33610673[Cryptocurrency])</f>
        <v>34.130000000000003</v>
      </c>
      <c r="AC13" s="44">
        <f>SUM(Tabla33610673[Heat6])</f>
        <v>0</v>
      </c>
      <c r="AD13" s="75">
        <f>AVERAGEIF(Tabla33610673[Length of 
Trade],"&lt;&gt;0")</f>
        <v>5.112284203011658</v>
      </c>
      <c r="AE13" s="75">
        <f>AVERAGEIF(Tabla33610673[Win],"&lt;&gt;0")</f>
        <v>9.3243798043327821</v>
      </c>
      <c r="AF13" s="75">
        <f>AVERAGEIF(Tabla33610673[Loss],"&lt;&gt;0")</f>
        <v>2.5136304302425545</v>
      </c>
      <c r="AG13" s="76">
        <f>AVERAGEIF(Tabla33610673[Breakeven],"&lt;&gt;0")</f>
        <v>12.285185185185886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2:33" ht="15" customHeight="1" x14ac:dyDescent="0.3">
      <c r="B17" s="196" t="s">
        <v>7</v>
      </c>
      <c r="C17" s="197" t="s">
        <v>15</v>
      </c>
      <c r="D17" s="198" t="str">
        <f t="shared" ref="D17:D80" si="0">IF(E17&lt;&gt;"",IF(K17&lt;&gt;"","C","O"),"")</f>
        <v>C</v>
      </c>
      <c r="E17" s="199">
        <v>43825.833333333336</v>
      </c>
      <c r="F17" s="200" t="s">
        <v>121</v>
      </c>
      <c r="G17" s="201">
        <v>0.69398000000000004</v>
      </c>
      <c r="H17" s="201">
        <v>0.69235999999999998</v>
      </c>
      <c r="I17" s="202">
        <f t="shared" ref="I17:I80" si="1">ABS(G17-H17)</f>
        <v>1.6200000000000658E-3</v>
      </c>
      <c r="J17" s="201">
        <v>0.70262000000000002</v>
      </c>
      <c r="K17" s="199">
        <v>43830.670138888891</v>
      </c>
      <c r="L17" s="201">
        <v>0.70262000000000002</v>
      </c>
      <c r="M17" s="203">
        <f t="shared" ref="M17:M80" si="2">ROUND(IF(C17="L",(L17-G17),(G17-L17)),4)</f>
        <v>8.6E-3</v>
      </c>
      <c r="N17" s="204">
        <f t="shared" ref="N17:N80" si="3">IFERROR(ROUND((M17/I17),2),"")</f>
        <v>5.31</v>
      </c>
      <c r="O17" s="205">
        <f t="shared" ref="O17:O80" si="4">IF(D17="O",IF(N17&lt;0,N17,0),0)</f>
        <v>0</v>
      </c>
      <c r="P17" s="206">
        <f t="shared" ref="P17:P80" si="5">IF(N17&gt;= 0,N17,0)</f>
        <v>5.31</v>
      </c>
      <c r="Q17" s="206">
        <f t="shared" ref="Q17:Q80" si="6">IF(N17&lt;0,N17,0)</f>
        <v>0</v>
      </c>
      <c r="R1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332640</v>
      </c>
      <c r="T1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332640</v>
      </c>
      <c r="U17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17" s="209">
        <f t="shared" ref="V17:V80" si="7">IF(B17="FX",N17,0)</f>
        <v>5.31</v>
      </c>
      <c r="W17" s="209">
        <f t="shared" ref="W17:W80" si="8">IF(D17="O",IF(V17&lt;0,V17,0),0)</f>
        <v>0</v>
      </c>
      <c r="X17" s="209">
        <f t="shared" ref="X17:X80" si="9">IF(B17="COM",N17,0)</f>
        <v>0</v>
      </c>
      <c r="Y17" s="209">
        <f t="shared" ref="Y17:Y80" si="10">IF(D17="O",IF(X17&lt;0,X17,0),0)</f>
        <v>0</v>
      </c>
      <c r="Z17" s="209">
        <f t="shared" ref="Z17:Z80" si="11">IF(B17="IND",N17,0)</f>
        <v>0</v>
      </c>
      <c r="AA17" s="205">
        <f t="shared" ref="AA17:AA80" si="12">IF(D17="O",IF(Z17&lt;0,Z17,0),0)</f>
        <v>0</v>
      </c>
      <c r="AB17" s="209">
        <f t="shared" ref="AB17:AB80" si="13">IF(B17="CRYPTO",N17,0)</f>
        <v>0</v>
      </c>
      <c r="AC17" s="205">
        <f t="shared" ref="AC17:AC80" si="14">IF(D17="O",IF(AB17&lt;0,AB17,0),0)</f>
        <v>0</v>
      </c>
      <c r="AD17" s="210">
        <f t="shared" ref="AD17:AD80" si="15">IF(K17&lt;&gt;"",K17-E17,0)</f>
        <v>4.8368055555547471</v>
      </c>
      <c r="AE17" s="210">
        <f t="shared" ref="AE17:AE80" si="16">IF(N17&gt;0,AD17,0)</f>
        <v>4.8368055555547471</v>
      </c>
      <c r="AF17" s="210">
        <f t="shared" ref="AF17:AF80" si="17">IF(N17&lt;0,AD17,0)</f>
        <v>0</v>
      </c>
      <c r="AG17" s="210">
        <f t="shared" ref="AG17:AG80" si="18">IF(N17=0,AD17,0)</f>
        <v>0</v>
      </c>
    </row>
    <row r="18" spans="2:33" ht="15" customHeight="1" x14ac:dyDescent="0.3">
      <c r="B18" s="196" t="s">
        <v>19</v>
      </c>
      <c r="C18" s="197" t="s">
        <v>15</v>
      </c>
      <c r="D18" s="198" t="str">
        <f t="shared" si="0"/>
        <v>C</v>
      </c>
      <c r="E18" s="199">
        <v>43825.791666666664</v>
      </c>
      <c r="F18" s="200" t="s">
        <v>108</v>
      </c>
      <c r="G18" s="201">
        <v>61.674999999999997</v>
      </c>
      <c r="H18" s="201">
        <v>60.529000000000003</v>
      </c>
      <c r="I18" s="202">
        <f t="shared" si="1"/>
        <v>1.1459999999999937</v>
      </c>
      <c r="J18" s="201">
        <v>75.426000000000002</v>
      </c>
      <c r="K18" s="199">
        <v>43829.727777777778</v>
      </c>
      <c r="L18" s="201">
        <v>61.298999999999999</v>
      </c>
      <c r="M18" s="203">
        <f t="shared" si="2"/>
        <v>-0.376</v>
      </c>
      <c r="N18" s="204">
        <f t="shared" si="3"/>
        <v>-0.33</v>
      </c>
      <c r="O18" s="205">
        <f t="shared" si="4"/>
        <v>0</v>
      </c>
      <c r="P18" s="206">
        <f t="shared" si="5"/>
        <v>0</v>
      </c>
      <c r="Q18" s="206">
        <f t="shared" si="6"/>
        <v>-0.33</v>
      </c>
      <c r="R1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327330</v>
      </c>
      <c r="T1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327660</v>
      </c>
      <c r="U18" s="208">
        <f ca="1">IF(Tabla33610673[[#This Row],[Equity]]&lt;Tabla33610673[[#This Row],[Equity Peak]],(Tabla33610673[[#This Row],[Equity Peak]]-Tabla33610673[[#This Row],[Equity]])/Tabla33610673[[#This Row],[Equity Peak]],"")</f>
        <v>1.0071415491668192E-3</v>
      </c>
      <c r="V18" s="209">
        <f t="shared" si="7"/>
        <v>0</v>
      </c>
      <c r="W18" s="209">
        <f t="shared" si="8"/>
        <v>0</v>
      </c>
      <c r="X18" s="209">
        <f t="shared" si="9"/>
        <v>-0.33</v>
      </c>
      <c r="Y18" s="209">
        <f t="shared" si="10"/>
        <v>0</v>
      </c>
      <c r="Z18" s="209">
        <f t="shared" si="11"/>
        <v>0</v>
      </c>
      <c r="AA18" s="205">
        <f t="shared" si="12"/>
        <v>0</v>
      </c>
      <c r="AB18" s="209">
        <f t="shared" si="13"/>
        <v>0</v>
      </c>
      <c r="AC18" s="205">
        <f t="shared" si="14"/>
        <v>0</v>
      </c>
      <c r="AD18" s="210">
        <f t="shared" si="15"/>
        <v>3.9361111111138598</v>
      </c>
      <c r="AE18" s="210">
        <f t="shared" si="16"/>
        <v>0</v>
      </c>
      <c r="AF18" s="210">
        <f t="shared" si="17"/>
        <v>3.9361111111138598</v>
      </c>
      <c r="AG18" s="210">
        <f t="shared" si="18"/>
        <v>0</v>
      </c>
    </row>
    <row r="19" spans="2:33" ht="15" customHeight="1" x14ac:dyDescent="0.3">
      <c r="B19" s="196" t="s">
        <v>5</v>
      </c>
      <c r="C19" s="197" t="s">
        <v>15</v>
      </c>
      <c r="D19" s="198" t="str">
        <f t="shared" si="0"/>
        <v>C</v>
      </c>
      <c r="E19" s="199">
        <v>43805.666666666664</v>
      </c>
      <c r="F19" s="200" t="s">
        <v>92</v>
      </c>
      <c r="G19" s="201">
        <v>8372.5</v>
      </c>
      <c r="H19" s="201">
        <v>8254.7900000000009</v>
      </c>
      <c r="I19" s="202">
        <f t="shared" si="1"/>
        <v>117.70999999999913</v>
      </c>
      <c r="J19" s="201">
        <v>9157.2000000000007</v>
      </c>
      <c r="K19" s="199">
        <v>43829.615277777775</v>
      </c>
      <c r="L19" s="201">
        <v>8736.5</v>
      </c>
      <c r="M19" s="203">
        <f t="shared" si="2"/>
        <v>364</v>
      </c>
      <c r="N19" s="204">
        <f t="shared" si="3"/>
        <v>3.09</v>
      </c>
      <c r="O19" s="205">
        <f t="shared" si="4"/>
        <v>0</v>
      </c>
      <c r="P19" s="206">
        <f t="shared" si="5"/>
        <v>3.09</v>
      </c>
      <c r="Q19" s="206">
        <f t="shared" si="6"/>
        <v>0</v>
      </c>
      <c r="R1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327660</v>
      </c>
      <c r="T1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327660</v>
      </c>
      <c r="U19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19" s="209">
        <f t="shared" si="7"/>
        <v>0</v>
      </c>
      <c r="W19" s="209">
        <f t="shared" si="8"/>
        <v>0</v>
      </c>
      <c r="X19" s="209">
        <f t="shared" si="9"/>
        <v>0</v>
      </c>
      <c r="Y19" s="209">
        <f t="shared" si="10"/>
        <v>0</v>
      </c>
      <c r="Z19" s="209">
        <f t="shared" si="11"/>
        <v>3.09</v>
      </c>
      <c r="AA19" s="205">
        <f t="shared" si="12"/>
        <v>0</v>
      </c>
      <c r="AB19" s="209">
        <f t="shared" si="13"/>
        <v>0</v>
      </c>
      <c r="AC19" s="205">
        <f t="shared" si="14"/>
        <v>0</v>
      </c>
      <c r="AD19" s="210">
        <f t="shared" si="15"/>
        <v>23.948611111110949</v>
      </c>
      <c r="AE19" s="210">
        <f t="shared" si="16"/>
        <v>23.948611111110949</v>
      </c>
      <c r="AF19" s="210">
        <f t="shared" si="17"/>
        <v>0</v>
      </c>
      <c r="AG19" s="210">
        <f t="shared" si="18"/>
        <v>0</v>
      </c>
    </row>
    <row r="20" spans="2:33" ht="15" customHeight="1" x14ac:dyDescent="0.3">
      <c r="B20" s="196" t="s">
        <v>7</v>
      </c>
      <c r="C20" s="197" t="s">
        <v>13</v>
      </c>
      <c r="D20" s="198" t="str">
        <f t="shared" si="0"/>
        <v>C</v>
      </c>
      <c r="E20" s="199">
        <v>43818.333333333336</v>
      </c>
      <c r="F20" s="200" t="s">
        <v>120</v>
      </c>
      <c r="G20" s="201">
        <v>1.61748</v>
      </c>
      <c r="H20" s="201">
        <v>1.6229199999999999</v>
      </c>
      <c r="I20" s="202">
        <f t="shared" si="1"/>
        <v>5.4399999999998894E-3</v>
      </c>
      <c r="J20" s="201">
        <v>1.55949</v>
      </c>
      <c r="K20" s="199">
        <v>43826.441666666666</v>
      </c>
      <c r="L20" s="201">
        <v>1.60178</v>
      </c>
      <c r="M20" s="203">
        <f t="shared" si="2"/>
        <v>1.5699999999999999E-2</v>
      </c>
      <c r="N20" s="204">
        <f t="shared" si="3"/>
        <v>2.89</v>
      </c>
      <c r="O20" s="205">
        <f t="shared" si="4"/>
        <v>0</v>
      </c>
      <c r="P20" s="206">
        <f t="shared" si="5"/>
        <v>2.89</v>
      </c>
      <c r="Q20" s="206">
        <f t="shared" si="6"/>
        <v>0</v>
      </c>
      <c r="R2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324570</v>
      </c>
      <c r="T2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324570</v>
      </c>
      <c r="U20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20" s="209">
        <f t="shared" si="7"/>
        <v>2.89</v>
      </c>
      <c r="W20" s="209">
        <f t="shared" si="8"/>
        <v>0</v>
      </c>
      <c r="X20" s="209">
        <f t="shared" si="9"/>
        <v>0</v>
      </c>
      <c r="Y20" s="209">
        <f t="shared" si="10"/>
        <v>0</v>
      </c>
      <c r="Z20" s="209">
        <f t="shared" si="11"/>
        <v>0</v>
      </c>
      <c r="AA20" s="205">
        <f t="shared" si="12"/>
        <v>0</v>
      </c>
      <c r="AB20" s="209">
        <f t="shared" si="13"/>
        <v>0</v>
      </c>
      <c r="AC20" s="205">
        <f t="shared" si="14"/>
        <v>0</v>
      </c>
      <c r="AD20" s="210">
        <f t="shared" si="15"/>
        <v>8.1083333333299379</v>
      </c>
      <c r="AE20" s="210">
        <f t="shared" si="16"/>
        <v>8.1083333333299379</v>
      </c>
      <c r="AF20" s="210">
        <f t="shared" si="17"/>
        <v>0</v>
      </c>
      <c r="AG20" s="210">
        <f t="shared" si="18"/>
        <v>0</v>
      </c>
    </row>
    <row r="21" spans="2:33" ht="15" customHeight="1" x14ac:dyDescent="0.3">
      <c r="B21" s="196" t="s">
        <v>5</v>
      </c>
      <c r="C21" s="197" t="s">
        <v>15</v>
      </c>
      <c r="D21" s="198" t="str">
        <f t="shared" si="0"/>
        <v>C</v>
      </c>
      <c r="E21" s="199">
        <v>43815.708333333336</v>
      </c>
      <c r="F21" s="200" t="s">
        <v>93</v>
      </c>
      <c r="G21" s="201">
        <v>3190.71</v>
      </c>
      <c r="H21" s="201">
        <v>3171.16</v>
      </c>
      <c r="I21" s="202">
        <f t="shared" si="1"/>
        <v>19.550000000000182</v>
      </c>
      <c r="J21" s="201">
        <v>3242.84</v>
      </c>
      <c r="K21" s="199">
        <v>43826.07708333333</v>
      </c>
      <c r="L21" s="201">
        <v>3242.84</v>
      </c>
      <c r="M21" s="203">
        <f t="shared" si="2"/>
        <v>52.13</v>
      </c>
      <c r="N21" s="204">
        <f t="shared" si="3"/>
        <v>2.67</v>
      </c>
      <c r="O21" s="205">
        <f t="shared" si="4"/>
        <v>0</v>
      </c>
      <c r="P21" s="206">
        <f t="shared" si="5"/>
        <v>2.67</v>
      </c>
      <c r="Q21" s="206">
        <f t="shared" si="6"/>
        <v>0</v>
      </c>
      <c r="R2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321680</v>
      </c>
      <c r="T2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321680</v>
      </c>
      <c r="U21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21" s="209">
        <f t="shared" si="7"/>
        <v>0</v>
      </c>
      <c r="W21" s="209">
        <f t="shared" si="8"/>
        <v>0</v>
      </c>
      <c r="X21" s="209">
        <f t="shared" si="9"/>
        <v>0</v>
      </c>
      <c r="Y21" s="209">
        <f t="shared" si="10"/>
        <v>0</v>
      </c>
      <c r="Z21" s="209">
        <f t="shared" si="11"/>
        <v>2.67</v>
      </c>
      <c r="AA21" s="205">
        <f t="shared" si="12"/>
        <v>0</v>
      </c>
      <c r="AB21" s="209">
        <f t="shared" si="13"/>
        <v>0</v>
      </c>
      <c r="AC21" s="205">
        <f t="shared" si="14"/>
        <v>0</v>
      </c>
      <c r="AD21" s="210">
        <f t="shared" si="15"/>
        <v>10.368749999994179</v>
      </c>
      <c r="AE21" s="210">
        <f t="shared" si="16"/>
        <v>10.368749999994179</v>
      </c>
      <c r="AF21" s="210">
        <f t="shared" si="17"/>
        <v>0</v>
      </c>
      <c r="AG21" s="210">
        <f t="shared" si="18"/>
        <v>0</v>
      </c>
    </row>
    <row r="22" spans="2:33" ht="15" customHeight="1" x14ac:dyDescent="0.3">
      <c r="B22" s="196" t="s">
        <v>19</v>
      </c>
      <c r="C22" s="197" t="s">
        <v>15</v>
      </c>
      <c r="D22" s="198" t="str">
        <f t="shared" si="0"/>
        <v>C</v>
      </c>
      <c r="E22" s="199">
        <v>43815.541666666664</v>
      </c>
      <c r="F22" s="200" t="s">
        <v>89</v>
      </c>
      <c r="G22" s="201">
        <v>17.061</v>
      </c>
      <c r="H22" s="201">
        <v>16.844999999999999</v>
      </c>
      <c r="I22" s="202">
        <f t="shared" si="1"/>
        <v>0.21600000000000108</v>
      </c>
      <c r="J22" s="201">
        <v>18.100000000000001</v>
      </c>
      <c r="K22" s="199">
        <v>43825.80972222222</v>
      </c>
      <c r="L22" s="201">
        <v>17.84</v>
      </c>
      <c r="M22" s="203">
        <f t="shared" si="2"/>
        <v>0.77900000000000003</v>
      </c>
      <c r="N22" s="204">
        <f t="shared" si="3"/>
        <v>3.61</v>
      </c>
      <c r="O22" s="205">
        <f t="shared" si="4"/>
        <v>0</v>
      </c>
      <c r="P22" s="206">
        <f t="shared" si="5"/>
        <v>3.61</v>
      </c>
      <c r="Q22" s="206">
        <f t="shared" si="6"/>
        <v>0</v>
      </c>
      <c r="R2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319010</v>
      </c>
      <c r="T2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319010</v>
      </c>
      <c r="U22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22" s="209">
        <f t="shared" si="7"/>
        <v>0</v>
      </c>
      <c r="W22" s="209">
        <f t="shared" si="8"/>
        <v>0</v>
      </c>
      <c r="X22" s="209">
        <f t="shared" si="9"/>
        <v>3.61</v>
      </c>
      <c r="Y22" s="209">
        <f t="shared" si="10"/>
        <v>0</v>
      </c>
      <c r="Z22" s="209">
        <f t="shared" si="11"/>
        <v>0</v>
      </c>
      <c r="AA22" s="205">
        <f t="shared" si="12"/>
        <v>0</v>
      </c>
      <c r="AB22" s="209">
        <f t="shared" si="13"/>
        <v>0</v>
      </c>
      <c r="AC22" s="205">
        <f t="shared" si="14"/>
        <v>0</v>
      </c>
      <c r="AD22" s="210">
        <f t="shared" si="15"/>
        <v>10.268055555556202</v>
      </c>
      <c r="AE22" s="210">
        <f t="shared" si="16"/>
        <v>10.268055555556202</v>
      </c>
      <c r="AF22" s="210">
        <f t="shared" si="17"/>
        <v>0</v>
      </c>
      <c r="AG22" s="210">
        <f t="shared" si="18"/>
        <v>0</v>
      </c>
    </row>
    <row r="23" spans="2:33" ht="15" customHeight="1" x14ac:dyDescent="0.3">
      <c r="B23" s="196" t="s">
        <v>7</v>
      </c>
      <c r="C23" s="197" t="s">
        <v>13</v>
      </c>
      <c r="D23" s="198" t="str">
        <f t="shared" si="0"/>
        <v>C</v>
      </c>
      <c r="E23" s="199">
        <v>43823.017361111109</v>
      </c>
      <c r="F23" s="200" t="s">
        <v>115</v>
      </c>
      <c r="G23" s="201">
        <v>141.393</v>
      </c>
      <c r="H23" s="201">
        <v>142.57300000000001</v>
      </c>
      <c r="I23" s="202">
        <f t="shared" si="1"/>
        <v>1.1800000000000068</v>
      </c>
      <c r="J23" s="201">
        <v>134.786</v>
      </c>
      <c r="K23" s="199">
        <v>43825.745833333334</v>
      </c>
      <c r="L23" s="201">
        <v>142.57300000000001</v>
      </c>
      <c r="M23" s="203">
        <f t="shared" si="2"/>
        <v>-1.18</v>
      </c>
      <c r="N23" s="204">
        <f t="shared" si="3"/>
        <v>-1</v>
      </c>
      <c r="O23" s="205">
        <f t="shared" si="4"/>
        <v>0</v>
      </c>
      <c r="P23" s="206">
        <f t="shared" si="5"/>
        <v>0</v>
      </c>
      <c r="Q23" s="206">
        <f t="shared" si="6"/>
        <v>-1</v>
      </c>
      <c r="R2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315400</v>
      </c>
      <c r="T2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316650</v>
      </c>
      <c r="U23" s="208">
        <f ca="1">IF(Tabla33610673[[#This Row],[Equity]]&lt;Tabla33610673[[#This Row],[Equity Peak]],(Tabla33610673[[#This Row],[Equity Peak]]-Tabla33610673[[#This Row],[Equity]])/Tabla33610673[[#This Row],[Equity Peak]],"")</f>
        <v>3.9475761882204327E-3</v>
      </c>
      <c r="V23" s="209">
        <f t="shared" si="7"/>
        <v>-1</v>
      </c>
      <c r="W23" s="209">
        <f t="shared" si="8"/>
        <v>0</v>
      </c>
      <c r="X23" s="209">
        <f t="shared" si="9"/>
        <v>0</v>
      </c>
      <c r="Y23" s="209">
        <f t="shared" si="10"/>
        <v>0</v>
      </c>
      <c r="Z23" s="209">
        <f t="shared" si="11"/>
        <v>0</v>
      </c>
      <c r="AA23" s="205">
        <f t="shared" si="12"/>
        <v>0</v>
      </c>
      <c r="AB23" s="209">
        <f t="shared" si="13"/>
        <v>0</v>
      </c>
      <c r="AC23" s="205">
        <f t="shared" si="14"/>
        <v>0</v>
      </c>
      <c r="AD23" s="210">
        <f t="shared" si="15"/>
        <v>2.7284722222248092</v>
      </c>
      <c r="AE23" s="210">
        <f t="shared" si="16"/>
        <v>0</v>
      </c>
      <c r="AF23" s="210">
        <f t="shared" si="17"/>
        <v>2.7284722222248092</v>
      </c>
      <c r="AG23" s="210">
        <f t="shared" si="18"/>
        <v>0</v>
      </c>
    </row>
    <row r="24" spans="2:33" ht="15" customHeight="1" x14ac:dyDescent="0.3">
      <c r="B24" s="196" t="s">
        <v>19</v>
      </c>
      <c r="C24" s="197" t="s">
        <v>15</v>
      </c>
      <c r="D24" s="198" t="str">
        <f t="shared" si="0"/>
        <v>C</v>
      </c>
      <c r="E24" s="199">
        <v>43816.791666666664</v>
      </c>
      <c r="F24" s="200" t="s">
        <v>108</v>
      </c>
      <c r="G24" s="201">
        <v>60.820999999999998</v>
      </c>
      <c r="H24" s="201">
        <v>59.597000000000001</v>
      </c>
      <c r="I24" s="202">
        <f t="shared" si="1"/>
        <v>1.2239999999999966</v>
      </c>
      <c r="J24" s="201">
        <v>75.513000000000005</v>
      </c>
      <c r="K24" s="199">
        <v>43819.704861111109</v>
      </c>
      <c r="L24" s="201">
        <v>60.514000000000003</v>
      </c>
      <c r="M24" s="203">
        <f t="shared" si="2"/>
        <v>-0.307</v>
      </c>
      <c r="N24" s="204">
        <f t="shared" si="3"/>
        <v>-0.25</v>
      </c>
      <c r="O24" s="205">
        <f t="shared" si="4"/>
        <v>0</v>
      </c>
      <c r="P24" s="206">
        <f t="shared" si="5"/>
        <v>0</v>
      </c>
      <c r="Q24" s="206">
        <f t="shared" si="6"/>
        <v>-0.25</v>
      </c>
      <c r="R2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316400</v>
      </c>
      <c r="T2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316650</v>
      </c>
      <c r="U24" s="208">
        <f ca="1">IF(Tabla33610673[[#This Row],[Equity]]&lt;Tabla33610673[[#This Row],[Equity Peak]],(Tabla33610673[[#This Row],[Equity Peak]]-Tabla33610673[[#This Row],[Equity]])/Tabla33610673[[#This Row],[Equity Peak]],"")</f>
        <v>7.8951523764408656E-4</v>
      </c>
      <c r="V24" s="209">
        <f t="shared" si="7"/>
        <v>0</v>
      </c>
      <c r="W24" s="209">
        <f t="shared" si="8"/>
        <v>0</v>
      </c>
      <c r="X24" s="209">
        <f t="shared" si="9"/>
        <v>-0.25</v>
      </c>
      <c r="Y24" s="209">
        <f t="shared" si="10"/>
        <v>0</v>
      </c>
      <c r="Z24" s="209">
        <f t="shared" si="11"/>
        <v>0</v>
      </c>
      <c r="AA24" s="205">
        <f t="shared" si="12"/>
        <v>0</v>
      </c>
      <c r="AB24" s="209">
        <f t="shared" si="13"/>
        <v>0</v>
      </c>
      <c r="AC24" s="205">
        <f t="shared" si="14"/>
        <v>0</v>
      </c>
      <c r="AD24" s="210">
        <f t="shared" si="15"/>
        <v>2.9131944444452529</v>
      </c>
      <c r="AE24" s="210">
        <f t="shared" si="16"/>
        <v>0</v>
      </c>
      <c r="AF24" s="210">
        <f t="shared" si="17"/>
        <v>2.9131944444452529</v>
      </c>
      <c r="AG24" s="210">
        <f t="shared" si="18"/>
        <v>0</v>
      </c>
    </row>
    <row r="25" spans="2:33" ht="15" customHeight="1" x14ac:dyDescent="0.3">
      <c r="B25" s="196" t="s">
        <v>5</v>
      </c>
      <c r="C25" s="197" t="s">
        <v>15</v>
      </c>
      <c r="D25" s="198" t="str">
        <f t="shared" si="0"/>
        <v>C</v>
      </c>
      <c r="E25" s="199">
        <v>43811.833333333336</v>
      </c>
      <c r="F25" s="200" t="s">
        <v>94</v>
      </c>
      <c r="G25" s="201">
        <v>7269.94</v>
      </c>
      <c r="H25" s="201">
        <v>7203.93</v>
      </c>
      <c r="I25" s="202">
        <f t="shared" si="1"/>
        <v>66.009999999999309</v>
      </c>
      <c r="J25" s="201">
        <v>7600</v>
      </c>
      <c r="K25" s="199">
        <v>43819.513194444444</v>
      </c>
      <c r="L25" s="201">
        <v>7600</v>
      </c>
      <c r="M25" s="203">
        <f t="shared" si="2"/>
        <v>330.06</v>
      </c>
      <c r="N25" s="204">
        <f t="shared" si="3"/>
        <v>5</v>
      </c>
      <c r="O25" s="205">
        <f t="shared" si="4"/>
        <v>0</v>
      </c>
      <c r="P25" s="206">
        <f t="shared" si="5"/>
        <v>5</v>
      </c>
      <c r="Q25" s="206">
        <f t="shared" si="6"/>
        <v>0</v>
      </c>
      <c r="R2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316650</v>
      </c>
      <c r="T2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316650</v>
      </c>
      <c r="U25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25" s="209">
        <f t="shared" si="7"/>
        <v>0</v>
      </c>
      <c r="W25" s="209">
        <f t="shared" si="8"/>
        <v>0</v>
      </c>
      <c r="X25" s="209">
        <f t="shared" si="9"/>
        <v>0</v>
      </c>
      <c r="Y25" s="209">
        <f t="shared" si="10"/>
        <v>0</v>
      </c>
      <c r="Z25" s="209">
        <f t="shared" si="11"/>
        <v>5</v>
      </c>
      <c r="AA25" s="205">
        <f t="shared" si="12"/>
        <v>0</v>
      </c>
      <c r="AB25" s="209">
        <f t="shared" si="13"/>
        <v>0</v>
      </c>
      <c r="AC25" s="205">
        <f t="shared" si="14"/>
        <v>0</v>
      </c>
      <c r="AD25" s="210">
        <f t="shared" si="15"/>
        <v>7.679861111108039</v>
      </c>
      <c r="AE25" s="210">
        <f t="shared" si="16"/>
        <v>7.679861111108039</v>
      </c>
      <c r="AF25" s="210">
        <f t="shared" si="17"/>
        <v>0</v>
      </c>
      <c r="AG25" s="210">
        <f t="shared" si="18"/>
        <v>0</v>
      </c>
    </row>
    <row r="26" spans="2:33" ht="15" customHeight="1" x14ac:dyDescent="0.3">
      <c r="B26" s="196" t="s">
        <v>5</v>
      </c>
      <c r="C26" s="197" t="s">
        <v>15</v>
      </c>
      <c r="D26" s="198" t="str">
        <f t="shared" si="0"/>
        <v>C</v>
      </c>
      <c r="E26" s="199">
        <v>43812.017361111109</v>
      </c>
      <c r="F26" s="200" t="s">
        <v>91</v>
      </c>
      <c r="G26" s="201">
        <v>13299.1</v>
      </c>
      <c r="H26" s="201">
        <v>13060.7</v>
      </c>
      <c r="I26" s="202">
        <f t="shared" si="1"/>
        <v>238.39999999999964</v>
      </c>
      <c r="J26" s="201">
        <v>14252.7</v>
      </c>
      <c r="K26" s="199">
        <v>43818.609722222223</v>
      </c>
      <c r="L26" s="201">
        <v>13139.82</v>
      </c>
      <c r="M26" s="203">
        <f t="shared" si="2"/>
        <v>-159.28</v>
      </c>
      <c r="N26" s="204">
        <f t="shared" si="3"/>
        <v>-0.67</v>
      </c>
      <c r="O26" s="205">
        <f t="shared" si="4"/>
        <v>0</v>
      </c>
      <c r="P26" s="206">
        <f t="shared" si="5"/>
        <v>0</v>
      </c>
      <c r="Q26" s="206">
        <f t="shared" si="6"/>
        <v>-0.67</v>
      </c>
      <c r="R2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311650</v>
      </c>
      <c r="T2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313380</v>
      </c>
      <c r="U26" s="208">
        <f ca="1">IF(Tabla33610673[[#This Row],[Equity]]&lt;Tabla33610673[[#This Row],[Equity Peak]],(Tabla33610673[[#This Row],[Equity Peak]]-Tabla33610673[[#This Row],[Equity]])/Tabla33610673[[#This Row],[Equity Peak]],"")</f>
        <v>5.5204544004084496E-3</v>
      </c>
      <c r="V26" s="209">
        <f t="shared" si="7"/>
        <v>0</v>
      </c>
      <c r="W26" s="209">
        <f t="shared" si="8"/>
        <v>0</v>
      </c>
      <c r="X26" s="209">
        <f t="shared" si="9"/>
        <v>0</v>
      </c>
      <c r="Y26" s="209">
        <f t="shared" si="10"/>
        <v>0</v>
      </c>
      <c r="Z26" s="209">
        <f t="shared" si="11"/>
        <v>-0.67</v>
      </c>
      <c r="AA26" s="205">
        <f t="shared" si="12"/>
        <v>0</v>
      </c>
      <c r="AB26" s="209">
        <f t="shared" si="13"/>
        <v>0</v>
      </c>
      <c r="AC26" s="205">
        <f t="shared" si="14"/>
        <v>0</v>
      </c>
      <c r="AD26" s="210">
        <f t="shared" si="15"/>
        <v>6.5923611111138598</v>
      </c>
      <c r="AE26" s="210">
        <f t="shared" si="16"/>
        <v>0</v>
      </c>
      <c r="AF26" s="210">
        <f t="shared" si="17"/>
        <v>6.5923611111138598</v>
      </c>
      <c r="AG26" s="210">
        <f t="shared" si="18"/>
        <v>0</v>
      </c>
    </row>
    <row r="27" spans="2:33" ht="15" customHeight="1" x14ac:dyDescent="0.3">
      <c r="B27" s="196" t="s">
        <v>7</v>
      </c>
      <c r="C27" s="197" t="s">
        <v>15</v>
      </c>
      <c r="D27" s="198" t="str">
        <f t="shared" si="0"/>
        <v>C</v>
      </c>
      <c r="E27" s="199">
        <v>43812.017361111109</v>
      </c>
      <c r="F27" s="200" t="s">
        <v>113</v>
      </c>
      <c r="G27" s="201">
        <v>108.97499999999999</v>
      </c>
      <c r="H27" s="201">
        <v>108.35599999999999</v>
      </c>
      <c r="I27" s="202">
        <f t="shared" si="1"/>
        <v>0.61899999999999977</v>
      </c>
      <c r="J27" s="201">
        <v>111.86499999999999</v>
      </c>
      <c r="K27" s="199">
        <v>43818.606944444444</v>
      </c>
      <c r="L27" s="201">
        <v>109.383</v>
      </c>
      <c r="M27" s="203">
        <f t="shared" si="2"/>
        <v>0.40799999999999997</v>
      </c>
      <c r="N27" s="204">
        <f t="shared" si="3"/>
        <v>0.66</v>
      </c>
      <c r="O27" s="205">
        <f t="shared" si="4"/>
        <v>0</v>
      </c>
      <c r="P27" s="206">
        <f t="shared" si="5"/>
        <v>0.66</v>
      </c>
      <c r="Q27" s="206">
        <f t="shared" si="6"/>
        <v>0</v>
      </c>
      <c r="R2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312320</v>
      </c>
      <c r="T2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313380</v>
      </c>
      <c r="U27" s="208">
        <f ca="1">IF(Tabla33610673[[#This Row],[Equity]]&lt;Tabla33610673[[#This Row],[Equity Peak]],(Tabla33610673[[#This Row],[Equity Peak]]-Tabla33610673[[#This Row],[Equity]])/Tabla33610673[[#This Row],[Equity Peak]],"")</f>
        <v>3.3824749505392813E-3</v>
      </c>
      <c r="V27" s="209">
        <f t="shared" si="7"/>
        <v>0.66</v>
      </c>
      <c r="W27" s="209">
        <f t="shared" si="8"/>
        <v>0</v>
      </c>
      <c r="X27" s="209">
        <f t="shared" si="9"/>
        <v>0</v>
      </c>
      <c r="Y27" s="209">
        <f t="shared" si="10"/>
        <v>0</v>
      </c>
      <c r="Z27" s="209">
        <f t="shared" si="11"/>
        <v>0</v>
      </c>
      <c r="AA27" s="205">
        <f t="shared" si="12"/>
        <v>0</v>
      </c>
      <c r="AB27" s="209">
        <f t="shared" si="13"/>
        <v>0</v>
      </c>
      <c r="AC27" s="205">
        <f t="shared" si="14"/>
        <v>0</v>
      </c>
      <c r="AD27" s="210">
        <f t="shared" si="15"/>
        <v>6.5895833333343035</v>
      </c>
      <c r="AE27" s="210">
        <f t="shared" si="16"/>
        <v>6.5895833333343035</v>
      </c>
      <c r="AF27" s="210">
        <f t="shared" si="17"/>
        <v>0</v>
      </c>
      <c r="AG27" s="210">
        <f t="shared" si="18"/>
        <v>0</v>
      </c>
    </row>
    <row r="28" spans="2:33" ht="15" customHeight="1" x14ac:dyDescent="0.3">
      <c r="B28" s="196" t="s">
        <v>5</v>
      </c>
      <c r="C28" s="197" t="s">
        <v>15</v>
      </c>
      <c r="D28" s="198" t="str">
        <f t="shared" si="0"/>
        <v>C</v>
      </c>
      <c r="E28" s="199">
        <v>43815.201388888891</v>
      </c>
      <c r="F28" s="200" t="s">
        <v>90</v>
      </c>
      <c r="G28" s="201">
        <v>6844.4</v>
      </c>
      <c r="H28" s="201">
        <v>6798.4</v>
      </c>
      <c r="I28" s="202">
        <f t="shared" si="1"/>
        <v>46</v>
      </c>
      <c r="J28" s="201">
        <v>7457.69</v>
      </c>
      <c r="K28" s="199">
        <v>43818.449305555558</v>
      </c>
      <c r="L28" s="201">
        <v>6813.27</v>
      </c>
      <c r="M28" s="203">
        <f t="shared" si="2"/>
        <v>-31.13</v>
      </c>
      <c r="N28" s="204">
        <f t="shared" si="3"/>
        <v>-0.68</v>
      </c>
      <c r="O28" s="205">
        <f t="shared" si="4"/>
        <v>0</v>
      </c>
      <c r="P28" s="206">
        <f t="shared" si="5"/>
        <v>0</v>
      </c>
      <c r="Q28" s="206">
        <f t="shared" si="6"/>
        <v>-0.68</v>
      </c>
      <c r="R2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311660</v>
      </c>
      <c r="T2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313380</v>
      </c>
      <c r="U28" s="208">
        <f ca="1">IF(Tabla33610673[[#This Row],[Equity]]&lt;Tabla33610673[[#This Row],[Equity Peak]],(Tabla33610673[[#This Row],[Equity Peak]]-Tabla33610673[[#This Row],[Equity]])/Tabla33610673[[#This Row],[Equity Peak]],"")</f>
        <v>5.4885442593656268E-3</v>
      </c>
      <c r="V28" s="209">
        <f t="shared" si="7"/>
        <v>0</v>
      </c>
      <c r="W28" s="209">
        <f t="shared" si="8"/>
        <v>0</v>
      </c>
      <c r="X28" s="209">
        <f t="shared" si="9"/>
        <v>0</v>
      </c>
      <c r="Y28" s="209">
        <f t="shared" si="10"/>
        <v>0</v>
      </c>
      <c r="Z28" s="209">
        <f t="shared" si="11"/>
        <v>-0.68</v>
      </c>
      <c r="AA28" s="205">
        <f t="shared" si="12"/>
        <v>0</v>
      </c>
      <c r="AB28" s="209">
        <f t="shared" si="13"/>
        <v>0</v>
      </c>
      <c r="AC28" s="205">
        <f t="shared" si="14"/>
        <v>0</v>
      </c>
      <c r="AD28" s="210">
        <f t="shared" si="15"/>
        <v>3.2479166666671517</v>
      </c>
      <c r="AE28" s="210">
        <f t="shared" si="16"/>
        <v>0</v>
      </c>
      <c r="AF28" s="210">
        <f t="shared" si="17"/>
        <v>3.2479166666671517</v>
      </c>
      <c r="AG28" s="210">
        <f t="shared" si="18"/>
        <v>0</v>
      </c>
    </row>
    <row r="29" spans="2:33" ht="15" customHeight="1" x14ac:dyDescent="0.3">
      <c r="B29" s="196" t="s">
        <v>7</v>
      </c>
      <c r="C29" s="197" t="s">
        <v>15</v>
      </c>
      <c r="D29" s="198" t="str">
        <f t="shared" si="0"/>
        <v>C</v>
      </c>
      <c r="E29" s="199">
        <v>43816.333333333336</v>
      </c>
      <c r="F29" s="200" t="s">
        <v>120</v>
      </c>
      <c r="G29" s="201">
        <v>1.6231</v>
      </c>
      <c r="H29" s="201">
        <v>1.6162399999999999</v>
      </c>
      <c r="I29" s="202">
        <f t="shared" si="1"/>
        <v>6.8600000000000882E-3</v>
      </c>
      <c r="J29" s="201">
        <v>1.69624</v>
      </c>
      <c r="K29" s="199">
        <v>43817.603472222225</v>
      </c>
      <c r="L29" s="201">
        <v>1.62276</v>
      </c>
      <c r="M29" s="203">
        <f t="shared" si="2"/>
        <v>-2.9999999999999997E-4</v>
      </c>
      <c r="N29" s="204">
        <f t="shared" si="3"/>
        <v>-0.04</v>
      </c>
      <c r="O29" s="205">
        <f t="shared" si="4"/>
        <v>0</v>
      </c>
      <c r="P29" s="206">
        <f t="shared" si="5"/>
        <v>0</v>
      </c>
      <c r="Q29" s="206">
        <f t="shared" si="6"/>
        <v>-0.04</v>
      </c>
      <c r="R2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312340</v>
      </c>
      <c r="T2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313380</v>
      </c>
      <c r="U29" s="208">
        <f ca="1">IF(Tabla33610673[[#This Row],[Equity]]&lt;Tabla33610673[[#This Row],[Equity Peak]],(Tabla33610673[[#This Row],[Equity Peak]]-Tabla33610673[[#This Row],[Equity]])/Tabla33610673[[#This Row],[Equity Peak]],"")</f>
        <v>3.3186546684536348E-3</v>
      </c>
      <c r="V29" s="209">
        <f t="shared" si="7"/>
        <v>-0.04</v>
      </c>
      <c r="W29" s="209">
        <f t="shared" si="8"/>
        <v>0</v>
      </c>
      <c r="X29" s="209">
        <f t="shared" si="9"/>
        <v>0</v>
      </c>
      <c r="Y29" s="209">
        <f t="shared" si="10"/>
        <v>0</v>
      </c>
      <c r="Z29" s="209">
        <f t="shared" si="11"/>
        <v>0</v>
      </c>
      <c r="AA29" s="205">
        <f t="shared" si="12"/>
        <v>0</v>
      </c>
      <c r="AB29" s="209">
        <f t="shared" si="13"/>
        <v>0</v>
      </c>
      <c r="AC29" s="205">
        <f t="shared" si="14"/>
        <v>0</v>
      </c>
      <c r="AD29" s="210">
        <f t="shared" si="15"/>
        <v>1.2701388888890506</v>
      </c>
      <c r="AE29" s="210">
        <f t="shared" si="16"/>
        <v>0</v>
      </c>
      <c r="AF29" s="210">
        <f t="shared" si="17"/>
        <v>1.2701388888890506</v>
      </c>
      <c r="AG29" s="210">
        <f t="shared" si="18"/>
        <v>0</v>
      </c>
    </row>
    <row r="30" spans="2:33" ht="15" customHeight="1" x14ac:dyDescent="0.3">
      <c r="B30" s="196" t="s">
        <v>5</v>
      </c>
      <c r="C30" s="197" t="s">
        <v>15</v>
      </c>
      <c r="D30" s="198" t="str">
        <f t="shared" si="0"/>
        <v>C</v>
      </c>
      <c r="E30" s="199">
        <v>43812.166666666664</v>
      </c>
      <c r="F30" s="200" t="s">
        <v>95</v>
      </c>
      <c r="G30" s="201">
        <v>28230.1</v>
      </c>
      <c r="H30" s="201">
        <v>28081.96</v>
      </c>
      <c r="I30" s="202">
        <f t="shared" si="1"/>
        <v>148.13999999999942</v>
      </c>
      <c r="J30" s="201">
        <v>28822.67</v>
      </c>
      <c r="K30" s="199">
        <v>43812.770833333336</v>
      </c>
      <c r="L30" s="201">
        <v>28081.96</v>
      </c>
      <c r="M30" s="203">
        <f t="shared" si="2"/>
        <v>-148.13999999999999</v>
      </c>
      <c r="N30" s="204">
        <f t="shared" si="3"/>
        <v>-1</v>
      </c>
      <c r="O30" s="205">
        <f t="shared" si="4"/>
        <v>0</v>
      </c>
      <c r="P30" s="206">
        <f t="shared" si="5"/>
        <v>0</v>
      </c>
      <c r="Q30" s="206">
        <f t="shared" si="6"/>
        <v>-1</v>
      </c>
      <c r="R3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312380</v>
      </c>
      <c r="T3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313380</v>
      </c>
      <c r="U30" s="208">
        <f ca="1">IF(Tabla33610673[[#This Row],[Equity]]&lt;Tabla33610673[[#This Row],[Equity Peak]],(Tabla33610673[[#This Row],[Equity Peak]]-Tabla33610673[[#This Row],[Equity]])/Tabla33610673[[#This Row],[Equity Peak]],"")</f>
        <v>3.1910141042823408E-3</v>
      </c>
      <c r="V30" s="209">
        <f t="shared" si="7"/>
        <v>0</v>
      </c>
      <c r="W30" s="209">
        <f t="shared" si="8"/>
        <v>0</v>
      </c>
      <c r="X30" s="209">
        <f t="shared" si="9"/>
        <v>0</v>
      </c>
      <c r="Y30" s="209">
        <f t="shared" si="10"/>
        <v>0</v>
      </c>
      <c r="Z30" s="209">
        <f t="shared" si="11"/>
        <v>-1</v>
      </c>
      <c r="AA30" s="205">
        <f t="shared" si="12"/>
        <v>0</v>
      </c>
      <c r="AB30" s="209">
        <f t="shared" si="13"/>
        <v>0</v>
      </c>
      <c r="AC30" s="205">
        <f t="shared" si="14"/>
        <v>0</v>
      </c>
      <c r="AD30" s="210">
        <f t="shared" si="15"/>
        <v>0.60416666667151731</v>
      </c>
      <c r="AE30" s="210">
        <f t="shared" si="16"/>
        <v>0</v>
      </c>
      <c r="AF30" s="210">
        <f t="shared" si="17"/>
        <v>0.60416666667151731</v>
      </c>
      <c r="AG30" s="210">
        <f t="shared" si="18"/>
        <v>0</v>
      </c>
    </row>
    <row r="31" spans="2:33" ht="15" customHeight="1" x14ac:dyDescent="0.3">
      <c r="B31" s="196" t="s">
        <v>7</v>
      </c>
      <c r="C31" s="197" t="s">
        <v>15</v>
      </c>
      <c r="D31" s="198" t="str">
        <f t="shared" si="0"/>
        <v>C</v>
      </c>
      <c r="E31" s="199">
        <v>43810.833333333336</v>
      </c>
      <c r="F31" s="200" t="s">
        <v>122</v>
      </c>
      <c r="G31" s="201">
        <v>74.606999999999999</v>
      </c>
      <c r="H31" s="201">
        <v>74.328999999999994</v>
      </c>
      <c r="I31" s="202">
        <f t="shared" si="1"/>
        <v>0.2780000000000058</v>
      </c>
      <c r="J31" s="201">
        <v>79.427999999999997</v>
      </c>
      <c r="K31" s="199">
        <v>43812.768055555556</v>
      </c>
      <c r="L31" s="201">
        <v>75.227000000000004</v>
      </c>
      <c r="M31" s="203">
        <f t="shared" si="2"/>
        <v>0.62</v>
      </c>
      <c r="N31" s="204">
        <f t="shared" si="3"/>
        <v>2.23</v>
      </c>
      <c r="O31" s="205">
        <f t="shared" si="4"/>
        <v>0</v>
      </c>
      <c r="P31" s="206">
        <f t="shared" si="5"/>
        <v>2.23</v>
      </c>
      <c r="Q31" s="206">
        <f t="shared" si="6"/>
        <v>0</v>
      </c>
      <c r="R3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313380</v>
      </c>
      <c r="T3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313380</v>
      </c>
      <c r="U31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31" s="209">
        <f t="shared" si="7"/>
        <v>2.23</v>
      </c>
      <c r="W31" s="209">
        <f t="shared" si="8"/>
        <v>0</v>
      </c>
      <c r="X31" s="209">
        <f t="shared" si="9"/>
        <v>0</v>
      </c>
      <c r="Y31" s="209">
        <f t="shared" si="10"/>
        <v>0</v>
      </c>
      <c r="Z31" s="209">
        <f t="shared" si="11"/>
        <v>0</v>
      </c>
      <c r="AA31" s="205">
        <f t="shared" si="12"/>
        <v>0</v>
      </c>
      <c r="AB31" s="209">
        <f t="shared" si="13"/>
        <v>0</v>
      </c>
      <c r="AC31" s="205">
        <f t="shared" si="14"/>
        <v>0</v>
      </c>
      <c r="AD31" s="210">
        <f t="shared" si="15"/>
        <v>1.9347222222204437</v>
      </c>
      <c r="AE31" s="210">
        <f t="shared" si="16"/>
        <v>1.9347222222204437</v>
      </c>
      <c r="AF31" s="210">
        <f t="shared" si="17"/>
        <v>0</v>
      </c>
      <c r="AG31" s="210">
        <f t="shared" si="18"/>
        <v>0</v>
      </c>
    </row>
    <row r="32" spans="2:33" ht="15" customHeight="1" x14ac:dyDescent="0.3">
      <c r="B32" s="196" t="s">
        <v>5</v>
      </c>
      <c r="C32" s="197" t="s">
        <v>15</v>
      </c>
      <c r="D32" s="198" t="str">
        <f t="shared" si="0"/>
        <v>C</v>
      </c>
      <c r="E32" s="199">
        <v>43812.166666666664</v>
      </c>
      <c r="F32" s="200" t="s">
        <v>93</v>
      </c>
      <c r="G32" s="201">
        <v>3180.09</v>
      </c>
      <c r="H32" s="201">
        <v>3162.82</v>
      </c>
      <c r="I32" s="202">
        <f t="shared" si="1"/>
        <v>17.269999999999982</v>
      </c>
      <c r="J32" s="201">
        <v>3226.15</v>
      </c>
      <c r="K32" s="199">
        <v>43812.609027777777</v>
      </c>
      <c r="L32" s="201">
        <v>3162.82</v>
      </c>
      <c r="M32" s="203">
        <f t="shared" si="2"/>
        <v>-17.27</v>
      </c>
      <c r="N32" s="204">
        <f t="shared" si="3"/>
        <v>-1</v>
      </c>
      <c r="O32" s="205">
        <f t="shared" si="4"/>
        <v>0</v>
      </c>
      <c r="P32" s="206">
        <f t="shared" si="5"/>
        <v>0</v>
      </c>
      <c r="Q32" s="206">
        <f t="shared" si="6"/>
        <v>-1</v>
      </c>
      <c r="R3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311150</v>
      </c>
      <c r="T3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312370</v>
      </c>
      <c r="U32" s="208">
        <f ca="1">IF(Tabla33610673[[#This Row],[Equity]]&lt;Tabla33610673[[#This Row],[Equity Peak]],(Tabla33610673[[#This Row],[Equity Peak]]-Tabla33610673[[#This Row],[Equity]])/Tabla33610673[[#This Row],[Equity Peak]],"")</f>
        <v>3.9056247398917949E-3</v>
      </c>
      <c r="V32" s="209">
        <f t="shared" si="7"/>
        <v>0</v>
      </c>
      <c r="W32" s="209">
        <f t="shared" si="8"/>
        <v>0</v>
      </c>
      <c r="X32" s="209">
        <f t="shared" si="9"/>
        <v>0</v>
      </c>
      <c r="Y32" s="209">
        <f t="shared" si="10"/>
        <v>0</v>
      </c>
      <c r="Z32" s="209">
        <f t="shared" si="11"/>
        <v>-1</v>
      </c>
      <c r="AA32" s="205">
        <f t="shared" si="12"/>
        <v>0</v>
      </c>
      <c r="AB32" s="209">
        <f t="shared" si="13"/>
        <v>0</v>
      </c>
      <c r="AC32" s="205">
        <f t="shared" si="14"/>
        <v>0</v>
      </c>
      <c r="AD32" s="210">
        <f t="shared" si="15"/>
        <v>0.44236111111240461</v>
      </c>
      <c r="AE32" s="210">
        <f t="shared" si="16"/>
        <v>0</v>
      </c>
      <c r="AF32" s="210">
        <f t="shared" si="17"/>
        <v>0.44236111111240461</v>
      </c>
      <c r="AG32" s="210">
        <f t="shared" si="18"/>
        <v>0</v>
      </c>
    </row>
    <row r="33" spans="2:33" ht="15" customHeight="1" x14ac:dyDescent="0.3">
      <c r="B33" s="196" t="s">
        <v>7</v>
      </c>
      <c r="C33" s="197" t="s">
        <v>13</v>
      </c>
      <c r="D33" s="198" t="str">
        <f t="shared" si="0"/>
        <v>C</v>
      </c>
      <c r="E33" s="199">
        <v>43810.833333333336</v>
      </c>
      <c r="F33" s="200" t="s">
        <v>120</v>
      </c>
      <c r="G33" s="201">
        <v>1.61591</v>
      </c>
      <c r="H33" s="201">
        <v>1.62137</v>
      </c>
      <c r="I33" s="202">
        <f t="shared" si="1"/>
        <v>5.4600000000000204E-3</v>
      </c>
      <c r="J33" s="201">
        <v>1.55768</v>
      </c>
      <c r="K33" s="199">
        <v>43812.606249999997</v>
      </c>
      <c r="L33" s="201">
        <v>1.6171599999999999</v>
      </c>
      <c r="M33" s="203">
        <f t="shared" si="2"/>
        <v>-1.1999999999999999E-3</v>
      </c>
      <c r="N33" s="204">
        <f t="shared" si="3"/>
        <v>-0.22</v>
      </c>
      <c r="O33" s="205">
        <f t="shared" si="4"/>
        <v>0</v>
      </c>
      <c r="P33" s="206">
        <f t="shared" si="5"/>
        <v>0</v>
      </c>
      <c r="Q33" s="206">
        <f t="shared" si="6"/>
        <v>-0.22</v>
      </c>
      <c r="R3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312150</v>
      </c>
      <c r="T3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312370</v>
      </c>
      <c r="U33" s="208">
        <f ca="1">IF(Tabla33610673[[#This Row],[Equity]]&lt;Tabla33610673[[#This Row],[Equity Peak]],(Tabla33610673[[#This Row],[Equity Peak]]-Tabla33610673[[#This Row],[Equity]])/Tabla33610673[[#This Row],[Equity Peak]],"")</f>
        <v>7.0429298588212694E-4</v>
      </c>
      <c r="V33" s="209">
        <f t="shared" si="7"/>
        <v>-0.22</v>
      </c>
      <c r="W33" s="209">
        <f t="shared" si="8"/>
        <v>0</v>
      </c>
      <c r="X33" s="209">
        <f t="shared" si="9"/>
        <v>0</v>
      </c>
      <c r="Y33" s="209">
        <f t="shared" si="10"/>
        <v>0</v>
      </c>
      <c r="Z33" s="209">
        <f t="shared" si="11"/>
        <v>0</v>
      </c>
      <c r="AA33" s="205">
        <f t="shared" si="12"/>
        <v>0</v>
      </c>
      <c r="AB33" s="209">
        <f t="shared" si="13"/>
        <v>0</v>
      </c>
      <c r="AC33" s="205">
        <f t="shared" si="14"/>
        <v>0</v>
      </c>
      <c r="AD33" s="210">
        <f t="shared" si="15"/>
        <v>1.772916666661331</v>
      </c>
      <c r="AE33" s="210">
        <f t="shared" si="16"/>
        <v>0</v>
      </c>
      <c r="AF33" s="210">
        <f t="shared" si="17"/>
        <v>1.772916666661331</v>
      </c>
      <c r="AG33" s="210">
        <f t="shared" si="18"/>
        <v>0</v>
      </c>
    </row>
    <row r="34" spans="2:33" ht="15" customHeight="1" x14ac:dyDescent="0.3">
      <c r="B34" s="196" t="s">
        <v>7</v>
      </c>
      <c r="C34" s="197" t="s">
        <v>15</v>
      </c>
      <c r="D34" s="198" t="str">
        <f t="shared" si="0"/>
        <v>C</v>
      </c>
      <c r="E34" s="199">
        <v>43809.833333333336</v>
      </c>
      <c r="F34" s="200" t="s">
        <v>118</v>
      </c>
      <c r="G34" s="201">
        <v>120.566</v>
      </c>
      <c r="H34" s="201">
        <v>120.05500000000001</v>
      </c>
      <c r="I34" s="202">
        <f t="shared" si="1"/>
        <v>0.51099999999999568</v>
      </c>
      <c r="J34" s="201">
        <v>122.61199999999999</v>
      </c>
      <c r="K34" s="199">
        <v>43812.511805555558</v>
      </c>
      <c r="L34" s="201">
        <v>122.61199999999999</v>
      </c>
      <c r="M34" s="203">
        <f t="shared" si="2"/>
        <v>2.0459999999999998</v>
      </c>
      <c r="N34" s="204">
        <f t="shared" si="3"/>
        <v>4</v>
      </c>
      <c r="O34" s="205">
        <f t="shared" si="4"/>
        <v>0</v>
      </c>
      <c r="P34" s="206">
        <f t="shared" si="5"/>
        <v>4</v>
      </c>
      <c r="Q34" s="206">
        <f t="shared" si="6"/>
        <v>0</v>
      </c>
      <c r="R3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312370</v>
      </c>
      <c r="T3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312370</v>
      </c>
      <c r="U34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34" s="209">
        <f t="shared" si="7"/>
        <v>4</v>
      </c>
      <c r="W34" s="209">
        <f t="shared" si="8"/>
        <v>0</v>
      </c>
      <c r="X34" s="209">
        <f t="shared" si="9"/>
        <v>0</v>
      </c>
      <c r="Y34" s="209">
        <f t="shared" si="10"/>
        <v>0</v>
      </c>
      <c r="Z34" s="209">
        <f t="shared" si="11"/>
        <v>0</v>
      </c>
      <c r="AA34" s="205">
        <f t="shared" si="12"/>
        <v>0</v>
      </c>
      <c r="AB34" s="209">
        <f t="shared" si="13"/>
        <v>0</v>
      </c>
      <c r="AC34" s="205">
        <f t="shared" si="14"/>
        <v>0</v>
      </c>
      <c r="AD34" s="210">
        <f t="shared" si="15"/>
        <v>2.6784722222218988</v>
      </c>
      <c r="AE34" s="210">
        <f t="shared" si="16"/>
        <v>2.6784722222218988</v>
      </c>
      <c r="AF34" s="210">
        <f t="shared" si="17"/>
        <v>0</v>
      </c>
      <c r="AG34" s="210">
        <f t="shared" si="18"/>
        <v>0</v>
      </c>
    </row>
    <row r="35" spans="2:33" ht="15" customHeight="1" x14ac:dyDescent="0.3">
      <c r="B35" s="196" t="s">
        <v>19</v>
      </c>
      <c r="C35" s="197" t="s">
        <v>15</v>
      </c>
      <c r="D35" s="198" t="str">
        <f t="shared" si="0"/>
        <v>C</v>
      </c>
      <c r="E35" s="199">
        <v>43810.875</v>
      </c>
      <c r="F35" s="200" t="s">
        <v>88</v>
      </c>
      <c r="G35" s="201">
        <v>1470.58</v>
      </c>
      <c r="H35" s="201">
        <v>1462.24</v>
      </c>
      <c r="I35" s="202">
        <f t="shared" si="1"/>
        <v>8.3399999999999181</v>
      </c>
      <c r="J35" s="201">
        <v>1523.94</v>
      </c>
      <c r="K35" s="199">
        <v>43811.811111111114</v>
      </c>
      <c r="L35" s="201">
        <v>1466.24</v>
      </c>
      <c r="M35" s="203">
        <f t="shared" si="2"/>
        <v>-4.34</v>
      </c>
      <c r="N35" s="204">
        <f t="shared" si="3"/>
        <v>-0.52</v>
      </c>
      <c r="O35" s="205">
        <f t="shared" si="4"/>
        <v>0</v>
      </c>
      <c r="P35" s="206">
        <f t="shared" si="5"/>
        <v>0</v>
      </c>
      <c r="Q35" s="206">
        <f t="shared" si="6"/>
        <v>-0.52</v>
      </c>
      <c r="R3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308370</v>
      </c>
      <c r="T3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310950</v>
      </c>
      <c r="U35" s="208">
        <f ca="1">IF(Tabla33610673[[#This Row],[Equity]]&lt;Tabla33610673[[#This Row],[Equity Peak]],(Tabla33610673[[#This Row],[Equity Peak]]-Tabla33610673[[#This Row],[Equity]])/Tabla33610673[[#This Row],[Equity Peak]],"")</f>
        <v>8.2971538832609746E-3</v>
      </c>
      <c r="V35" s="209">
        <f t="shared" si="7"/>
        <v>0</v>
      </c>
      <c r="W35" s="209">
        <f t="shared" si="8"/>
        <v>0</v>
      </c>
      <c r="X35" s="209">
        <f t="shared" si="9"/>
        <v>-0.52</v>
      </c>
      <c r="Y35" s="209">
        <f t="shared" si="10"/>
        <v>0</v>
      </c>
      <c r="Z35" s="209">
        <f t="shared" si="11"/>
        <v>0</v>
      </c>
      <c r="AA35" s="205">
        <f t="shared" si="12"/>
        <v>0</v>
      </c>
      <c r="AB35" s="209">
        <f t="shared" si="13"/>
        <v>0</v>
      </c>
      <c r="AC35" s="205">
        <f t="shared" si="14"/>
        <v>0</v>
      </c>
      <c r="AD35" s="210">
        <f t="shared" si="15"/>
        <v>0.93611111111385981</v>
      </c>
      <c r="AE35" s="210">
        <f t="shared" si="16"/>
        <v>0</v>
      </c>
      <c r="AF35" s="210">
        <f t="shared" si="17"/>
        <v>0.93611111111385981</v>
      </c>
      <c r="AG35" s="210">
        <f t="shared" si="18"/>
        <v>0</v>
      </c>
    </row>
    <row r="36" spans="2:33" ht="15" customHeight="1" x14ac:dyDescent="0.3">
      <c r="B36" s="196" t="s">
        <v>7</v>
      </c>
      <c r="C36" s="197" t="s">
        <v>15</v>
      </c>
      <c r="D36" s="198" t="str">
        <f t="shared" si="0"/>
        <v>C</v>
      </c>
      <c r="E36" s="199">
        <v>43781.333333333336</v>
      </c>
      <c r="F36" s="200" t="s">
        <v>116</v>
      </c>
      <c r="G36" s="201">
        <v>1.87747</v>
      </c>
      <c r="H36" s="201">
        <v>1.85781</v>
      </c>
      <c r="I36" s="202">
        <f t="shared" si="1"/>
        <v>1.9660000000000011E-2</v>
      </c>
      <c r="J36" s="201">
        <v>1.9430000000000001</v>
      </c>
      <c r="K36" s="199">
        <v>43811.604166666664</v>
      </c>
      <c r="L36" s="201">
        <v>1.90743</v>
      </c>
      <c r="M36" s="203">
        <f t="shared" si="2"/>
        <v>0.03</v>
      </c>
      <c r="N36" s="204">
        <f t="shared" si="3"/>
        <v>1.53</v>
      </c>
      <c r="O36" s="205">
        <f t="shared" si="4"/>
        <v>0</v>
      </c>
      <c r="P36" s="206">
        <f t="shared" si="5"/>
        <v>1.53</v>
      </c>
      <c r="Q36" s="206">
        <f t="shared" si="6"/>
        <v>0</v>
      </c>
      <c r="R3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308890</v>
      </c>
      <c r="T3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310950</v>
      </c>
      <c r="U36" s="208">
        <f ca="1">IF(Tabla33610673[[#This Row],[Equity]]&lt;Tabla33610673[[#This Row],[Equity Peak]],(Tabla33610673[[#This Row],[Equity Peak]]-Tabla33610673[[#This Row],[Equity]])/Tabla33610673[[#This Row],[Equity Peak]],"")</f>
        <v>6.6248593021386078E-3</v>
      </c>
      <c r="V36" s="209">
        <f t="shared" si="7"/>
        <v>1.53</v>
      </c>
      <c r="W36" s="209">
        <f t="shared" si="8"/>
        <v>0</v>
      </c>
      <c r="X36" s="209">
        <f t="shared" si="9"/>
        <v>0</v>
      </c>
      <c r="Y36" s="209">
        <f t="shared" si="10"/>
        <v>0</v>
      </c>
      <c r="Z36" s="209">
        <f t="shared" si="11"/>
        <v>0</v>
      </c>
      <c r="AA36" s="205">
        <f t="shared" si="12"/>
        <v>0</v>
      </c>
      <c r="AB36" s="209">
        <f t="shared" si="13"/>
        <v>0</v>
      </c>
      <c r="AC36" s="205">
        <f t="shared" si="14"/>
        <v>0</v>
      </c>
      <c r="AD36" s="210">
        <f t="shared" si="15"/>
        <v>30.270833333328483</v>
      </c>
      <c r="AE36" s="210">
        <f t="shared" si="16"/>
        <v>30.270833333328483</v>
      </c>
      <c r="AF36" s="210">
        <f t="shared" si="17"/>
        <v>0</v>
      </c>
      <c r="AG36" s="210">
        <f t="shared" si="18"/>
        <v>0</v>
      </c>
    </row>
    <row r="37" spans="2:33" ht="15" customHeight="1" x14ac:dyDescent="0.3">
      <c r="B37" s="196" t="s">
        <v>7</v>
      </c>
      <c r="C37" s="197" t="s">
        <v>13</v>
      </c>
      <c r="D37" s="198" t="str">
        <f t="shared" si="0"/>
        <v>C</v>
      </c>
      <c r="E37" s="199">
        <v>43808.666666666664</v>
      </c>
      <c r="F37" s="200" t="s">
        <v>122</v>
      </c>
      <c r="G37" s="201">
        <v>74.051000000000002</v>
      </c>
      <c r="H37" s="201">
        <v>74.308000000000007</v>
      </c>
      <c r="I37" s="202">
        <f t="shared" si="1"/>
        <v>0.257000000000005</v>
      </c>
      <c r="J37" s="201">
        <v>69.587999999999994</v>
      </c>
      <c r="K37" s="199">
        <v>43810.552777777775</v>
      </c>
      <c r="L37" s="201">
        <v>74.308000000000007</v>
      </c>
      <c r="M37" s="203">
        <f t="shared" si="2"/>
        <v>-0.25700000000000001</v>
      </c>
      <c r="N37" s="204">
        <f t="shared" si="3"/>
        <v>-1</v>
      </c>
      <c r="O37" s="205">
        <f t="shared" si="4"/>
        <v>0</v>
      </c>
      <c r="P37" s="206">
        <f t="shared" si="5"/>
        <v>0</v>
      </c>
      <c r="Q37" s="206">
        <f t="shared" si="6"/>
        <v>-1</v>
      </c>
      <c r="R3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307360</v>
      </c>
      <c r="T3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310950</v>
      </c>
      <c r="U37" s="208">
        <f ca="1">IF(Tabla33610673[[#This Row],[Equity]]&lt;Tabla33610673[[#This Row],[Equity Peak]],(Tabla33610673[[#This Row],[Equity Peak]]-Tabla33610673[[#This Row],[Equity]])/Tabla33610673[[#This Row],[Equity Peak]],"")</f>
        <v>1.1545264511979418E-2</v>
      </c>
      <c r="V37" s="209">
        <f t="shared" si="7"/>
        <v>-1</v>
      </c>
      <c r="W37" s="209">
        <f t="shared" si="8"/>
        <v>0</v>
      </c>
      <c r="X37" s="209">
        <f t="shared" si="9"/>
        <v>0</v>
      </c>
      <c r="Y37" s="209">
        <f t="shared" si="10"/>
        <v>0</v>
      </c>
      <c r="Z37" s="209">
        <f t="shared" si="11"/>
        <v>0</v>
      </c>
      <c r="AA37" s="205">
        <f t="shared" si="12"/>
        <v>0</v>
      </c>
      <c r="AB37" s="209">
        <f t="shared" si="13"/>
        <v>0</v>
      </c>
      <c r="AC37" s="205">
        <f t="shared" si="14"/>
        <v>0</v>
      </c>
      <c r="AD37" s="210">
        <f t="shared" si="15"/>
        <v>1.8861111111109494</v>
      </c>
      <c r="AE37" s="210">
        <f t="shared" si="16"/>
        <v>0</v>
      </c>
      <c r="AF37" s="210">
        <f t="shared" si="17"/>
        <v>1.8861111111109494</v>
      </c>
      <c r="AG37" s="210">
        <f t="shared" si="18"/>
        <v>0</v>
      </c>
    </row>
    <row r="38" spans="2:33" ht="15" customHeight="1" x14ac:dyDescent="0.3">
      <c r="B38" s="196" t="s">
        <v>7</v>
      </c>
      <c r="C38" s="197" t="s">
        <v>15</v>
      </c>
      <c r="D38" s="198" t="str">
        <f t="shared" si="0"/>
        <v>C</v>
      </c>
      <c r="E38" s="199">
        <v>43809.5</v>
      </c>
      <c r="F38" s="200" t="s">
        <v>120</v>
      </c>
      <c r="G38" s="201">
        <v>1.62558</v>
      </c>
      <c r="H38" s="201">
        <v>1.6207499999999999</v>
      </c>
      <c r="I38" s="202">
        <f t="shared" si="1"/>
        <v>4.830000000000112E-3</v>
      </c>
      <c r="J38" s="201">
        <v>1.6770499999999999</v>
      </c>
      <c r="K38" s="199">
        <v>43810.43472222222</v>
      </c>
      <c r="L38" s="201">
        <v>1.6237999999999999</v>
      </c>
      <c r="M38" s="203">
        <f t="shared" si="2"/>
        <v>-1.8E-3</v>
      </c>
      <c r="N38" s="204">
        <f t="shared" si="3"/>
        <v>-0.37</v>
      </c>
      <c r="O38" s="205">
        <f t="shared" si="4"/>
        <v>0</v>
      </c>
      <c r="P38" s="206">
        <f t="shared" si="5"/>
        <v>0</v>
      </c>
      <c r="Q38" s="206">
        <f t="shared" si="6"/>
        <v>-0.37</v>
      </c>
      <c r="R3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308360</v>
      </c>
      <c r="T3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310950</v>
      </c>
      <c r="U38" s="208">
        <f ca="1">IF(Tabla33610673[[#This Row],[Equity]]&lt;Tabla33610673[[#This Row],[Equity Peak]],(Tabla33610673[[#This Row],[Equity Peak]]-Tabla33610673[[#This Row],[Equity]])/Tabla33610673[[#This Row],[Equity Peak]],"")</f>
        <v>8.3293133944364051E-3</v>
      </c>
      <c r="V38" s="209">
        <f t="shared" si="7"/>
        <v>-0.37</v>
      </c>
      <c r="W38" s="209">
        <f t="shared" si="8"/>
        <v>0</v>
      </c>
      <c r="X38" s="209">
        <f t="shared" si="9"/>
        <v>0</v>
      </c>
      <c r="Y38" s="209">
        <f t="shared" si="10"/>
        <v>0</v>
      </c>
      <c r="Z38" s="209">
        <f t="shared" si="11"/>
        <v>0</v>
      </c>
      <c r="AA38" s="205">
        <f t="shared" si="12"/>
        <v>0</v>
      </c>
      <c r="AB38" s="209">
        <f t="shared" si="13"/>
        <v>0</v>
      </c>
      <c r="AC38" s="205">
        <f t="shared" si="14"/>
        <v>0</v>
      </c>
      <c r="AD38" s="210">
        <f t="shared" si="15"/>
        <v>0.93472222222044365</v>
      </c>
      <c r="AE38" s="210">
        <f t="shared" si="16"/>
        <v>0</v>
      </c>
      <c r="AF38" s="210">
        <f t="shared" si="17"/>
        <v>0.93472222222044365</v>
      </c>
      <c r="AG38" s="210">
        <f t="shared" si="18"/>
        <v>0</v>
      </c>
    </row>
    <row r="39" spans="2:33" ht="15" customHeight="1" x14ac:dyDescent="0.3">
      <c r="B39" s="196" t="s">
        <v>7</v>
      </c>
      <c r="C39" s="197" t="s">
        <v>15</v>
      </c>
      <c r="D39" s="198" t="str">
        <f t="shared" si="0"/>
        <v>C</v>
      </c>
      <c r="E39" s="199">
        <v>43803.5</v>
      </c>
      <c r="F39" s="200" t="s">
        <v>115</v>
      </c>
      <c r="G39" s="201">
        <v>141.97200000000001</v>
      </c>
      <c r="H39" s="201">
        <v>140.99</v>
      </c>
      <c r="I39" s="202">
        <f t="shared" si="1"/>
        <v>0.98199999999999932</v>
      </c>
      <c r="J39" s="201">
        <v>147.46799999999999</v>
      </c>
      <c r="K39" s="199">
        <v>43810.109722222223</v>
      </c>
      <c r="L39" s="201">
        <v>142.56299999999999</v>
      </c>
      <c r="M39" s="203">
        <f t="shared" si="2"/>
        <v>0.59099999999999997</v>
      </c>
      <c r="N39" s="204">
        <f t="shared" si="3"/>
        <v>0.6</v>
      </c>
      <c r="O39" s="205">
        <f t="shared" si="4"/>
        <v>0</v>
      </c>
      <c r="P39" s="206">
        <f t="shared" si="5"/>
        <v>0.6</v>
      </c>
      <c r="Q39" s="206">
        <f t="shared" si="6"/>
        <v>0</v>
      </c>
      <c r="R3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308730</v>
      </c>
      <c r="T3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310950</v>
      </c>
      <c r="U39" s="208">
        <f ca="1">IF(Tabla33610673[[#This Row],[Equity]]&lt;Tabla33610673[[#This Row],[Equity Peak]],(Tabla33610673[[#This Row],[Equity Peak]]-Tabla33610673[[#This Row],[Equity]])/Tabla33610673[[#This Row],[Equity Peak]],"")</f>
        <v>7.1394114809454901E-3</v>
      </c>
      <c r="V39" s="209">
        <f t="shared" si="7"/>
        <v>0.6</v>
      </c>
      <c r="W39" s="209">
        <f t="shared" si="8"/>
        <v>0</v>
      </c>
      <c r="X39" s="209">
        <f t="shared" si="9"/>
        <v>0</v>
      </c>
      <c r="Y39" s="209">
        <f t="shared" si="10"/>
        <v>0</v>
      </c>
      <c r="Z39" s="209">
        <f t="shared" si="11"/>
        <v>0</v>
      </c>
      <c r="AA39" s="205">
        <f t="shared" si="12"/>
        <v>0</v>
      </c>
      <c r="AB39" s="209">
        <f t="shared" si="13"/>
        <v>0</v>
      </c>
      <c r="AC39" s="205">
        <f t="shared" si="14"/>
        <v>0</v>
      </c>
      <c r="AD39" s="210">
        <f t="shared" si="15"/>
        <v>6.609722222223354</v>
      </c>
      <c r="AE39" s="210">
        <f t="shared" si="16"/>
        <v>6.609722222223354</v>
      </c>
      <c r="AF39" s="210">
        <f t="shared" si="17"/>
        <v>0</v>
      </c>
      <c r="AG39" s="210">
        <f t="shared" si="18"/>
        <v>0</v>
      </c>
    </row>
    <row r="40" spans="2:33" ht="15" customHeight="1" x14ac:dyDescent="0.3">
      <c r="B40" s="196" t="s">
        <v>7</v>
      </c>
      <c r="C40" s="197" t="s">
        <v>15</v>
      </c>
      <c r="D40" s="198" t="str">
        <f t="shared" si="0"/>
        <v>C</v>
      </c>
      <c r="E40" s="199">
        <v>43797.5</v>
      </c>
      <c r="F40" s="200" t="s">
        <v>114</v>
      </c>
      <c r="G40" s="201">
        <v>1.2936799999999999</v>
      </c>
      <c r="H40" s="201">
        <v>1.2870600000000001</v>
      </c>
      <c r="I40" s="202">
        <f t="shared" si="1"/>
        <v>6.6199999999998482E-3</v>
      </c>
      <c r="J40" s="201">
        <v>1.32016</v>
      </c>
      <c r="K40" s="199">
        <v>43809.842361111114</v>
      </c>
      <c r="L40" s="201">
        <v>1.32016</v>
      </c>
      <c r="M40" s="203">
        <f t="shared" si="2"/>
        <v>2.6499999999999999E-2</v>
      </c>
      <c r="N40" s="204">
        <f t="shared" si="3"/>
        <v>4</v>
      </c>
      <c r="O40" s="205">
        <f t="shared" si="4"/>
        <v>0</v>
      </c>
      <c r="P40" s="206">
        <f t="shared" si="5"/>
        <v>4</v>
      </c>
      <c r="Q40" s="206">
        <f t="shared" si="6"/>
        <v>0</v>
      </c>
      <c r="R4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308130</v>
      </c>
      <c r="T4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310950</v>
      </c>
      <c r="U40" s="208">
        <f ca="1">IF(Tabla33610673[[#This Row],[Equity]]&lt;Tabla33610673[[#This Row],[Equity Peak]],(Tabla33610673[[#This Row],[Equity Peak]]-Tabla33610673[[#This Row],[Equity]])/Tabla33610673[[#This Row],[Equity Peak]],"")</f>
        <v>9.068982151471297E-3</v>
      </c>
      <c r="V40" s="209">
        <f t="shared" si="7"/>
        <v>4</v>
      </c>
      <c r="W40" s="209">
        <f t="shared" si="8"/>
        <v>0</v>
      </c>
      <c r="X40" s="209">
        <f t="shared" si="9"/>
        <v>0</v>
      </c>
      <c r="Y40" s="209">
        <f t="shared" si="10"/>
        <v>0</v>
      </c>
      <c r="Z40" s="209">
        <f t="shared" si="11"/>
        <v>0</v>
      </c>
      <c r="AA40" s="205">
        <f t="shared" si="12"/>
        <v>0</v>
      </c>
      <c r="AB40" s="209">
        <f t="shared" si="13"/>
        <v>0</v>
      </c>
      <c r="AC40" s="205">
        <f t="shared" si="14"/>
        <v>0</v>
      </c>
      <c r="AD40" s="210">
        <f t="shared" si="15"/>
        <v>12.34236111111386</v>
      </c>
      <c r="AE40" s="210">
        <f t="shared" si="16"/>
        <v>12.34236111111386</v>
      </c>
      <c r="AF40" s="210">
        <f t="shared" si="17"/>
        <v>0</v>
      </c>
      <c r="AG40" s="210">
        <f t="shared" si="18"/>
        <v>0</v>
      </c>
    </row>
    <row r="41" spans="2:33" ht="15" customHeight="1" x14ac:dyDescent="0.3">
      <c r="B41" s="196" t="s">
        <v>7</v>
      </c>
      <c r="C41" s="197" t="s">
        <v>13</v>
      </c>
      <c r="D41" s="198" t="str">
        <f t="shared" si="0"/>
        <v>C</v>
      </c>
      <c r="E41" s="199">
        <v>43808.017361111109</v>
      </c>
      <c r="F41" s="200" t="s">
        <v>118</v>
      </c>
      <c r="G41" s="201">
        <v>120.154</v>
      </c>
      <c r="H41" s="201">
        <v>120.72499999999999</v>
      </c>
      <c r="I41" s="202">
        <f t="shared" si="1"/>
        <v>0.57099999999999795</v>
      </c>
      <c r="J41" s="201">
        <v>117.87</v>
      </c>
      <c r="K41" s="199">
        <v>43809.772916666669</v>
      </c>
      <c r="L41" s="201">
        <v>120.599</v>
      </c>
      <c r="M41" s="203">
        <f t="shared" si="2"/>
        <v>-0.44500000000000001</v>
      </c>
      <c r="N41" s="204">
        <f t="shared" si="3"/>
        <v>-0.78</v>
      </c>
      <c r="O41" s="205">
        <f t="shared" si="4"/>
        <v>0</v>
      </c>
      <c r="P41" s="206">
        <f t="shared" si="5"/>
        <v>0</v>
      </c>
      <c r="Q41" s="206">
        <f t="shared" si="6"/>
        <v>-0.78</v>
      </c>
      <c r="R4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304130</v>
      </c>
      <c r="T4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310950</v>
      </c>
      <c r="U41" s="208">
        <f ca="1">IF(Tabla33610673[[#This Row],[Equity]]&lt;Tabla33610673[[#This Row],[Equity Peak]],(Tabla33610673[[#This Row],[Equity Peak]]-Tabla33610673[[#This Row],[Equity]])/Tabla33610673[[#This Row],[Equity Peak]],"")</f>
        <v>2.1932786621643351E-2</v>
      </c>
      <c r="V41" s="209">
        <f t="shared" si="7"/>
        <v>-0.78</v>
      </c>
      <c r="W41" s="209">
        <f t="shared" si="8"/>
        <v>0</v>
      </c>
      <c r="X41" s="209">
        <f t="shared" si="9"/>
        <v>0</v>
      </c>
      <c r="Y41" s="209">
        <f t="shared" si="10"/>
        <v>0</v>
      </c>
      <c r="Z41" s="209">
        <f t="shared" si="11"/>
        <v>0</v>
      </c>
      <c r="AA41" s="205">
        <f t="shared" si="12"/>
        <v>0</v>
      </c>
      <c r="AB41" s="209">
        <f t="shared" si="13"/>
        <v>0</v>
      </c>
      <c r="AC41" s="205">
        <f t="shared" si="14"/>
        <v>0</v>
      </c>
      <c r="AD41" s="210">
        <f t="shared" si="15"/>
        <v>1.7555555555591127</v>
      </c>
      <c r="AE41" s="210">
        <f t="shared" si="16"/>
        <v>0</v>
      </c>
      <c r="AF41" s="210">
        <f t="shared" si="17"/>
        <v>1.7555555555591127</v>
      </c>
      <c r="AG41" s="210">
        <f t="shared" si="18"/>
        <v>0</v>
      </c>
    </row>
    <row r="42" spans="2:33" ht="15" customHeight="1" x14ac:dyDescent="0.3">
      <c r="B42" s="196" t="s">
        <v>5</v>
      </c>
      <c r="C42" s="197" t="s">
        <v>15</v>
      </c>
      <c r="D42" s="198" t="str">
        <f t="shared" si="0"/>
        <v>C</v>
      </c>
      <c r="E42" s="199">
        <v>43805.5</v>
      </c>
      <c r="F42" s="200" t="s">
        <v>93</v>
      </c>
      <c r="G42" s="201">
        <v>3125.58</v>
      </c>
      <c r="H42" s="201">
        <v>3110.94</v>
      </c>
      <c r="I42" s="202">
        <f t="shared" si="1"/>
        <v>14.639999999999873</v>
      </c>
      <c r="J42" s="201">
        <v>3164.63</v>
      </c>
      <c r="K42" s="199">
        <v>43809.540277777778</v>
      </c>
      <c r="L42" s="201">
        <v>3115.86</v>
      </c>
      <c r="M42" s="203">
        <f t="shared" si="2"/>
        <v>-9.7200000000000006</v>
      </c>
      <c r="N42" s="204">
        <f t="shared" si="3"/>
        <v>-0.66</v>
      </c>
      <c r="O42" s="205">
        <f t="shared" si="4"/>
        <v>0</v>
      </c>
      <c r="P42" s="206">
        <f t="shared" si="5"/>
        <v>0</v>
      </c>
      <c r="Q42" s="206">
        <f t="shared" si="6"/>
        <v>-0.66</v>
      </c>
      <c r="R4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304910</v>
      </c>
      <c r="T4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310950</v>
      </c>
      <c r="U42" s="208">
        <f ca="1">IF(Tabla33610673[[#This Row],[Equity]]&lt;Tabla33610673[[#This Row],[Equity Peak]],(Tabla33610673[[#This Row],[Equity Peak]]-Tabla33610673[[#This Row],[Equity]])/Tabla33610673[[#This Row],[Equity Peak]],"")</f>
        <v>1.9424344749959802E-2</v>
      </c>
      <c r="V42" s="209">
        <f t="shared" si="7"/>
        <v>0</v>
      </c>
      <c r="W42" s="209">
        <f t="shared" si="8"/>
        <v>0</v>
      </c>
      <c r="X42" s="209">
        <f t="shared" si="9"/>
        <v>0</v>
      </c>
      <c r="Y42" s="209">
        <f t="shared" si="10"/>
        <v>0</v>
      </c>
      <c r="Z42" s="209">
        <f t="shared" si="11"/>
        <v>-0.66</v>
      </c>
      <c r="AA42" s="205">
        <f t="shared" si="12"/>
        <v>0</v>
      </c>
      <c r="AB42" s="209">
        <f t="shared" si="13"/>
        <v>0</v>
      </c>
      <c r="AC42" s="205">
        <f t="shared" si="14"/>
        <v>0</v>
      </c>
      <c r="AD42" s="210">
        <f t="shared" si="15"/>
        <v>4.0402777777781012</v>
      </c>
      <c r="AE42" s="210">
        <f t="shared" si="16"/>
        <v>0</v>
      </c>
      <c r="AF42" s="210">
        <f t="shared" si="17"/>
        <v>4.0402777777781012</v>
      </c>
      <c r="AG42" s="210">
        <f t="shared" si="18"/>
        <v>0</v>
      </c>
    </row>
    <row r="43" spans="2:33" ht="15" customHeight="1" x14ac:dyDescent="0.3">
      <c r="B43" s="196" t="s">
        <v>5</v>
      </c>
      <c r="C43" s="197" t="s">
        <v>15</v>
      </c>
      <c r="D43" s="198" t="str">
        <f t="shared" si="0"/>
        <v>C</v>
      </c>
      <c r="E43" s="199">
        <v>43808.375</v>
      </c>
      <c r="F43" s="200" t="s">
        <v>91</v>
      </c>
      <c r="G43" s="201">
        <v>13174.82</v>
      </c>
      <c r="H43" s="201">
        <v>12998.4</v>
      </c>
      <c r="I43" s="202">
        <f t="shared" si="1"/>
        <v>176.42000000000007</v>
      </c>
      <c r="J43" s="201">
        <v>13880.5</v>
      </c>
      <c r="K43" s="199">
        <v>43809.410416666666</v>
      </c>
      <c r="L43" s="201">
        <v>12998.4</v>
      </c>
      <c r="M43" s="203">
        <f t="shared" si="2"/>
        <v>-176.42</v>
      </c>
      <c r="N43" s="204">
        <f t="shared" si="3"/>
        <v>-1</v>
      </c>
      <c r="O43" s="205">
        <f t="shared" si="4"/>
        <v>0</v>
      </c>
      <c r="P43" s="206">
        <f t="shared" si="5"/>
        <v>0</v>
      </c>
      <c r="Q43" s="206">
        <f t="shared" si="6"/>
        <v>-1</v>
      </c>
      <c r="R4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305570</v>
      </c>
      <c r="T4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310950</v>
      </c>
      <c r="U43" s="208">
        <f ca="1">IF(Tabla33610673[[#This Row],[Equity]]&lt;Tabla33610673[[#This Row],[Equity Peak]],(Tabla33610673[[#This Row],[Equity Peak]]-Tabla33610673[[#This Row],[Equity]])/Tabla33610673[[#This Row],[Equity Peak]],"")</f>
        <v>1.7301817012381412E-2</v>
      </c>
      <c r="V43" s="209">
        <f t="shared" si="7"/>
        <v>0</v>
      </c>
      <c r="W43" s="209">
        <f t="shared" si="8"/>
        <v>0</v>
      </c>
      <c r="X43" s="209">
        <f t="shared" si="9"/>
        <v>0</v>
      </c>
      <c r="Y43" s="209">
        <f t="shared" si="10"/>
        <v>0</v>
      </c>
      <c r="Z43" s="209">
        <f t="shared" si="11"/>
        <v>-1</v>
      </c>
      <c r="AA43" s="205">
        <f t="shared" si="12"/>
        <v>0</v>
      </c>
      <c r="AB43" s="209">
        <f t="shared" si="13"/>
        <v>0</v>
      </c>
      <c r="AC43" s="205">
        <f t="shared" si="14"/>
        <v>0</v>
      </c>
      <c r="AD43" s="210">
        <f t="shared" si="15"/>
        <v>1.0354166666656965</v>
      </c>
      <c r="AE43" s="210">
        <f t="shared" si="16"/>
        <v>0</v>
      </c>
      <c r="AF43" s="210">
        <f t="shared" si="17"/>
        <v>1.0354166666656965</v>
      </c>
      <c r="AG43" s="210">
        <f t="shared" si="18"/>
        <v>0</v>
      </c>
    </row>
    <row r="44" spans="2:33" ht="15" customHeight="1" x14ac:dyDescent="0.3">
      <c r="B44" s="196" t="s">
        <v>5</v>
      </c>
      <c r="C44" s="197" t="s">
        <v>15</v>
      </c>
      <c r="D44" s="198" t="str">
        <f t="shared" si="0"/>
        <v>C</v>
      </c>
      <c r="E44" s="199">
        <v>43805.833333333336</v>
      </c>
      <c r="F44" s="200" t="s">
        <v>95</v>
      </c>
      <c r="G44" s="201">
        <v>28021.55</v>
      </c>
      <c r="H44" s="201">
        <v>27873.34</v>
      </c>
      <c r="I44" s="202">
        <f t="shared" si="1"/>
        <v>148.20999999999913</v>
      </c>
      <c r="J44" s="201">
        <v>28614.39</v>
      </c>
      <c r="K44" s="199">
        <v>43808.956250000003</v>
      </c>
      <c r="L44" s="201">
        <v>27873.34</v>
      </c>
      <c r="M44" s="203">
        <f t="shared" si="2"/>
        <v>-148.21</v>
      </c>
      <c r="N44" s="204">
        <f t="shared" si="3"/>
        <v>-1</v>
      </c>
      <c r="O44" s="205">
        <f t="shared" si="4"/>
        <v>0</v>
      </c>
      <c r="P44" s="206">
        <f t="shared" si="5"/>
        <v>0</v>
      </c>
      <c r="Q44" s="206">
        <f t="shared" si="6"/>
        <v>-1</v>
      </c>
      <c r="R4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306570</v>
      </c>
      <c r="T4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310950</v>
      </c>
      <c r="U44" s="208">
        <f ca="1">IF(Tabla33610673[[#This Row],[Equity]]&lt;Tabla33610673[[#This Row],[Equity Peak]],(Tabla33610673[[#This Row],[Equity Peak]]-Tabla33610673[[#This Row],[Equity]])/Tabla33610673[[#This Row],[Equity Peak]],"")</f>
        <v>1.4085865894838399E-2</v>
      </c>
      <c r="V44" s="209">
        <f t="shared" si="7"/>
        <v>0</v>
      </c>
      <c r="W44" s="209">
        <f t="shared" si="8"/>
        <v>0</v>
      </c>
      <c r="X44" s="209">
        <f t="shared" si="9"/>
        <v>0</v>
      </c>
      <c r="Y44" s="209">
        <f t="shared" si="10"/>
        <v>0</v>
      </c>
      <c r="Z44" s="209">
        <f t="shared" si="11"/>
        <v>-1</v>
      </c>
      <c r="AA44" s="205">
        <f t="shared" si="12"/>
        <v>0</v>
      </c>
      <c r="AB44" s="209">
        <f t="shared" si="13"/>
        <v>0</v>
      </c>
      <c r="AC44" s="205">
        <f t="shared" si="14"/>
        <v>0</v>
      </c>
      <c r="AD44" s="210">
        <f t="shared" si="15"/>
        <v>3.1229166666671517</v>
      </c>
      <c r="AE44" s="210">
        <f t="shared" si="16"/>
        <v>0</v>
      </c>
      <c r="AF44" s="210">
        <f t="shared" si="17"/>
        <v>3.1229166666671517</v>
      </c>
      <c r="AG44" s="210">
        <f t="shared" si="18"/>
        <v>0</v>
      </c>
    </row>
    <row r="45" spans="2:33" ht="15" customHeight="1" x14ac:dyDescent="0.3">
      <c r="B45" s="196" t="s">
        <v>19</v>
      </c>
      <c r="C45" s="197" t="s">
        <v>15</v>
      </c>
      <c r="D45" s="198" t="str">
        <f t="shared" si="0"/>
        <v>C</v>
      </c>
      <c r="E45" s="199">
        <v>43805.791666666664</v>
      </c>
      <c r="F45" s="200" t="s">
        <v>108</v>
      </c>
      <c r="G45" s="201">
        <v>59.136000000000003</v>
      </c>
      <c r="H45" s="201">
        <v>57.817999999999998</v>
      </c>
      <c r="I45" s="202">
        <f t="shared" si="1"/>
        <v>1.3180000000000049</v>
      </c>
      <c r="J45" s="201">
        <v>74.956000000000003</v>
      </c>
      <c r="K45" s="199">
        <v>43808.632638888892</v>
      </c>
      <c r="L45" s="201">
        <v>58.313000000000002</v>
      </c>
      <c r="M45" s="203">
        <f t="shared" si="2"/>
        <v>-0.82299999999999995</v>
      </c>
      <c r="N45" s="204">
        <f t="shared" si="3"/>
        <v>-0.62</v>
      </c>
      <c r="O45" s="205">
        <f t="shared" si="4"/>
        <v>0</v>
      </c>
      <c r="P45" s="206">
        <f t="shared" si="5"/>
        <v>0</v>
      </c>
      <c r="Q45" s="206">
        <f t="shared" si="6"/>
        <v>-0.62</v>
      </c>
      <c r="R4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307570</v>
      </c>
      <c r="T4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310950</v>
      </c>
      <c r="U45" s="208">
        <f ca="1">IF(Tabla33610673[[#This Row],[Equity]]&lt;Tabla33610673[[#This Row],[Equity Peak]],(Tabla33610673[[#This Row],[Equity Peak]]-Tabla33610673[[#This Row],[Equity]])/Tabla33610673[[#This Row],[Equity Peak]],"")</f>
        <v>1.0869914777295386E-2</v>
      </c>
      <c r="V45" s="209">
        <f t="shared" si="7"/>
        <v>0</v>
      </c>
      <c r="W45" s="209">
        <f t="shared" si="8"/>
        <v>0</v>
      </c>
      <c r="X45" s="209">
        <f t="shared" si="9"/>
        <v>-0.62</v>
      </c>
      <c r="Y45" s="209">
        <f t="shared" si="10"/>
        <v>0</v>
      </c>
      <c r="Z45" s="209">
        <f t="shared" si="11"/>
        <v>0</v>
      </c>
      <c r="AA45" s="205">
        <f t="shared" si="12"/>
        <v>0</v>
      </c>
      <c r="AB45" s="209">
        <f t="shared" si="13"/>
        <v>0</v>
      </c>
      <c r="AC45" s="205">
        <f t="shared" si="14"/>
        <v>0</v>
      </c>
      <c r="AD45" s="210">
        <f t="shared" si="15"/>
        <v>2.8409722222277196</v>
      </c>
      <c r="AE45" s="210">
        <f t="shared" si="16"/>
        <v>0</v>
      </c>
      <c r="AF45" s="210">
        <f t="shared" si="17"/>
        <v>2.8409722222277196</v>
      </c>
      <c r="AG45" s="210">
        <f t="shared" si="18"/>
        <v>0</v>
      </c>
    </row>
    <row r="46" spans="2:33" ht="15" customHeight="1" x14ac:dyDescent="0.3">
      <c r="B46" s="196" t="s">
        <v>7</v>
      </c>
      <c r="C46" s="197" t="s">
        <v>13</v>
      </c>
      <c r="D46" s="198" t="str">
        <f t="shared" si="0"/>
        <v>C</v>
      </c>
      <c r="E46" s="199">
        <v>43805.666666666664</v>
      </c>
      <c r="F46" s="200" t="s">
        <v>120</v>
      </c>
      <c r="G46" s="201">
        <v>1.61856</v>
      </c>
      <c r="H46" s="201">
        <v>1.6238999999999999</v>
      </c>
      <c r="I46" s="202">
        <f t="shared" si="1"/>
        <v>5.3399999999999004E-3</v>
      </c>
      <c r="J46" s="201">
        <v>1.56165</v>
      </c>
      <c r="K46" s="199">
        <v>43808.4375</v>
      </c>
      <c r="L46" s="201">
        <v>1.6213200000000001</v>
      </c>
      <c r="M46" s="203">
        <f t="shared" si="2"/>
        <v>-2.8E-3</v>
      </c>
      <c r="N46" s="204">
        <f t="shared" si="3"/>
        <v>-0.52</v>
      </c>
      <c r="O46" s="205">
        <f t="shared" si="4"/>
        <v>0</v>
      </c>
      <c r="P46" s="206">
        <f t="shared" si="5"/>
        <v>0</v>
      </c>
      <c r="Q46" s="206">
        <f t="shared" si="6"/>
        <v>-0.52</v>
      </c>
      <c r="R4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308190</v>
      </c>
      <c r="T4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310950</v>
      </c>
      <c r="U46" s="208">
        <f ca="1">IF(Tabla33610673[[#This Row],[Equity]]&lt;Tabla33610673[[#This Row],[Equity Peak]],(Tabla33610673[[#This Row],[Equity Peak]]-Tabla33610673[[#This Row],[Equity]])/Tabla33610673[[#This Row],[Equity Peak]],"")</f>
        <v>8.876025084418716E-3</v>
      </c>
      <c r="V46" s="209">
        <f t="shared" si="7"/>
        <v>-0.52</v>
      </c>
      <c r="W46" s="209">
        <f t="shared" si="8"/>
        <v>0</v>
      </c>
      <c r="X46" s="209">
        <f t="shared" si="9"/>
        <v>0</v>
      </c>
      <c r="Y46" s="209">
        <f t="shared" si="10"/>
        <v>0</v>
      </c>
      <c r="Z46" s="209">
        <f t="shared" si="11"/>
        <v>0</v>
      </c>
      <c r="AA46" s="205">
        <f t="shared" si="12"/>
        <v>0</v>
      </c>
      <c r="AB46" s="209">
        <f t="shared" si="13"/>
        <v>0</v>
      </c>
      <c r="AC46" s="205">
        <f t="shared" si="14"/>
        <v>0</v>
      </c>
      <c r="AD46" s="210">
        <f t="shared" si="15"/>
        <v>2.7708333333357587</v>
      </c>
      <c r="AE46" s="210">
        <f t="shared" si="16"/>
        <v>0</v>
      </c>
      <c r="AF46" s="210">
        <f t="shared" si="17"/>
        <v>2.7708333333357587</v>
      </c>
      <c r="AG46" s="210">
        <f t="shared" si="18"/>
        <v>0</v>
      </c>
    </row>
    <row r="47" spans="2:33" ht="15" customHeight="1" x14ac:dyDescent="0.3">
      <c r="B47" s="196" t="s">
        <v>19</v>
      </c>
      <c r="C47" s="197" t="s">
        <v>15</v>
      </c>
      <c r="D47" s="198" t="str">
        <f t="shared" si="0"/>
        <v>C</v>
      </c>
      <c r="E47" s="199">
        <v>43802.541666666664</v>
      </c>
      <c r="F47" s="200" t="s">
        <v>88</v>
      </c>
      <c r="G47" s="201">
        <v>1470.27</v>
      </c>
      <c r="H47" s="201">
        <v>1458.56</v>
      </c>
      <c r="I47" s="202">
        <f t="shared" si="1"/>
        <v>11.710000000000036</v>
      </c>
      <c r="J47" s="201">
        <v>1545.23</v>
      </c>
      <c r="K47" s="199">
        <v>43805.62222222222</v>
      </c>
      <c r="L47" s="201">
        <v>1468.76</v>
      </c>
      <c r="M47" s="203">
        <f t="shared" si="2"/>
        <v>-1.51</v>
      </c>
      <c r="N47" s="204">
        <f t="shared" si="3"/>
        <v>-0.13</v>
      </c>
      <c r="O47" s="205">
        <f t="shared" si="4"/>
        <v>0</v>
      </c>
      <c r="P47" s="206">
        <f t="shared" si="5"/>
        <v>0</v>
      </c>
      <c r="Q47" s="206">
        <f t="shared" si="6"/>
        <v>-0.13</v>
      </c>
      <c r="R4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308710</v>
      </c>
      <c r="T4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310950</v>
      </c>
      <c r="U47" s="208">
        <f ca="1">IF(Tabla33610673[[#This Row],[Equity]]&lt;Tabla33610673[[#This Row],[Equity Peak]],(Tabla33610673[[#This Row],[Equity Peak]]-Tabla33610673[[#This Row],[Equity]])/Tabla33610673[[#This Row],[Equity Peak]],"")</f>
        <v>7.2037305032963501E-3</v>
      </c>
      <c r="V47" s="209">
        <f t="shared" si="7"/>
        <v>0</v>
      </c>
      <c r="W47" s="209">
        <f t="shared" si="8"/>
        <v>0</v>
      </c>
      <c r="X47" s="209">
        <f t="shared" si="9"/>
        <v>-0.13</v>
      </c>
      <c r="Y47" s="209">
        <f t="shared" si="10"/>
        <v>0</v>
      </c>
      <c r="Z47" s="209">
        <f t="shared" si="11"/>
        <v>0</v>
      </c>
      <c r="AA47" s="205">
        <f t="shared" si="12"/>
        <v>0</v>
      </c>
      <c r="AB47" s="209">
        <f t="shared" si="13"/>
        <v>0</v>
      </c>
      <c r="AC47" s="205">
        <f t="shared" si="14"/>
        <v>0</v>
      </c>
      <c r="AD47" s="210">
        <f t="shared" si="15"/>
        <v>3.0805555555562023</v>
      </c>
      <c r="AE47" s="210">
        <f t="shared" si="16"/>
        <v>0</v>
      </c>
      <c r="AF47" s="210">
        <f t="shared" si="17"/>
        <v>3.0805555555562023</v>
      </c>
      <c r="AG47" s="210">
        <f t="shared" si="18"/>
        <v>0</v>
      </c>
    </row>
    <row r="48" spans="2:33" ht="15" customHeight="1" x14ac:dyDescent="0.3">
      <c r="B48" s="196" t="s">
        <v>7</v>
      </c>
      <c r="C48" s="197" t="s">
        <v>15</v>
      </c>
      <c r="D48" s="198" t="str">
        <f t="shared" si="0"/>
        <v>C</v>
      </c>
      <c r="E48" s="199">
        <v>43804.833333333336</v>
      </c>
      <c r="F48" s="200" t="s">
        <v>120</v>
      </c>
      <c r="G48" s="201">
        <v>1.62462</v>
      </c>
      <c r="H48" s="201">
        <v>1.6184499999999999</v>
      </c>
      <c r="I48" s="202">
        <f t="shared" si="1"/>
        <v>6.1700000000000088E-3</v>
      </c>
      <c r="J48" s="201">
        <v>1.69041</v>
      </c>
      <c r="K48" s="199">
        <v>43805.581250000003</v>
      </c>
      <c r="L48" s="201">
        <v>1.61927</v>
      </c>
      <c r="M48" s="203">
        <f t="shared" si="2"/>
        <v>-5.3E-3</v>
      </c>
      <c r="N48" s="204">
        <f t="shared" si="3"/>
        <v>-0.86</v>
      </c>
      <c r="O48" s="205">
        <f t="shared" si="4"/>
        <v>0</v>
      </c>
      <c r="P48" s="206">
        <f t="shared" si="5"/>
        <v>0</v>
      </c>
      <c r="Q48" s="206">
        <f t="shared" si="6"/>
        <v>-0.86</v>
      </c>
      <c r="R4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308840</v>
      </c>
      <c r="T4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310950</v>
      </c>
      <c r="U48" s="208">
        <f ca="1">IF(Tabla33610673[[#This Row],[Equity]]&lt;Tabla33610673[[#This Row],[Equity Peak]],(Tabla33610673[[#This Row],[Equity Peak]]-Tabla33610673[[#This Row],[Equity]])/Tabla33610673[[#This Row],[Equity Peak]],"")</f>
        <v>6.7856568580157584E-3</v>
      </c>
      <c r="V48" s="209">
        <f t="shared" si="7"/>
        <v>-0.86</v>
      </c>
      <c r="W48" s="209">
        <f t="shared" si="8"/>
        <v>0</v>
      </c>
      <c r="X48" s="209">
        <f t="shared" si="9"/>
        <v>0</v>
      </c>
      <c r="Y48" s="209">
        <f t="shared" si="10"/>
        <v>0</v>
      </c>
      <c r="Z48" s="209">
        <f t="shared" si="11"/>
        <v>0</v>
      </c>
      <c r="AA48" s="205">
        <f t="shared" si="12"/>
        <v>0</v>
      </c>
      <c r="AB48" s="209">
        <f t="shared" si="13"/>
        <v>0</v>
      </c>
      <c r="AC48" s="205">
        <f t="shared" si="14"/>
        <v>0</v>
      </c>
      <c r="AD48" s="210">
        <f t="shared" si="15"/>
        <v>0.74791666666715173</v>
      </c>
      <c r="AE48" s="210">
        <f t="shared" si="16"/>
        <v>0</v>
      </c>
      <c r="AF48" s="210">
        <f t="shared" si="17"/>
        <v>0.74791666666715173</v>
      </c>
      <c r="AG48" s="210">
        <f t="shared" si="18"/>
        <v>0</v>
      </c>
    </row>
    <row r="49" spans="2:33" ht="15" customHeight="1" x14ac:dyDescent="0.3">
      <c r="B49" s="196" t="s">
        <v>19</v>
      </c>
      <c r="C49" s="197" t="s">
        <v>15</v>
      </c>
      <c r="D49" s="198" t="str">
        <f t="shared" si="0"/>
        <v>C</v>
      </c>
      <c r="E49" s="199">
        <v>43804.291666666664</v>
      </c>
      <c r="F49" s="200" t="s">
        <v>108</v>
      </c>
      <c r="G49" s="201">
        <v>58.186999999999998</v>
      </c>
      <c r="H49" s="201">
        <v>56.875999999999998</v>
      </c>
      <c r="I49" s="202">
        <f t="shared" si="1"/>
        <v>1.3109999999999999</v>
      </c>
      <c r="J49" s="201">
        <v>73.921000000000006</v>
      </c>
      <c r="K49" s="199">
        <v>43805.567361111112</v>
      </c>
      <c r="L49" s="201">
        <v>57.838000000000001</v>
      </c>
      <c r="M49" s="203">
        <f t="shared" si="2"/>
        <v>-0.34899999999999998</v>
      </c>
      <c r="N49" s="204">
        <f t="shared" si="3"/>
        <v>-0.27</v>
      </c>
      <c r="O49" s="205">
        <f t="shared" si="4"/>
        <v>0</v>
      </c>
      <c r="P49" s="206">
        <f t="shared" si="5"/>
        <v>0</v>
      </c>
      <c r="Q49" s="206">
        <f t="shared" si="6"/>
        <v>-0.27</v>
      </c>
      <c r="R4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309700</v>
      </c>
      <c r="T4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310950</v>
      </c>
      <c r="U49" s="208">
        <f ca="1">IF(Tabla33610673[[#This Row],[Equity]]&lt;Tabla33610673[[#This Row],[Equity Peak]],(Tabla33610673[[#This Row],[Equity Peak]]-Tabla33610673[[#This Row],[Equity]])/Tabla33610673[[#This Row],[Equity Peak]],"")</f>
        <v>4.0199388969287663E-3</v>
      </c>
      <c r="V49" s="209">
        <f t="shared" si="7"/>
        <v>0</v>
      </c>
      <c r="W49" s="209">
        <f t="shared" si="8"/>
        <v>0</v>
      </c>
      <c r="X49" s="209">
        <f t="shared" si="9"/>
        <v>-0.27</v>
      </c>
      <c r="Y49" s="209">
        <f t="shared" si="10"/>
        <v>0</v>
      </c>
      <c r="Z49" s="209">
        <f t="shared" si="11"/>
        <v>0</v>
      </c>
      <c r="AA49" s="205">
        <f t="shared" si="12"/>
        <v>0</v>
      </c>
      <c r="AB49" s="209">
        <f t="shared" si="13"/>
        <v>0</v>
      </c>
      <c r="AC49" s="205">
        <f t="shared" si="14"/>
        <v>0</v>
      </c>
      <c r="AD49" s="210">
        <f t="shared" si="15"/>
        <v>1.2756944444481633</v>
      </c>
      <c r="AE49" s="210">
        <f t="shared" si="16"/>
        <v>0</v>
      </c>
      <c r="AF49" s="210">
        <f t="shared" si="17"/>
        <v>1.2756944444481633</v>
      </c>
      <c r="AG49" s="210">
        <f t="shared" si="18"/>
        <v>0</v>
      </c>
    </row>
    <row r="50" spans="2:33" ht="15" customHeight="1" x14ac:dyDescent="0.3">
      <c r="B50" s="196" t="s">
        <v>5</v>
      </c>
      <c r="C50" s="197" t="s">
        <v>13</v>
      </c>
      <c r="D50" s="198" t="str">
        <f t="shared" si="0"/>
        <v>C</v>
      </c>
      <c r="E50" s="199">
        <v>43801.708333333336</v>
      </c>
      <c r="F50" s="200" t="s">
        <v>94</v>
      </c>
      <c r="G50" s="201">
        <v>7308.66</v>
      </c>
      <c r="H50" s="201">
        <v>7368.68</v>
      </c>
      <c r="I50" s="202">
        <f t="shared" si="1"/>
        <v>60.020000000000437</v>
      </c>
      <c r="J50" s="201">
        <v>7008.57</v>
      </c>
      <c r="K50" s="199">
        <v>43805.443055555559</v>
      </c>
      <c r="L50" s="201">
        <v>7198.7</v>
      </c>
      <c r="M50" s="203">
        <f t="shared" si="2"/>
        <v>109.96</v>
      </c>
      <c r="N50" s="204">
        <f t="shared" si="3"/>
        <v>1.83</v>
      </c>
      <c r="O50" s="205">
        <f t="shared" si="4"/>
        <v>0</v>
      </c>
      <c r="P50" s="206">
        <f t="shared" si="5"/>
        <v>1.83</v>
      </c>
      <c r="Q50" s="206">
        <f t="shared" si="6"/>
        <v>0</v>
      </c>
      <c r="R5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309970</v>
      </c>
      <c r="T5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310950</v>
      </c>
      <c r="U50" s="208">
        <f ca="1">IF(Tabla33610673[[#This Row],[Equity]]&lt;Tabla33610673[[#This Row],[Equity Peak]],(Tabla33610673[[#This Row],[Equity Peak]]-Tabla33610673[[#This Row],[Equity]])/Tabla33610673[[#This Row],[Equity Peak]],"")</f>
        <v>3.1516320951921529E-3</v>
      </c>
      <c r="V50" s="209">
        <f t="shared" si="7"/>
        <v>0</v>
      </c>
      <c r="W50" s="209">
        <f t="shared" si="8"/>
        <v>0</v>
      </c>
      <c r="X50" s="209">
        <f t="shared" si="9"/>
        <v>0</v>
      </c>
      <c r="Y50" s="209">
        <f t="shared" si="10"/>
        <v>0</v>
      </c>
      <c r="Z50" s="209">
        <f t="shared" si="11"/>
        <v>1.83</v>
      </c>
      <c r="AA50" s="205">
        <f t="shared" si="12"/>
        <v>0</v>
      </c>
      <c r="AB50" s="209">
        <f t="shared" si="13"/>
        <v>0</v>
      </c>
      <c r="AC50" s="205">
        <f t="shared" si="14"/>
        <v>0</v>
      </c>
      <c r="AD50" s="210">
        <f t="shared" si="15"/>
        <v>3.734722222223354</v>
      </c>
      <c r="AE50" s="210">
        <f t="shared" si="16"/>
        <v>3.734722222223354</v>
      </c>
      <c r="AF50" s="210">
        <f t="shared" si="17"/>
        <v>0</v>
      </c>
      <c r="AG50" s="210">
        <f t="shared" si="18"/>
        <v>0</v>
      </c>
    </row>
    <row r="51" spans="2:33" ht="15" customHeight="1" x14ac:dyDescent="0.3">
      <c r="B51" s="196" t="s">
        <v>5</v>
      </c>
      <c r="C51" s="197" t="s">
        <v>13</v>
      </c>
      <c r="D51" s="198" t="str">
        <f t="shared" si="0"/>
        <v>C</v>
      </c>
      <c r="E51" s="199">
        <v>43803.340277777781</v>
      </c>
      <c r="F51" s="200" t="s">
        <v>90</v>
      </c>
      <c r="G51" s="201">
        <v>6609.9</v>
      </c>
      <c r="H51" s="201">
        <v>6672.8</v>
      </c>
      <c r="I51" s="202">
        <f t="shared" si="1"/>
        <v>62.900000000000546</v>
      </c>
      <c r="J51" s="201">
        <v>5771.19</v>
      </c>
      <c r="K51" s="199">
        <v>43803.948611111111</v>
      </c>
      <c r="L51" s="201">
        <v>6672.8</v>
      </c>
      <c r="M51" s="203">
        <f t="shared" si="2"/>
        <v>-62.9</v>
      </c>
      <c r="N51" s="204">
        <f t="shared" si="3"/>
        <v>-1</v>
      </c>
      <c r="O51" s="205">
        <f t="shared" si="4"/>
        <v>0</v>
      </c>
      <c r="P51" s="206">
        <f t="shared" si="5"/>
        <v>0</v>
      </c>
      <c r="Q51" s="206">
        <f t="shared" si="6"/>
        <v>-1</v>
      </c>
      <c r="R5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308140</v>
      </c>
      <c r="T5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310950</v>
      </c>
      <c r="U51" s="208">
        <f ca="1">IF(Tabla33610673[[#This Row],[Equity]]&lt;Tabla33610673[[#This Row],[Equity Peak]],(Tabla33610673[[#This Row],[Equity Peak]]-Tabla33610673[[#This Row],[Equity]])/Tabla33610673[[#This Row],[Equity Peak]],"")</f>
        <v>9.0368226402958683E-3</v>
      </c>
      <c r="V51" s="209">
        <f t="shared" si="7"/>
        <v>0</v>
      </c>
      <c r="W51" s="209">
        <f t="shared" si="8"/>
        <v>0</v>
      </c>
      <c r="X51" s="209">
        <f t="shared" si="9"/>
        <v>0</v>
      </c>
      <c r="Y51" s="209">
        <f t="shared" si="10"/>
        <v>0</v>
      </c>
      <c r="Z51" s="209">
        <f t="shared" si="11"/>
        <v>-1</v>
      </c>
      <c r="AA51" s="205">
        <f t="shared" si="12"/>
        <v>0</v>
      </c>
      <c r="AB51" s="209">
        <f t="shared" si="13"/>
        <v>0</v>
      </c>
      <c r="AC51" s="205">
        <f t="shared" si="14"/>
        <v>0</v>
      </c>
      <c r="AD51" s="210">
        <f t="shared" si="15"/>
        <v>0.60833333332993789</v>
      </c>
      <c r="AE51" s="210">
        <f t="shared" si="16"/>
        <v>0</v>
      </c>
      <c r="AF51" s="210">
        <f t="shared" si="17"/>
        <v>0.60833333332993789</v>
      </c>
      <c r="AG51" s="210">
        <f t="shared" si="18"/>
        <v>0</v>
      </c>
    </row>
    <row r="52" spans="2:33" ht="15" customHeight="1" x14ac:dyDescent="0.3">
      <c r="B52" s="196" t="s">
        <v>19</v>
      </c>
      <c r="C52" s="197" t="s">
        <v>13</v>
      </c>
      <c r="D52" s="198" t="str">
        <f t="shared" si="0"/>
        <v>C</v>
      </c>
      <c r="E52" s="199">
        <v>43801.291666666664</v>
      </c>
      <c r="F52" s="200" t="s">
        <v>108</v>
      </c>
      <c r="G52" s="201">
        <v>56.03</v>
      </c>
      <c r="H52" s="201">
        <v>57.371000000000002</v>
      </c>
      <c r="I52" s="202">
        <f t="shared" si="1"/>
        <v>1.3410000000000011</v>
      </c>
      <c r="J52" s="201">
        <v>39.941000000000003</v>
      </c>
      <c r="K52" s="199">
        <v>43802.868055555555</v>
      </c>
      <c r="L52" s="201">
        <v>56.406999999999996</v>
      </c>
      <c r="M52" s="203">
        <f t="shared" si="2"/>
        <v>-0.377</v>
      </c>
      <c r="N52" s="204">
        <f t="shared" si="3"/>
        <v>-0.28000000000000003</v>
      </c>
      <c r="O52" s="205">
        <f t="shared" si="4"/>
        <v>0</v>
      </c>
      <c r="P52" s="206">
        <f t="shared" si="5"/>
        <v>0</v>
      </c>
      <c r="Q52" s="206">
        <f t="shared" si="6"/>
        <v>-0.28000000000000003</v>
      </c>
      <c r="R5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309140</v>
      </c>
      <c r="T5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310950</v>
      </c>
      <c r="U52" s="208">
        <f ca="1">IF(Tabla33610673[[#This Row],[Equity]]&lt;Tabla33610673[[#This Row],[Equity Peak]],(Tabla33610673[[#This Row],[Equity Peak]]-Tabla33610673[[#This Row],[Equity]])/Tabla33610673[[#This Row],[Equity Peak]],"")</f>
        <v>5.8208715227528541E-3</v>
      </c>
      <c r="V52" s="209">
        <f t="shared" si="7"/>
        <v>0</v>
      </c>
      <c r="W52" s="209">
        <f t="shared" si="8"/>
        <v>0</v>
      </c>
      <c r="X52" s="209">
        <f t="shared" si="9"/>
        <v>-0.28000000000000003</v>
      </c>
      <c r="Y52" s="209">
        <f t="shared" si="10"/>
        <v>0</v>
      </c>
      <c r="Z52" s="209">
        <f t="shared" si="11"/>
        <v>0</v>
      </c>
      <c r="AA52" s="205">
        <f t="shared" si="12"/>
        <v>0</v>
      </c>
      <c r="AB52" s="209">
        <f t="shared" si="13"/>
        <v>0</v>
      </c>
      <c r="AC52" s="205">
        <f t="shared" si="14"/>
        <v>0</v>
      </c>
      <c r="AD52" s="210">
        <f t="shared" si="15"/>
        <v>1.5763888888905058</v>
      </c>
      <c r="AE52" s="210">
        <f t="shared" si="16"/>
        <v>0</v>
      </c>
      <c r="AF52" s="210">
        <f t="shared" si="17"/>
        <v>1.5763888888905058</v>
      </c>
      <c r="AG52" s="210">
        <f t="shared" si="18"/>
        <v>0</v>
      </c>
    </row>
    <row r="53" spans="2:33" ht="15" customHeight="1" x14ac:dyDescent="0.3">
      <c r="B53" s="196" t="s">
        <v>7</v>
      </c>
      <c r="C53" s="197" t="s">
        <v>13</v>
      </c>
      <c r="D53" s="198" t="str">
        <f t="shared" si="0"/>
        <v>C</v>
      </c>
      <c r="E53" s="199">
        <v>43802.333333333336</v>
      </c>
      <c r="F53" s="200" t="s">
        <v>120</v>
      </c>
      <c r="G53" s="201">
        <v>1.61782</v>
      </c>
      <c r="H53" s="201">
        <v>1.6228</v>
      </c>
      <c r="I53" s="202">
        <f t="shared" si="1"/>
        <v>4.9799999999999844E-3</v>
      </c>
      <c r="J53" s="201">
        <v>1.56467</v>
      </c>
      <c r="K53" s="199">
        <v>43802.768055555556</v>
      </c>
      <c r="L53" s="201">
        <v>1.62094</v>
      </c>
      <c r="M53" s="203">
        <f t="shared" si="2"/>
        <v>-3.0999999999999999E-3</v>
      </c>
      <c r="N53" s="204">
        <f t="shared" si="3"/>
        <v>-0.62</v>
      </c>
      <c r="O53" s="205">
        <f t="shared" si="4"/>
        <v>0</v>
      </c>
      <c r="P53" s="206">
        <f t="shared" si="5"/>
        <v>0</v>
      </c>
      <c r="Q53" s="206">
        <f t="shared" si="6"/>
        <v>-0.62</v>
      </c>
      <c r="R5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309420</v>
      </c>
      <c r="T5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310950</v>
      </c>
      <c r="U53" s="208">
        <f ca="1">IF(Tabla33610673[[#This Row],[Equity]]&lt;Tabla33610673[[#This Row],[Equity Peak]],(Tabla33610673[[#This Row],[Equity Peak]]-Tabla33610673[[#This Row],[Equity]])/Tabla33610673[[#This Row],[Equity Peak]],"")</f>
        <v>4.9204052098408106E-3</v>
      </c>
      <c r="V53" s="209">
        <f t="shared" si="7"/>
        <v>-0.62</v>
      </c>
      <c r="W53" s="209">
        <f t="shared" si="8"/>
        <v>0</v>
      </c>
      <c r="X53" s="209">
        <f t="shared" si="9"/>
        <v>0</v>
      </c>
      <c r="Y53" s="209">
        <f t="shared" si="10"/>
        <v>0</v>
      </c>
      <c r="Z53" s="209">
        <f t="shared" si="11"/>
        <v>0</v>
      </c>
      <c r="AA53" s="205">
        <f t="shared" si="12"/>
        <v>0</v>
      </c>
      <c r="AB53" s="209">
        <f t="shared" si="13"/>
        <v>0</v>
      </c>
      <c r="AC53" s="205">
        <f t="shared" si="14"/>
        <v>0</v>
      </c>
      <c r="AD53" s="210">
        <f t="shared" si="15"/>
        <v>0.43472222222044365</v>
      </c>
      <c r="AE53" s="210">
        <f t="shared" si="16"/>
        <v>0</v>
      </c>
      <c r="AF53" s="210">
        <f t="shared" si="17"/>
        <v>0.43472222222044365</v>
      </c>
      <c r="AG53" s="210">
        <f t="shared" si="18"/>
        <v>0</v>
      </c>
    </row>
    <row r="54" spans="2:33" ht="15" customHeight="1" x14ac:dyDescent="0.3">
      <c r="B54" s="196" t="s">
        <v>7</v>
      </c>
      <c r="C54" s="197" t="s">
        <v>15</v>
      </c>
      <c r="D54" s="198" t="str">
        <f t="shared" si="0"/>
        <v>C</v>
      </c>
      <c r="E54" s="199">
        <v>43801.166666666664</v>
      </c>
      <c r="F54" s="200" t="s">
        <v>122</v>
      </c>
      <c r="G54" s="201">
        <v>74.292000000000002</v>
      </c>
      <c r="H54" s="201">
        <v>74.055000000000007</v>
      </c>
      <c r="I54" s="202">
        <f t="shared" si="1"/>
        <v>0.23699999999999477</v>
      </c>
      <c r="J54" s="201">
        <v>78.397999999999996</v>
      </c>
      <c r="K54" s="199">
        <v>43802.61041666667</v>
      </c>
      <c r="L54" s="201">
        <v>74.313000000000002</v>
      </c>
      <c r="M54" s="203">
        <f t="shared" si="2"/>
        <v>2.1000000000000001E-2</v>
      </c>
      <c r="N54" s="204">
        <f t="shared" si="3"/>
        <v>0.09</v>
      </c>
      <c r="O54" s="205">
        <f t="shared" si="4"/>
        <v>0</v>
      </c>
      <c r="P54" s="206">
        <f t="shared" si="5"/>
        <v>0.09</v>
      </c>
      <c r="Q54" s="206">
        <f t="shared" si="6"/>
        <v>0</v>
      </c>
      <c r="R5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310040</v>
      </c>
      <c r="T5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310950</v>
      </c>
      <c r="U54" s="208">
        <f ca="1">IF(Tabla33610673[[#This Row],[Equity]]&lt;Tabla33610673[[#This Row],[Equity Peak]],(Tabla33610673[[#This Row],[Equity Peak]]-Tabla33610673[[#This Row],[Equity]])/Tabla33610673[[#This Row],[Equity Peak]],"")</f>
        <v>2.9265155169641423E-3</v>
      </c>
      <c r="V54" s="209">
        <f t="shared" si="7"/>
        <v>0.09</v>
      </c>
      <c r="W54" s="209">
        <f t="shared" si="8"/>
        <v>0</v>
      </c>
      <c r="X54" s="209">
        <f t="shared" si="9"/>
        <v>0</v>
      </c>
      <c r="Y54" s="209">
        <f t="shared" si="10"/>
        <v>0</v>
      </c>
      <c r="Z54" s="209">
        <f t="shared" si="11"/>
        <v>0</v>
      </c>
      <c r="AA54" s="205">
        <f t="shared" si="12"/>
        <v>0</v>
      </c>
      <c r="AB54" s="209">
        <f t="shared" si="13"/>
        <v>0</v>
      </c>
      <c r="AC54" s="205">
        <f t="shared" si="14"/>
        <v>0</v>
      </c>
      <c r="AD54" s="210">
        <f t="shared" si="15"/>
        <v>1.4437500000058208</v>
      </c>
      <c r="AE54" s="210">
        <f t="shared" si="16"/>
        <v>1.4437500000058208</v>
      </c>
      <c r="AF54" s="210">
        <f t="shared" si="17"/>
        <v>0</v>
      </c>
      <c r="AG54" s="210">
        <f t="shared" si="18"/>
        <v>0</v>
      </c>
    </row>
    <row r="55" spans="2:33" ht="15" customHeight="1" x14ac:dyDescent="0.3">
      <c r="B55" s="196" t="s">
        <v>7</v>
      </c>
      <c r="C55" s="197" t="s">
        <v>15</v>
      </c>
      <c r="D55" s="198" t="str">
        <f t="shared" si="0"/>
        <v>C</v>
      </c>
      <c r="E55" s="199">
        <v>43802.5</v>
      </c>
      <c r="F55" s="200" t="s">
        <v>121</v>
      </c>
      <c r="G55" s="201">
        <v>0.68596000000000001</v>
      </c>
      <c r="H55" s="201">
        <v>0.68366000000000005</v>
      </c>
      <c r="I55" s="202">
        <f t="shared" si="1"/>
        <v>2.2999999999999687E-3</v>
      </c>
      <c r="J55" s="201">
        <v>0.69823000000000002</v>
      </c>
      <c r="K55" s="199">
        <v>43802.609027777777</v>
      </c>
      <c r="L55" s="201">
        <v>0.68366000000000005</v>
      </c>
      <c r="M55" s="203">
        <f t="shared" si="2"/>
        <v>-2.3E-3</v>
      </c>
      <c r="N55" s="204">
        <f t="shared" si="3"/>
        <v>-1</v>
      </c>
      <c r="O55" s="205">
        <f t="shared" si="4"/>
        <v>0</v>
      </c>
      <c r="P55" s="206">
        <f t="shared" si="5"/>
        <v>0</v>
      </c>
      <c r="Q55" s="206">
        <f t="shared" si="6"/>
        <v>-1</v>
      </c>
      <c r="R5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309950</v>
      </c>
      <c r="T5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310950</v>
      </c>
      <c r="U55" s="208">
        <f ca="1">IF(Tabla33610673[[#This Row],[Equity]]&lt;Tabla33610673[[#This Row],[Equity Peak]],(Tabla33610673[[#This Row],[Equity Peak]]-Tabla33610673[[#This Row],[Equity]])/Tabla33610673[[#This Row],[Equity Peak]],"")</f>
        <v>3.2159511175430134E-3</v>
      </c>
      <c r="V55" s="209">
        <f t="shared" si="7"/>
        <v>-1</v>
      </c>
      <c r="W55" s="209">
        <f t="shared" si="8"/>
        <v>0</v>
      </c>
      <c r="X55" s="209">
        <f t="shared" si="9"/>
        <v>0</v>
      </c>
      <c r="Y55" s="209">
        <f t="shared" si="10"/>
        <v>0</v>
      </c>
      <c r="Z55" s="209">
        <f t="shared" si="11"/>
        <v>0</v>
      </c>
      <c r="AA55" s="205">
        <f t="shared" si="12"/>
        <v>0</v>
      </c>
      <c r="AB55" s="209">
        <f t="shared" si="13"/>
        <v>0</v>
      </c>
      <c r="AC55" s="205">
        <f t="shared" si="14"/>
        <v>0</v>
      </c>
      <c r="AD55" s="210">
        <f t="shared" si="15"/>
        <v>0.10902777777664596</v>
      </c>
      <c r="AE55" s="210">
        <f t="shared" si="16"/>
        <v>0</v>
      </c>
      <c r="AF55" s="210">
        <f t="shared" si="17"/>
        <v>0.10902777777664596</v>
      </c>
      <c r="AG55" s="210">
        <f t="shared" si="18"/>
        <v>0</v>
      </c>
    </row>
    <row r="56" spans="2:33" ht="15" customHeight="1" x14ac:dyDescent="0.3">
      <c r="B56" s="196" t="s">
        <v>5</v>
      </c>
      <c r="C56" s="197" t="s">
        <v>15</v>
      </c>
      <c r="D56" s="198" t="str">
        <f t="shared" si="0"/>
        <v>C</v>
      </c>
      <c r="E56" s="199">
        <v>43752.041666666664</v>
      </c>
      <c r="F56" s="200" t="s">
        <v>91</v>
      </c>
      <c r="G56" s="201">
        <v>12485.94</v>
      </c>
      <c r="H56" s="201">
        <v>12162.84</v>
      </c>
      <c r="I56" s="202">
        <f t="shared" si="1"/>
        <v>323.10000000000036</v>
      </c>
      <c r="J56" s="201">
        <v>13778.34</v>
      </c>
      <c r="K56" s="199">
        <v>43801.708333333336</v>
      </c>
      <c r="L56" s="201">
        <v>13049.77</v>
      </c>
      <c r="M56" s="203">
        <f t="shared" si="2"/>
        <v>563.83000000000004</v>
      </c>
      <c r="N56" s="204">
        <f t="shared" si="3"/>
        <v>1.75</v>
      </c>
      <c r="O56" s="205">
        <f t="shared" si="4"/>
        <v>0</v>
      </c>
      <c r="P56" s="206">
        <f t="shared" si="5"/>
        <v>1.75</v>
      </c>
      <c r="Q56" s="206">
        <f t="shared" si="6"/>
        <v>0</v>
      </c>
      <c r="R5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310950</v>
      </c>
      <c r="T5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310950</v>
      </c>
      <c r="U56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56" s="209">
        <f t="shared" si="7"/>
        <v>0</v>
      </c>
      <c r="W56" s="209">
        <f t="shared" si="8"/>
        <v>0</v>
      </c>
      <c r="X56" s="209">
        <f t="shared" si="9"/>
        <v>0</v>
      </c>
      <c r="Y56" s="209">
        <f t="shared" si="10"/>
        <v>0</v>
      </c>
      <c r="Z56" s="209">
        <f t="shared" si="11"/>
        <v>1.75</v>
      </c>
      <c r="AA56" s="205">
        <f t="shared" si="12"/>
        <v>0</v>
      </c>
      <c r="AB56" s="209">
        <f t="shared" si="13"/>
        <v>0</v>
      </c>
      <c r="AC56" s="205">
        <f t="shared" si="14"/>
        <v>0</v>
      </c>
      <c r="AD56" s="210">
        <f t="shared" si="15"/>
        <v>49.666666666671517</v>
      </c>
      <c r="AE56" s="210">
        <f t="shared" si="16"/>
        <v>49.666666666671517</v>
      </c>
      <c r="AF56" s="210">
        <f t="shared" si="17"/>
        <v>0</v>
      </c>
      <c r="AG56" s="210">
        <f t="shared" si="18"/>
        <v>0</v>
      </c>
    </row>
    <row r="57" spans="2:33" ht="15" customHeight="1" x14ac:dyDescent="0.3">
      <c r="B57" s="196" t="s">
        <v>5</v>
      </c>
      <c r="C57" s="197" t="s">
        <v>15</v>
      </c>
      <c r="D57" s="198" t="str">
        <f t="shared" si="0"/>
        <v>C</v>
      </c>
      <c r="E57" s="199">
        <v>43796.340277777781</v>
      </c>
      <c r="F57" s="200" t="s">
        <v>90</v>
      </c>
      <c r="G57" s="201">
        <v>6849.3</v>
      </c>
      <c r="H57" s="201">
        <v>6813.8</v>
      </c>
      <c r="I57" s="202">
        <f t="shared" si="1"/>
        <v>35.5</v>
      </c>
      <c r="J57" s="201">
        <v>7322.59</v>
      </c>
      <c r="K57" s="199">
        <v>43801.588888888888</v>
      </c>
      <c r="L57" s="201">
        <v>6833.59</v>
      </c>
      <c r="M57" s="203">
        <f t="shared" si="2"/>
        <v>-15.71</v>
      </c>
      <c r="N57" s="204">
        <f t="shared" si="3"/>
        <v>-0.44</v>
      </c>
      <c r="O57" s="205">
        <f t="shared" si="4"/>
        <v>0</v>
      </c>
      <c r="P57" s="206">
        <f t="shared" si="5"/>
        <v>0</v>
      </c>
      <c r="Q57" s="206">
        <f t="shared" si="6"/>
        <v>-0.44</v>
      </c>
      <c r="R5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309200</v>
      </c>
      <c r="T5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309830</v>
      </c>
      <c r="U57" s="208">
        <f ca="1">IF(Tabla33610673[[#This Row],[Equity]]&lt;Tabla33610673[[#This Row],[Equity Peak]],(Tabla33610673[[#This Row],[Equity Peak]]-Tabla33610673[[#This Row],[Equity]])/Tabla33610673[[#This Row],[Equity Peak]],"")</f>
        <v>2.0333731401090921E-3</v>
      </c>
      <c r="V57" s="209">
        <f t="shared" si="7"/>
        <v>0</v>
      </c>
      <c r="W57" s="209">
        <f t="shared" si="8"/>
        <v>0</v>
      </c>
      <c r="X57" s="209">
        <f t="shared" si="9"/>
        <v>0</v>
      </c>
      <c r="Y57" s="209">
        <f t="shared" si="10"/>
        <v>0</v>
      </c>
      <c r="Z57" s="209">
        <f t="shared" si="11"/>
        <v>-0.44</v>
      </c>
      <c r="AA57" s="205">
        <f t="shared" si="12"/>
        <v>0</v>
      </c>
      <c r="AB57" s="209">
        <f t="shared" si="13"/>
        <v>0</v>
      </c>
      <c r="AC57" s="205">
        <f t="shared" si="14"/>
        <v>0</v>
      </c>
      <c r="AD57" s="210">
        <f t="shared" si="15"/>
        <v>5.2486111111065838</v>
      </c>
      <c r="AE57" s="210">
        <f t="shared" si="16"/>
        <v>0</v>
      </c>
      <c r="AF57" s="210">
        <f t="shared" si="17"/>
        <v>5.2486111111065838</v>
      </c>
      <c r="AG57" s="210">
        <f t="shared" si="18"/>
        <v>0</v>
      </c>
    </row>
    <row r="58" spans="2:33" ht="15" customHeight="1" x14ac:dyDescent="0.3">
      <c r="B58" s="196" t="s">
        <v>7</v>
      </c>
      <c r="C58" s="197" t="s">
        <v>15</v>
      </c>
      <c r="D58" s="198" t="str">
        <f t="shared" si="0"/>
        <v>C</v>
      </c>
      <c r="E58" s="199">
        <v>43796.333333333336</v>
      </c>
      <c r="F58" s="200" t="s">
        <v>118</v>
      </c>
      <c r="G58" s="201">
        <v>120.185</v>
      </c>
      <c r="H58" s="201">
        <v>119.742</v>
      </c>
      <c r="I58" s="202">
        <f t="shared" si="1"/>
        <v>0.44299999999999784</v>
      </c>
      <c r="J58" s="201">
        <v>121.956</v>
      </c>
      <c r="K58" s="199">
        <v>43801.536805555559</v>
      </c>
      <c r="L58" s="201">
        <v>120.542</v>
      </c>
      <c r="M58" s="203">
        <f t="shared" si="2"/>
        <v>0.35699999999999998</v>
      </c>
      <c r="N58" s="204">
        <f t="shared" si="3"/>
        <v>0.81</v>
      </c>
      <c r="O58" s="205">
        <f t="shared" si="4"/>
        <v>0</v>
      </c>
      <c r="P58" s="206">
        <f t="shared" si="5"/>
        <v>0.81</v>
      </c>
      <c r="Q58" s="206">
        <f t="shared" si="6"/>
        <v>0</v>
      </c>
      <c r="R5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309640</v>
      </c>
      <c r="T5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309830</v>
      </c>
      <c r="U58" s="208">
        <f ca="1">IF(Tabla33610673[[#This Row],[Equity]]&lt;Tabla33610673[[#This Row],[Equity Peak]],(Tabla33610673[[#This Row],[Equity Peak]]-Tabla33610673[[#This Row],[Equity]])/Tabla33610673[[#This Row],[Equity Peak]],"")</f>
        <v>6.1323951844559918E-4</v>
      </c>
      <c r="V58" s="209">
        <f t="shared" si="7"/>
        <v>0.81</v>
      </c>
      <c r="W58" s="209">
        <f t="shared" si="8"/>
        <v>0</v>
      </c>
      <c r="X58" s="209">
        <f t="shared" si="9"/>
        <v>0</v>
      </c>
      <c r="Y58" s="209">
        <f t="shared" si="10"/>
        <v>0</v>
      </c>
      <c r="Z58" s="209">
        <f t="shared" si="11"/>
        <v>0</v>
      </c>
      <c r="AA58" s="205">
        <f t="shared" si="12"/>
        <v>0</v>
      </c>
      <c r="AB58" s="209">
        <f t="shared" si="13"/>
        <v>0</v>
      </c>
      <c r="AC58" s="205">
        <f t="shared" si="14"/>
        <v>0</v>
      </c>
      <c r="AD58" s="210">
        <f t="shared" si="15"/>
        <v>5.203472222223354</v>
      </c>
      <c r="AE58" s="210">
        <f t="shared" si="16"/>
        <v>5.203472222223354</v>
      </c>
      <c r="AF58" s="210">
        <f t="shared" si="17"/>
        <v>0</v>
      </c>
      <c r="AG58" s="210">
        <f t="shared" si="18"/>
        <v>0</v>
      </c>
    </row>
    <row r="59" spans="2:33" ht="15" customHeight="1" x14ac:dyDescent="0.3">
      <c r="B59" s="196" t="s">
        <v>7</v>
      </c>
      <c r="C59" s="197" t="s">
        <v>13</v>
      </c>
      <c r="D59" s="198" t="str">
        <f t="shared" si="0"/>
        <v>C</v>
      </c>
      <c r="E59" s="199">
        <v>43798.833333333336</v>
      </c>
      <c r="F59" s="200" t="s">
        <v>122</v>
      </c>
      <c r="G59" s="201">
        <v>73.998999999999995</v>
      </c>
      <c r="H59" s="201">
        <v>74.215000000000003</v>
      </c>
      <c r="I59" s="202">
        <f t="shared" si="1"/>
        <v>0.21600000000000819</v>
      </c>
      <c r="J59" s="201">
        <v>70.248999999999995</v>
      </c>
      <c r="K59" s="199">
        <v>43801.07916666667</v>
      </c>
      <c r="L59" s="201">
        <v>74.215000000000003</v>
      </c>
      <c r="M59" s="203">
        <f t="shared" si="2"/>
        <v>-0.216</v>
      </c>
      <c r="N59" s="204">
        <f t="shared" si="3"/>
        <v>-1</v>
      </c>
      <c r="O59" s="205">
        <f t="shared" si="4"/>
        <v>0</v>
      </c>
      <c r="P59" s="206">
        <f t="shared" si="5"/>
        <v>0</v>
      </c>
      <c r="Q59" s="206">
        <f t="shared" si="6"/>
        <v>-1</v>
      </c>
      <c r="R5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5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308830</v>
      </c>
      <c r="T5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309830</v>
      </c>
      <c r="U59" s="208">
        <f ca="1">IF(Tabla33610673[[#This Row],[Equity]]&lt;Tabla33610673[[#This Row],[Equity Peak]],(Tabla33610673[[#This Row],[Equity Peak]]-Tabla33610673[[#This Row],[Equity]])/Tabla33610673[[#This Row],[Equity Peak]],"")</f>
        <v>3.2275764128715748E-3</v>
      </c>
      <c r="V59" s="209">
        <f t="shared" si="7"/>
        <v>-1</v>
      </c>
      <c r="W59" s="209">
        <f t="shared" si="8"/>
        <v>0</v>
      </c>
      <c r="X59" s="209">
        <f t="shared" si="9"/>
        <v>0</v>
      </c>
      <c r="Y59" s="209">
        <f t="shared" si="10"/>
        <v>0</v>
      </c>
      <c r="Z59" s="209">
        <f t="shared" si="11"/>
        <v>0</v>
      </c>
      <c r="AA59" s="205">
        <f t="shared" si="12"/>
        <v>0</v>
      </c>
      <c r="AB59" s="209">
        <f t="shared" si="13"/>
        <v>0</v>
      </c>
      <c r="AC59" s="205">
        <f t="shared" si="14"/>
        <v>0</v>
      </c>
      <c r="AD59" s="210">
        <f t="shared" si="15"/>
        <v>2.2458333333343035</v>
      </c>
      <c r="AE59" s="210">
        <f t="shared" si="16"/>
        <v>0</v>
      </c>
      <c r="AF59" s="210">
        <f t="shared" si="17"/>
        <v>2.2458333333343035</v>
      </c>
      <c r="AG59" s="210">
        <f t="shared" si="18"/>
        <v>0</v>
      </c>
    </row>
    <row r="60" spans="2:33" ht="15" customHeight="1" x14ac:dyDescent="0.3">
      <c r="B60" s="196" t="s">
        <v>7</v>
      </c>
      <c r="C60" s="197" t="s">
        <v>15</v>
      </c>
      <c r="D60" s="198" t="str">
        <f t="shared" si="0"/>
        <v>C</v>
      </c>
      <c r="E60" s="199">
        <v>43794.5</v>
      </c>
      <c r="F60" s="200" t="s">
        <v>113</v>
      </c>
      <c r="G60" s="201">
        <v>108.85599999999999</v>
      </c>
      <c r="H60" s="201">
        <v>108.46899999999999</v>
      </c>
      <c r="I60" s="202">
        <f t="shared" si="1"/>
        <v>0.38700000000000045</v>
      </c>
      <c r="J60" s="201">
        <v>110.663</v>
      </c>
      <c r="K60" s="199">
        <v>43798.808333333334</v>
      </c>
      <c r="L60" s="201">
        <v>109.43600000000001</v>
      </c>
      <c r="M60" s="203">
        <f t="shared" si="2"/>
        <v>0.57999999999999996</v>
      </c>
      <c r="N60" s="204">
        <f t="shared" si="3"/>
        <v>1.5</v>
      </c>
      <c r="O60" s="205">
        <f t="shared" si="4"/>
        <v>0</v>
      </c>
      <c r="P60" s="206">
        <f t="shared" si="5"/>
        <v>1.5</v>
      </c>
      <c r="Q60" s="206">
        <f t="shared" si="6"/>
        <v>0</v>
      </c>
      <c r="R6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309830</v>
      </c>
      <c r="T6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309830</v>
      </c>
      <c r="U60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60" s="209">
        <f t="shared" si="7"/>
        <v>1.5</v>
      </c>
      <c r="W60" s="209">
        <f t="shared" si="8"/>
        <v>0</v>
      </c>
      <c r="X60" s="209">
        <f t="shared" si="9"/>
        <v>0</v>
      </c>
      <c r="Y60" s="209">
        <f t="shared" si="10"/>
        <v>0</v>
      </c>
      <c r="Z60" s="209">
        <f t="shared" si="11"/>
        <v>0</v>
      </c>
      <c r="AA60" s="205">
        <f t="shared" si="12"/>
        <v>0</v>
      </c>
      <c r="AB60" s="209">
        <f t="shared" si="13"/>
        <v>0</v>
      </c>
      <c r="AC60" s="205">
        <f t="shared" si="14"/>
        <v>0</v>
      </c>
      <c r="AD60" s="210">
        <f t="shared" si="15"/>
        <v>4.3083333333343035</v>
      </c>
      <c r="AE60" s="210">
        <f t="shared" si="16"/>
        <v>4.3083333333343035</v>
      </c>
      <c r="AF60" s="210">
        <f t="shared" si="17"/>
        <v>0</v>
      </c>
      <c r="AG60" s="210">
        <f t="shared" si="18"/>
        <v>0</v>
      </c>
    </row>
    <row r="61" spans="2:33" ht="15" customHeight="1" x14ac:dyDescent="0.3">
      <c r="B61" s="196" t="s">
        <v>7</v>
      </c>
      <c r="C61" s="197" t="s">
        <v>13</v>
      </c>
      <c r="D61" s="198" t="str">
        <f t="shared" si="0"/>
        <v>C</v>
      </c>
      <c r="E61" s="199">
        <v>43791.833333333336</v>
      </c>
      <c r="F61" s="200" t="s">
        <v>117</v>
      </c>
      <c r="G61" s="201">
        <v>1.10236</v>
      </c>
      <c r="H61" s="201">
        <v>1.10677</v>
      </c>
      <c r="I61" s="202">
        <f t="shared" si="1"/>
        <v>4.410000000000025E-3</v>
      </c>
      <c r="J61" s="201">
        <v>1.0741499999999999</v>
      </c>
      <c r="K61" s="199">
        <v>43798.745833333334</v>
      </c>
      <c r="L61" s="201">
        <v>1.1014200000000001</v>
      </c>
      <c r="M61" s="203">
        <f t="shared" si="2"/>
        <v>8.9999999999999998E-4</v>
      </c>
      <c r="N61" s="204">
        <f t="shared" si="3"/>
        <v>0.2</v>
      </c>
      <c r="O61" s="205">
        <f t="shared" si="4"/>
        <v>0</v>
      </c>
      <c r="P61" s="206">
        <f t="shared" si="5"/>
        <v>0.2</v>
      </c>
      <c r="Q61" s="206">
        <f t="shared" si="6"/>
        <v>0</v>
      </c>
      <c r="R6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308330</v>
      </c>
      <c r="T6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309360</v>
      </c>
      <c r="U61" s="208">
        <f ca="1">IF(Tabla33610673[[#This Row],[Equity]]&lt;Tabla33610673[[#This Row],[Equity Peak]],(Tabla33610673[[#This Row],[Equity Peak]]-Tabla33610673[[#This Row],[Equity]])/Tabla33610673[[#This Row],[Equity Peak]],"")</f>
        <v>3.3294543573829842E-3</v>
      </c>
      <c r="V61" s="209">
        <f t="shared" si="7"/>
        <v>0.2</v>
      </c>
      <c r="W61" s="209">
        <f t="shared" si="8"/>
        <v>0</v>
      </c>
      <c r="X61" s="209">
        <f t="shared" si="9"/>
        <v>0</v>
      </c>
      <c r="Y61" s="209">
        <f t="shared" si="10"/>
        <v>0</v>
      </c>
      <c r="Z61" s="209">
        <f t="shared" si="11"/>
        <v>0</v>
      </c>
      <c r="AA61" s="205">
        <f t="shared" si="12"/>
        <v>0</v>
      </c>
      <c r="AB61" s="209">
        <f t="shared" si="13"/>
        <v>0</v>
      </c>
      <c r="AC61" s="205">
        <f t="shared" si="14"/>
        <v>0</v>
      </c>
      <c r="AD61" s="210">
        <f t="shared" si="15"/>
        <v>6.9124999999985448</v>
      </c>
      <c r="AE61" s="210">
        <f t="shared" si="16"/>
        <v>6.9124999999985448</v>
      </c>
      <c r="AF61" s="210">
        <f t="shared" si="17"/>
        <v>0</v>
      </c>
      <c r="AG61" s="210">
        <f t="shared" si="18"/>
        <v>0</v>
      </c>
    </row>
    <row r="62" spans="2:33" ht="15" customHeight="1" x14ac:dyDescent="0.3">
      <c r="B62" s="196" t="s">
        <v>7</v>
      </c>
      <c r="C62" s="197" t="s">
        <v>15</v>
      </c>
      <c r="D62" s="198" t="str">
        <f t="shared" si="0"/>
        <v>C</v>
      </c>
      <c r="E62" s="199">
        <v>43798.5</v>
      </c>
      <c r="F62" s="200" t="s">
        <v>122</v>
      </c>
      <c r="G62" s="201">
        <v>74.251999999999995</v>
      </c>
      <c r="H62" s="201">
        <v>74.036000000000001</v>
      </c>
      <c r="I62" s="202">
        <f t="shared" si="1"/>
        <v>0.21599999999999397</v>
      </c>
      <c r="J62" s="201">
        <v>77.994</v>
      </c>
      <c r="K62" s="199">
        <v>43798.745138888888</v>
      </c>
      <c r="L62" s="201">
        <v>74.036000000000001</v>
      </c>
      <c r="M62" s="203">
        <f t="shared" si="2"/>
        <v>-0.216</v>
      </c>
      <c r="N62" s="204">
        <f t="shared" si="3"/>
        <v>-1</v>
      </c>
      <c r="O62" s="205">
        <f t="shared" si="4"/>
        <v>0</v>
      </c>
      <c r="P62" s="206">
        <f t="shared" si="5"/>
        <v>0</v>
      </c>
      <c r="Q62" s="206">
        <f t="shared" si="6"/>
        <v>-1</v>
      </c>
      <c r="R6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308130</v>
      </c>
      <c r="T6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309360</v>
      </c>
      <c r="U62" s="208">
        <f ca="1">IF(Tabla33610673[[#This Row],[Equity]]&lt;Tabla33610673[[#This Row],[Equity Peak]],(Tabla33610673[[#This Row],[Equity Peak]]-Tabla33610673[[#This Row],[Equity]])/Tabla33610673[[#This Row],[Equity Peak]],"")</f>
        <v>3.9759503491078353E-3</v>
      </c>
      <c r="V62" s="209">
        <f t="shared" si="7"/>
        <v>-1</v>
      </c>
      <c r="W62" s="209">
        <f t="shared" si="8"/>
        <v>0</v>
      </c>
      <c r="X62" s="209">
        <f t="shared" si="9"/>
        <v>0</v>
      </c>
      <c r="Y62" s="209">
        <f t="shared" si="10"/>
        <v>0</v>
      </c>
      <c r="Z62" s="209">
        <f t="shared" si="11"/>
        <v>0</v>
      </c>
      <c r="AA62" s="205">
        <f t="shared" si="12"/>
        <v>0</v>
      </c>
      <c r="AB62" s="209">
        <f t="shared" si="13"/>
        <v>0</v>
      </c>
      <c r="AC62" s="205">
        <f t="shared" si="14"/>
        <v>0</v>
      </c>
      <c r="AD62" s="210">
        <f t="shared" si="15"/>
        <v>0.24513888888759539</v>
      </c>
      <c r="AE62" s="210">
        <f t="shared" si="16"/>
        <v>0</v>
      </c>
      <c r="AF62" s="210">
        <f t="shared" si="17"/>
        <v>0.24513888888759539</v>
      </c>
      <c r="AG62" s="210">
        <f t="shared" si="18"/>
        <v>0</v>
      </c>
    </row>
    <row r="63" spans="2:33" ht="15" customHeight="1" x14ac:dyDescent="0.3">
      <c r="B63" s="196" t="s">
        <v>19</v>
      </c>
      <c r="C63" s="197" t="s">
        <v>15</v>
      </c>
      <c r="D63" s="198" t="str">
        <f t="shared" si="0"/>
        <v>C</v>
      </c>
      <c r="E63" s="199">
        <v>43790.625</v>
      </c>
      <c r="F63" s="200" t="s">
        <v>108</v>
      </c>
      <c r="G63" s="201">
        <v>57.171999999999997</v>
      </c>
      <c r="H63" s="201">
        <v>55.793999999999997</v>
      </c>
      <c r="I63" s="202">
        <f t="shared" si="1"/>
        <v>1.3780000000000001</v>
      </c>
      <c r="J63" s="201">
        <v>73.707999999999998</v>
      </c>
      <c r="K63" s="199">
        <v>43798.679861111108</v>
      </c>
      <c r="L63" s="201">
        <v>57.152000000000001</v>
      </c>
      <c r="M63" s="203">
        <f t="shared" si="2"/>
        <v>-0.02</v>
      </c>
      <c r="N63" s="204">
        <f t="shared" si="3"/>
        <v>-0.01</v>
      </c>
      <c r="O63" s="205">
        <f t="shared" si="4"/>
        <v>0</v>
      </c>
      <c r="P63" s="206">
        <f t="shared" si="5"/>
        <v>0</v>
      </c>
      <c r="Q63" s="206">
        <f t="shared" si="6"/>
        <v>-0.01</v>
      </c>
      <c r="R6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309130</v>
      </c>
      <c r="T6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309360</v>
      </c>
      <c r="U63" s="208">
        <f ca="1">IF(Tabla33610673[[#This Row],[Equity]]&lt;Tabla33610673[[#This Row],[Equity Peak]],(Tabla33610673[[#This Row],[Equity Peak]]-Tabla33610673[[#This Row],[Equity]])/Tabla33610673[[#This Row],[Equity Peak]],"")</f>
        <v>7.4347039048357905E-4</v>
      </c>
      <c r="V63" s="209">
        <f t="shared" si="7"/>
        <v>0</v>
      </c>
      <c r="W63" s="209">
        <f t="shared" si="8"/>
        <v>0</v>
      </c>
      <c r="X63" s="209">
        <f t="shared" si="9"/>
        <v>-0.01</v>
      </c>
      <c r="Y63" s="209">
        <f t="shared" si="10"/>
        <v>0</v>
      </c>
      <c r="Z63" s="209">
        <f t="shared" si="11"/>
        <v>0</v>
      </c>
      <c r="AA63" s="205">
        <f t="shared" si="12"/>
        <v>0</v>
      </c>
      <c r="AB63" s="209">
        <f t="shared" si="13"/>
        <v>0</v>
      </c>
      <c r="AC63" s="205">
        <f t="shared" si="14"/>
        <v>0</v>
      </c>
      <c r="AD63" s="210">
        <f t="shared" si="15"/>
        <v>8.054861111108039</v>
      </c>
      <c r="AE63" s="210">
        <f t="shared" si="16"/>
        <v>0</v>
      </c>
      <c r="AF63" s="210">
        <f t="shared" si="17"/>
        <v>8.054861111108039</v>
      </c>
      <c r="AG63" s="210">
        <f t="shared" si="18"/>
        <v>0</v>
      </c>
    </row>
    <row r="64" spans="2:33" ht="15" customHeight="1" x14ac:dyDescent="0.3">
      <c r="B64" s="196" t="s">
        <v>5</v>
      </c>
      <c r="C64" s="197" t="s">
        <v>15</v>
      </c>
      <c r="D64" s="198" t="str">
        <f t="shared" si="0"/>
        <v>C</v>
      </c>
      <c r="E64" s="199">
        <v>43791.833333333336</v>
      </c>
      <c r="F64" s="200" t="s">
        <v>94</v>
      </c>
      <c r="G64" s="201">
        <v>7332.71</v>
      </c>
      <c r="H64" s="201">
        <v>7262.3</v>
      </c>
      <c r="I64" s="202">
        <f t="shared" si="1"/>
        <v>70.409999999999854</v>
      </c>
      <c r="J64" s="201">
        <v>7684.77</v>
      </c>
      <c r="K64" s="199">
        <v>43797.256249999999</v>
      </c>
      <c r="L64" s="201">
        <v>7393.61</v>
      </c>
      <c r="M64" s="203">
        <f t="shared" si="2"/>
        <v>60.9</v>
      </c>
      <c r="N64" s="204">
        <f t="shared" si="3"/>
        <v>0.86</v>
      </c>
      <c r="O64" s="205">
        <f t="shared" si="4"/>
        <v>0</v>
      </c>
      <c r="P64" s="206">
        <f t="shared" si="5"/>
        <v>0.86</v>
      </c>
      <c r="Q64" s="206">
        <f t="shared" si="6"/>
        <v>0</v>
      </c>
      <c r="R6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309140</v>
      </c>
      <c r="T6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309360</v>
      </c>
      <c r="U64" s="208">
        <f ca="1">IF(Tabla33610673[[#This Row],[Equity]]&lt;Tabla33610673[[#This Row],[Equity Peak]],(Tabla33610673[[#This Row],[Equity Peak]]-Tabla33610673[[#This Row],[Equity]])/Tabla33610673[[#This Row],[Equity Peak]],"")</f>
        <v>7.1114559089733643E-4</v>
      </c>
      <c r="V64" s="209">
        <f t="shared" si="7"/>
        <v>0</v>
      </c>
      <c r="W64" s="209">
        <f t="shared" si="8"/>
        <v>0</v>
      </c>
      <c r="X64" s="209">
        <f t="shared" si="9"/>
        <v>0</v>
      </c>
      <c r="Y64" s="209">
        <f t="shared" si="10"/>
        <v>0</v>
      </c>
      <c r="Z64" s="209">
        <f t="shared" si="11"/>
        <v>0.86</v>
      </c>
      <c r="AA64" s="205">
        <f t="shared" si="12"/>
        <v>0</v>
      </c>
      <c r="AB64" s="209">
        <f t="shared" si="13"/>
        <v>0</v>
      </c>
      <c r="AC64" s="205">
        <f t="shared" si="14"/>
        <v>0</v>
      </c>
      <c r="AD64" s="210">
        <f t="shared" si="15"/>
        <v>5.4229166666627862</v>
      </c>
      <c r="AE64" s="210">
        <f t="shared" si="16"/>
        <v>5.4229166666627862</v>
      </c>
      <c r="AF64" s="210">
        <f t="shared" si="17"/>
        <v>0</v>
      </c>
      <c r="AG64" s="210">
        <f t="shared" si="18"/>
        <v>0</v>
      </c>
    </row>
    <row r="65" spans="2:33" ht="15" customHeight="1" x14ac:dyDescent="0.3">
      <c r="B65" s="196" t="s">
        <v>7</v>
      </c>
      <c r="C65" s="197" t="s">
        <v>13</v>
      </c>
      <c r="D65" s="198" t="str">
        <f t="shared" si="0"/>
        <v>C</v>
      </c>
      <c r="E65" s="199">
        <v>43790.833333333336</v>
      </c>
      <c r="F65" s="200" t="s">
        <v>118</v>
      </c>
      <c r="G65" s="201">
        <v>120.149</v>
      </c>
      <c r="H65" s="201">
        <v>120.803</v>
      </c>
      <c r="I65" s="202">
        <f t="shared" si="1"/>
        <v>0.65399999999999636</v>
      </c>
      <c r="J65" s="201">
        <v>117.53400000000001</v>
      </c>
      <c r="K65" s="199">
        <v>43796.333333333336</v>
      </c>
      <c r="L65" s="201">
        <v>120.185</v>
      </c>
      <c r="M65" s="203">
        <f t="shared" si="2"/>
        <v>-3.5999999999999997E-2</v>
      </c>
      <c r="N65" s="204">
        <f t="shared" si="3"/>
        <v>-0.06</v>
      </c>
      <c r="O65" s="205">
        <f t="shared" si="4"/>
        <v>0</v>
      </c>
      <c r="P65" s="206">
        <f t="shared" si="5"/>
        <v>0</v>
      </c>
      <c r="Q65" s="206">
        <f t="shared" si="6"/>
        <v>-0.06</v>
      </c>
      <c r="R6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308280</v>
      </c>
      <c r="T6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309360</v>
      </c>
      <c r="U65" s="208">
        <f ca="1">IF(Tabla33610673[[#This Row],[Equity]]&lt;Tabla33610673[[#This Row],[Equity Peak]],(Tabla33610673[[#This Row],[Equity Peak]]-Tabla33610673[[#This Row],[Equity]])/Tabla33610673[[#This Row],[Equity Peak]],"")</f>
        <v>3.4910783553141972E-3</v>
      </c>
      <c r="V65" s="209">
        <f t="shared" si="7"/>
        <v>-0.06</v>
      </c>
      <c r="W65" s="209">
        <f t="shared" si="8"/>
        <v>0</v>
      </c>
      <c r="X65" s="209">
        <f t="shared" si="9"/>
        <v>0</v>
      </c>
      <c r="Y65" s="209">
        <f t="shared" si="10"/>
        <v>0</v>
      </c>
      <c r="Z65" s="209">
        <f t="shared" si="11"/>
        <v>0</v>
      </c>
      <c r="AA65" s="205">
        <f t="shared" si="12"/>
        <v>0</v>
      </c>
      <c r="AB65" s="209">
        <f t="shared" si="13"/>
        <v>0</v>
      </c>
      <c r="AC65" s="205">
        <f t="shared" si="14"/>
        <v>0</v>
      </c>
      <c r="AD65" s="210">
        <f t="shared" si="15"/>
        <v>5.5</v>
      </c>
      <c r="AE65" s="210">
        <f t="shared" si="16"/>
        <v>0</v>
      </c>
      <c r="AF65" s="210">
        <f t="shared" si="17"/>
        <v>5.5</v>
      </c>
      <c r="AG65" s="210">
        <f t="shared" si="18"/>
        <v>0</v>
      </c>
    </row>
    <row r="66" spans="2:33" ht="15" customHeight="1" x14ac:dyDescent="0.3">
      <c r="B66" s="196" t="s">
        <v>19</v>
      </c>
      <c r="C66" s="197" t="s">
        <v>15</v>
      </c>
      <c r="D66" s="198" t="str">
        <f t="shared" si="0"/>
        <v>C</v>
      </c>
      <c r="E66" s="199">
        <v>43789.208333333336</v>
      </c>
      <c r="F66" s="200" t="s">
        <v>88</v>
      </c>
      <c r="G66" s="201">
        <v>1474.23</v>
      </c>
      <c r="H66" s="201">
        <v>1460.54</v>
      </c>
      <c r="I66" s="202">
        <f t="shared" si="1"/>
        <v>13.690000000000055</v>
      </c>
      <c r="J66" s="201">
        <v>1561.82</v>
      </c>
      <c r="K66" s="199">
        <v>43791.816666666666</v>
      </c>
      <c r="L66" s="201">
        <v>1461.79</v>
      </c>
      <c r="M66" s="203">
        <f t="shared" si="2"/>
        <v>-12.44</v>
      </c>
      <c r="N66" s="204">
        <f t="shared" si="3"/>
        <v>-0.91</v>
      </c>
      <c r="O66" s="205">
        <f t="shared" si="4"/>
        <v>0</v>
      </c>
      <c r="P66" s="206">
        <f t="shared" si="5"/>
        <v>0</v>
      </c>
      <c r="Q66" s="206">
        <f t="shared" si="6"/>
        <v>-0.91</v>
      </c>
      <c r="R6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308340</v>
      </c>
      <c r="T6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309360</v>
      </c>
      <c r="U66" s="208">
        <f ca="1">IF(Tabla33610673[[#This Row],[Equity]]&lt;Tabla33610673[[#This Row],[Equity Peak]],(Tabla33610673[[#This Row],[Equity Peak]]-Tabla33610673[[#This Row],[Equity]])/Tabla33610673[[#This Row],[Equity Peak]],"")</f>
        <v>3.2971295577967417E-3</v>
      </c>
      <c r="V66" s="209">
        <f t="shared" si="7"/>
        <v>0</v>
      </c>
      <c r="W66" s="209">
        <f t="shared" si="8"/>
        <v>0</v>
      </c>
      <c r="X66" s="209">
        <f t="shared" si="9"/>
        <v>-0.91</v>
      </c>
      <c r="Y66" s="209">
        <f t="shared" si="10"/>
        <v>0</v>
      </c>
      <c r="Z66" s="209">
        <f t="shared" si="11"/>
        <v>0</v>
      </c>
      <c r="AA66" s="205">
        <f t="shared" si="12"/>
        <v>0</v>
      </c>
      <c r="AB66" s="209">
        <f t="shared" si="13"/>
        <v>0</v>
      </c>
      <c r="AC66" s="205">
        <f t="shared" si="14"/>
        <v>0</v>
      </c>
      <c r="AD66" s="210">
        <f t="shared" si="15"/>
        <v>2.6083333333299379</v>
      </c>
      <c r="AE66" s="210">
        <f t="shared" si="16"/>
        <v>0</v>
      </c>
      <c r="AF66" s="210">
        <f t="shared" si="17"/>
        <v>2.6083333333299379</v>
      </c>
      <c r="AG66" s="210">
        <f t="shared" si="18"/>
        <v>0</v>
      </c>
    </row>
    <row r="67" spans="2:33" ht="15" customHeight="1" x14ac:dyDescent="0.3">
      <c r="B67" s="196" t="s">
        <v>7</v>
      </c>
      <c r="C67" s="197" t="s">
        <v>15</v>
      </c>
      <c r="D67" s="198" t="str">
        <f t="shared" si="0"/>
        <v>C</v>
      </c>
      <c r="E67" s="199">
        <v>43784.333333333336</v>
      </c>
      <c r="F67" s="200" t="s">
        <v>114</v>
      </c>
      <c r="G67" s="201">
        <v>1.28762</v>
      </c>
      <c r="H67" s="201">
        <v>1.2818000000000001</v>
      </c>
      <c r="I67" s="202">
        <f t="shared" si="1"/>
        <v>5.8199999999999363E-3</v>
      </c>
      <c r="J67" s="201">
        <v>1.31091</v>
      </c>
      <c r="K67" s="199">
        <v>43791.438194444447</v>
      </c>
      <c r="L67" s="201">
        <v>1.2875300000000001</v>
      </c>
      <c r="M67" s="203">
        <f t="shared" si="2"/>
        <v>-1E-4</v>
      </c>
      <c r="N67" s="204">
        <f t="shared" si="3"/>
        <v>-0.02</v>
      </c>
      <c r="O67" s="205">
        <f t="shared" si="4"/>
        <v>0</v>
      </c>
      <c r="P67" s="206">
        <f t="shared" si="5"/>
        <v>0</v>
      </c>
      <c r="Q67" s="206">
        <f t="shared" si="6"/>
        <v>-0.02</v>
      </c>
      <c r="R6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309250</v>
      </c>
      <c r="T6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309360</v>
      </c>
      <c r="U67" s="208">
        <f ca="1">IF(Tabla33610673[[#This Row],[Equity]]&lt;Tabla33610673[[#This Row],[Equity Peak]],(Tabla33610673[[#This Row],[Equity Peak]]-Tabla33610673[[#This Row],[Equity]])/Tabla33610673[[#This Row],[Equity Peak]],"")</f>
        <v>3.5557279544866821E-4</v>
      </c>
      <c r="V67" s="209">
        <f t="shared" si="7"/>
        <v>-0.02</v>
      </c>
      <c r="W67" s="209">
        <f t="shared" si="8"/>
        <v>0</v>
      </c>
      <c r="X67" s="209">
        <f t="shared" si="9"/>
        <v>0</v>
      </c>
      <c r="Y67" s="209">
        <f t="shared" si="10"/>
        <v>0</v>
      </c>
      <c r="Z67" s="209">
        <f t="shared" si="11"/>
        <v>0</v>
      </c>
      <c r="AA67" s="205">
        <f t="shared" si="12"/>
        <v>0</v>
      </c>
      <c r="AB67" s="209">
        <f t="shared" si="13"/>
        <v>0</v>
      </c>
      <c r="AC67" s="205">
        <f t="shared" si="14"/>
        <v>0</v>
      </c>
      <c r="AD67" s="210">
        <f t="shared" si="15"/>
        <v>7.1048611111109494</v>
      </c>
      <c r="AE67" s="210">
        <f t="shared" si="16"/>
        <v>0</v>
      </c>
      <c r="AF67" s="210">
        <f t="shared" si="17"/>
        <v>7.1048611111109494</v>
      </c>
      <c r="AG67" s="210">
        <f t="shared" si="18"/>
        <v>0</v>
      </c>
    </row>
    <row r="68" spans="2:33" ht="15" customHeight="1" x14ac:dyDescent="0.3">
      <c r="B68" s="196" t="s">
        <v>5</v>
      </c>
      <c r="C68" s="197" t="s">
        <v>13</v>
      </c>
      <c r="D68" s="198" t="str">
        <f t="shared" si="0"/>
        <v>C</v>
      </c>
      <c r="E68" s="199">
        <v>43789.166666666664</v>
      </c>
      <c r="F68" s="200" t="s">
        <v>94</v>
      </c>
      <c r="G68" s="201">
        <v>7307.98</v>
      </c>
      <c r="H68" s="201">
        <v>7360.46</v>
      </c>
      <c r="I68" s="202">
        <f t="shared" si="1"/>
        <v>52.480000000000473</v>
      </c>
      <c r="J68" s="201">
        <v>7045.57</v>
      </c>
      <c r="K68" s="199">
        <v>43791.388194444444</v>
      </c>
      <c r="L68" s="201">
        <v>7282.75</v>
      </c>
      <c r="M68" s="203">
        <f t="shared" si="2"/>
        <v>25.23</v>
      </c>
      <c r="N68" s="204">
        <f t="shared" si="3"/>
        <v>0.48</v>
      </c>
      <c r="O68" s="205">
        <f t="shared" si="4"/>
        <v>0</v>
      </c>
      <c r="P68" s="206">
        <f t="shared" si="5"/>
        <v>0.48</v>
      </c>
      <c r="Q68" s="206">
        <f t="shared" si="6"/>
        <v>0</v>
      </c>
      <c r="R6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309270</v>
      </c>
      <c r="T6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309360</v>
      </c>
      <c r="U68" s="208">
        <f ca="1">IF(Tabla33610673[[#This Row],[Equity]]&lt;Tabla33610673[[#This Row],[Equity Peak]],(Tabla33610673[[#This Row],[Equity Peak]]-Tabla33610673[[#This Row],[Equity]])/Tabla33610673[[#This Row],[Equity Peak]],"")</f>
        <v>2.9092319627618308E-4</v>
      </c>
      <c r="V68" s="209">
        <f t="shared" si="7"/>
        <v>0</v>
      </c>
      <c r="W68" s="209">
        <f t="shared" si="8"/>
        <v>0</v>
      </c>
      <c r="X68" s="209">
        <f t="shared" si="9"/>
        <v>0</v>
      </c>
      <c r="Y68" s="209">
        <f t="shared" si="10"/>
        <v>0</v>
      </c>
      <c r="Z68" s="209">
        <f t="shared" si="11"/>
        <v>0.48</v>
      </c>
      <c r="AA68" s="205">
        <f t="shared" si="12"/>
        <v>0</v>
      </c>
      <c r="AB68" s="209">
        <f t="shared" si="13"/>
        <v>0</v>
      </c>
      <c r="AC68" s="205">
        <f t="shared" si="14"/>
        <v>0</v>
      </c>
      <c r="AD68" s="210">
        <f t="shared" si="15"/>
        <v>2.2215277777795563</v>
      </c>
      <c r="AE68" s="210">
        <f t="shared" si="16"/>
        <v>2.2215277777795563</v>
      </c>
      <c r="AF68" s="210">
        <f t="shared" si="17"/>
        <v>0</v>
      </c>
      <c r="AG68" s="210">
        <f t="shared" si="18"/>
        <v>0</v>
      </c>
    </row>
    <row r="69" spans="2:33" ht="15" customHeight="1" x14ac:dyDescent="0.3">
      <c r="B69" s="196" t="s">
        <v>7</v>
      </c>
      <c r="C69" s="197" t="s">
        <v>15</v>
      </c>
      <c r="D69" s="198" t="str">
        <f t="shared" si="0"/>
        <v>C</v>
      </c>
      <c r="E69" s="199">
        <v>43790.5</v>
      </c>
      <c r="F69" s="200" t="s">
        <v>118</v>
      </c>
      <c r="G69" s="201">
        <v>120.33</v>
      </c>
      <c r="H69" s="201">
        <v>119.72799999999999</v>
      </c>
      <c r="I69" s="202">
        <f t="shared" si="1"/>
        <v>0.60200000000000387</v>
      </c>
      <c r="J69" s="201">
        <v>122.739</v>
      </c>
      <c r="K69" s="199">
        <v>43790.833333333336</v>
      </c>
      <c r="L69" s="201">
        <v>120.149</v>
      </c>
      <c r="M69" s="203">
        <f t="shared" si="2"/>
        <v>-0.18099999999999999</v>
      </c>
      <c r="N69" s="204">
        <f t="shared" si="3"/>
        <v>-0.3</v>
      </c>
      <c r="O69" s="205">
        <f t="shared" si="4"/>
        <v>0</v>
      </c>
      <c r="P69" s="206">
        <f t="shared" si="5"/>
        <v>0</v>
      </c>
      <c r="Q69" s="206">
        <f t="shared" si="6"/>
        <v>-0.3</v>
      </c>
      <c r="R6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6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308790</v>
      </c>
      <c r="T6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309360</v>
      </c>
      <c r="U69" s="208">
        <f ca="1">IF(Tabla33610673[[#This Row],[Equity]]&lt;Tabla33610673[[#This Row],[Equity Peak]],(Tabla33610673[[#This Row],[Equity Peak]]-Tabla33610673[[#This Row],[Equity]])/Tabla33610673[[#This Row],[Equity Peak]],"")</f>
        <v>1.8425135764158261E-3</v>
      </c>
      <c r="V69" s="209">
        <f t="shared" si="7"/>
        <v>-0.3</v>
      </c>
      <c r="W69" s="209">
        <f t="shared" si="8"/>
        <v>0</v>
      </c>
      <c r="X69" s="209">
        <f t="shared" si="9"/>
        <v>0</v>
      </c>
      <c r="Y69" s="209">
        <f t="shared" si="10"/>
        <v>0</v>
      </c>
      <c r="Z69" s="209">
        <f t="shared" si="11"/>
        <v>0</v>
      </c>
      <c r="AA69" s="205">
        <f t="shared" si="12"/>
        <v>0</v>
      </c>
      <c r="AB69" s="209">
        <f t="shared" si="13"/>
        <v>0</v>
      </c>
      <c r="AC69" s="205">
        <f t="shared" si="14"/>
        <v>0</v>
      </c>
      <c r="AD69" s="210">
        <f t="shared" si="15"/>
        <v>0.33333333333575865</v>
      </c>
      <c r="AE69" s="210">
        <f t="shared" si="16"/>
        <v>0</v>
      </c>
      <c r="AF69" s="210">
        <f t="shared" si="17"/>
        <v>0.33333333333575865</v>
      </c>
      <c r="AG69" s="210">
        <f t="shared" si="18"/>
        <v>0</v>
      </c>
    </row>
    <row r="70" spans="2:33" ht="15" customHeight="1" x14ac:dyDescent="0.3">
      <c r="B70" s="196" t="s">
        <v>7</v>
      </c>
      <c r="C70" s="197" t="s">
        <v>13</v>
      </c>
      <c r="D70" s="198" t="str">
        <f t="shared" si="0"/>
        <v>C</v>
      </c>
      <c r="E70" s="199">
        <v>43789.333333333336</v>
      </c>
      <c r="F70" s="200" t="s">
        <v>118</v>
      </c>
      <c r="G70" s="201">
        <v>120.178</v>
      </c>
      <c r="H70" s="201">
        <v>120.745</v>
      </c>
      <c r="I70" s="202">
        <f t="shared" si="1"/>
        <v>0.56700000000000728</v>
      </c>
      <c r="J70" s="201">
        <v>117.90900000000001</v>
      </c>
      <c r="K70" s="199">
        <v>43790.5</v>
      </c>
      <c r="L70" s="201">
        <v>120.33</v>
      </c>
      <c r="M70" s="203">
        <f t="shared" si="2"/>
        <v>-0.152</v>
      </c>
      <c r="N70" s="204">
        <f t="shared" si="3"/>
        <v>-0.27</v>
      </c>
      <c r="O70" s="205">
        <f t="shared" si="4"/>
        <v>0</v>
      </c>
      <c r="P70" s="206">
        <f t="shared" si="5"/>
        <v>0</v>
      </c>
      <c r="Q70" s="206">
        <f t="shared" si="6"/>
        <v>-0.27</v>
      </c>
      <c r="R7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309090</v>
      </c>
      <c r="T7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309360</v>
      </c>
      <c r="U70" s="208">
        <f ca="1">IF(Tabla33610673[[#This Row],[Equity]]&lt;Tabla33610673[[#This Row],[Equity Peak]],(Tabla33610673[[#This Row],[Equity Peak]]-Tabla33610673[[#This Row],[Equity]])/Tabla33610673[[#This Row],[Equity Peak]],"")</f>
        <v>8.7276958882854931E-4</v>
      </c>
      <c r="V70" s="209">
        <f t="shared" si="7"/>
        <v>-0.27</v>
      </c>
      <c r="W70" s="209">
        <f t="shared" si="8"/>
        <v>0</v>
      </c>
      <c r="X70" s="209">
        <f t="shared" si="9"/>
        <v>0</v>
      </c>
      <c r="Y70" s="209">
        <f t="shared" si="10"/>
        <v>0</v>
      </c>
      <c r="Z70" s="209">
        <f t="shared" si="11"/>
        <v>0</v>
      </c>
      <c r="AA70" s="205">
        <f t="shared" si="12"/>
        <v>0</v>
      </c>
      <c r="AB70" s="209">
        <f t="shared" si="13"/>
        <v>0</v>
      </c>
      <c r="AC70" s="205">
        <f t="shared" si="14"/>
        <v>0</v>
      </c>
      <c r="AD70" s="210">
        <f t="shared" si="15"/>
        <v>1.1666666666642413</v>
      </c>
      <c r="AE70" s="210">
        <f t="shared" si="16"/>
        <v>0</v>
      </c>
      <c r="AF70" s="210">
        <f t="shared" si="17"/>
        <v>1.1666666666642413</v>
      </c>
      <c r="AG70" s="210">
        <f t="shared" si="18"/>
        <v>0</v>
      </c>
    </row>
    <row r="71" spans="2:33" ht="15" customHeight="1" x14ac:dyDescent="0.3">
      <c r="B71" s="196" t="s">
        <v>5</v>
      </c>
      <c r="C71" s="197" t="s">
        <v>15</v>
      </c>
      <c r="D71" s="198" t="str">
        <f t="shared" si="0"/>
        <v>C</v>
      </c>
      <c r="E71" s="199">
        <v>43749.333333333336</v>
      </c>
      <c r="F71" s="200" t="s">
        <v>92</v>
      </c>
      <c r="G71" s="201">
        <v>7793</v>
      </c>
      <c r="H71" s="201">
        <v>7643.52</v>
      </c>
      <c r="I71" s="202">
        <f t="shared" si="1"/>
        <v>149.47999999999956</v>
      </c>
      <c r="J71" s="201">
        <v>8789.56</v>
      </c>
      <c r="K71" s="199">
        <v>43789.768750000003</v>
      </c>
      <c r="L71" s="201">
        <v>8273.61</v>
      </c>
      <c r="M71" s="203">
        <f t="shared" si="2"/>
        <v>480.61</v>
      </c>
      <c r="N71" s="204">
        <f t="shared" si="3"/>
        <v>3.22</v>
      </c>
      <c r="O71" s="205">
        <f t="shared" si="4"/>
        <v>0</v>
      </c>
      <c r="P71" s="206">
        <f t="shared" si="5"/>
        <v>3.22</v>
      </c>
      <c r="Q71" s="206">
        <f t="shared" si="6"/>
        <v>0</v>
      </c>
      <c r="R7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309360</v>
      </c>
      <c r="T7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309360</v>
      </c>
      <c r="U71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71" s="209">
        <f t="shared" si="7"/>
        <v>0</v>
      </c>
      <c r="W71" s="209">
        <f t="shared" si="8"/>
        <v>0</v>
      </c>
      <c r="X71" s="209">
        <f t="shared" si="9"/>
        <v>0</v>
      </c>
      <c r="Y71" s="209">
        <f t="shared" si="10"/>
        <v>0</v>
      </c>
      <c r="Z71" s="209">
        <f t="shared" si="11"/>
        <v>3.22</v>
      </c>
      <c r="AA71" s="205">
        <f t="shared" si="12"/>
        <v>0</v>
      </c>
      <c r="AB71" s="209">
        <f t="shared" si="13"/>
        <v>0</v>
      </c>
      <c r="AC71" s="205">
        <f t="shared" si="14"/>
        <v>0</v>
      </c>
      <c r="AD71" s="210">
        <f t="shared" si="15"/>
        <v>40.435416666667152</v>
      </c>
      <c r="AE71" s="210">
        <f t="shared" si="16"/>
        <v>40.435416666667152</v>
      </c>
      <c r="AF71" s="210">
        <f t="shared" si="17"/>
        <v>0</v>
      </c>
      <c r="AG71" s="210">
        <f t="shared" si="18"/>
        <v>0</v>
      </c>
    </row>
    <row r="72" spans="2:33" ht="15" customHeight="1" x14ac:dyDescent="0.3">
      <c r="B72" s="196" t="s">
        <v>19</v>
      </c>
      <c r="C72" s="197" t="s">
        <v>13</v>
      </c>
      <c r="D72" s="198" t="str">
        <f t="shared" si="0"/>
        <v>C</v>
      </c>
      <c r="E72" s="199">
        <v>43789.125</v>
      </c>
      <c r="F72" s="200" t="s">
        <v>108</v>
      </c>
      <c r="G72" s="201">
        <v>55.491</v>
      </c>
      <c r="H72" s="201">
        <v>56.863999999999997</v>
      </c>
      <c r="I72" s="202">
        <f t="shared" si="1"/>
        <v>1.3729999999999976</v>
      </c>
      <c r="J72" s="201">
        <v>39.020000000000003</v>
      </c>
      <c r="K72" s="199">
        <v>43789.675000000003</v>
      </c>
      <c r="L72" s="201">
        <v>55.988</v>
      </c>
      <c r="M72" s="203">
        <f t="shared" si="2"/>
        <v>-0.497</v>
      </c>
      <c r="N72" s="204">
        <f t="shared" si="3"/>
        <v>-0.36</v>
      </c>
      <c r="O72" s="205">
        <f t="shared" si="4"/>
        <v>0</v>
      </c>
      <c r="P72" s="206">
        <f t="shared" si="5"/>
        <v>0</v>
      </c>
      <c r="Q72" s="206">
        <f t="shared" si="6"/>
        <v>-0.36</v>
      </c>
      <c r="R7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306140</v>
      </c>
      <c r="T7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307940</v>
      </c>
      <c r="U72" s="208">
        <f ca="1">IF(Tabla33610673[[#This Row],[Equity]]&lt;Tabla33610673[[#This Row],[Equity Peak]],(Tabla33610673[[#This Row],[Equity Peak]]-Tabla33610673[[#This Row],[Equity]])/Tabla33610673[[#This Row],[Equity Peak]],"")</f>
        <v>5.8452945378969926E-3</v>
      </c>
      <c r="V72" s="209">
        <f t="shared" si="7"/>
        <v>0</v>
      </c>
      <c r="W72" s="209">
        <f t="shared" si="8"/>
        <v>0</v>
      </c>
      <c r="X72" s="209">
        <f t="shared" si="9"/>
        <v>-0.36</v>
      </c>
      <c r="Y72" s="209">
        <f t="shared" si="10"/>
        <v>0</v>
      </c>
      <c r="Z72" s="209">
        <f t="shared" si="11"/>
        <v>0</v>
      </c>
      <c r="AA72" s="205">
        <f t="shared" si="12"/>
        <v>0</v>
      </c>
      <c r="AB72" s="209">
        <f t="shared" si="13"/>
        <v>0</v>
      </c>
      <c r="AC72" s="205">
        <f t="shared" si="14"/>
        <v>0</v>
      </c>
      <c r="AD72" s="210">
        <f t="shared" si="15"/>
        <v>0.55000000000291038</v>
      </c>
      <c r="AE72" s="210">
        <f t="shared" si="16"/>
        <v>0</v>
      </c>
      <c r="AF72" s="210">
        <f t="shared" si="17"/>
        <v>0.55000000000291038</v>
      </c>
      <c r="AG72" s="210">
        <f t="shared" si="18"/>
        <v>0</v>
      </c>
    </row>
    <row r="73" spans="2:33" ht="15" customHeight="1" x14ac:dyDescent="0.3">
      <c r="B73" s="196" t="s">
        <v>7</v>
      </c>
      <c r="C73" s="197" t="s">
        <v>15</v>
      </c>
      <c r="D73" s="198" t="str">
        <f t="shared" si="0"/>
        <v>C</v>
      </c>
      <c r="E73" s="199">
        <v>43787.333333333336</v>
      </c>
      <c r="F73" s="200" t="s">
        <v>118</v>
      </c>
      <c r="G73" s="201">
        <v>120.377</v>
      </c>
      <c r="H73" s="201">
        <v>119.81100000000001</v>
      </c>
      <c r="I73" s="202">
        <f t="shared" si="1"/>
        <v>0.56599999999998829</v>
      </c>
      <c r="J73" s="201">
        <v>122.643</v>
      </c>
      <c r="K73" s="199">
        <v>43789.109722222223</v>
      </c>
      <c r="L73" s="201">
        <v>119.99</v>
      </c>
      <c r="M73" s="203">
        <f t="shared" si="2"/>
        <v>-0.38700000000000001</v>
      </c>
      <c r="N73" s="204">
        <f t="shared" si="3"/>
        <v>-0.68</v>
      </c>
      <c r="O73" s="205">
        <f t="shared" si="4"/>
        <v>0</v>
      </c>
      <c r="P73" s="206">
        <f t="shared" si="5"/>
        <v>0</v>
      </c>
      <c r="Q73" s="206">
        <f t="shared" si="6"/>
        <v>-0.68</v>
      </c>
      <c r="R7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306500</v>
      </c>
      <c r="T7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307940</v>
      </c>
      <c r="U73" s="208">
        <f ca="1">IF(Tabla33610673[[#This Row],[Equity]]&lt;Tabla33610673[[#This Row],[Equity Peak]],(Tabla33610673[[#This Row],[Equity Peak]]-Tabla33610673[[#This Row],[Equity]])/Tabla33610673[[#This Row],[Equity Peak]],"")</f>
        <v>4.6762356303175941E-3</v>
      </c>
      <c r="V73" s="209">
        <f t="shared" si="7"/>
        <v>-0.68</v>
      </c>
      <c r="W73" s="209">
        <f t="shared" si="8"/>
        <v>0</v>
      </c>
      <c r="X73" s="209">
        <f t="shared" si="9"/>
        <v>0</v>
      </c>
      <c r="Y73" s="209">
        <f t="shared" si="10"/>
        <v>0</v>
      </c>
      <c r="Z73" s="209">
        <f t="shared" si="11"/>
        <v>0</v>
      </c>
      <c r="AA73" s="205">
        <f t="shared" si="12"/>
        <v>0</v>
      </c>
      <c r="AB73" s="209">
        <f t="shared" si="13"/>
        <v>0</v>
      </c>
      <c r="AC73" s="205">
        <f t="shared" si="14"/>
        <v>0</v>
      </c>
      <c r="AD73" s="210">
        <f t="shared" si="15"/>
        <v>1.7763888888875954</v>
      </c>
      <c r="AE73" s="210">
        <f t="shared" si="16"/>
        <v>0</v>
      </c>
      <c r="AF73" s="210">
        <f t="shared" si="17"/>
        <v>1.7763888888875954</v>
      </c>
      <c r="AG73" s="210">
        <f t="shared" si="18"/>
        <v>0</v>
      </c>
    </row>
    <row r="74" spans="2:33" ht="15" customHeight="1" x14ac:dyDescent="0.3">
      <c r="B74" s="196" t="s">
        <v>5</v>
      </c>
      <c r="C74" s="197" t="s">
        <v>15</v>
      </c>
      <c r="D74" s="198" t="str">
        <f t="shared" si="0"/>
        <v>C</v>
      </c>
      <c r="E74" s="199">
        <v>43788.5</v>
      </c>
      <c r="F74" s="200" t="s">
        <v>94</v>
      </c>
      <c r="G74" s="201">
        <v>7386.95</v>
      </c>
      <c r="H74" s="201">
        <v>7328.46</v>
      </c>
      <c r="I74" s="202">
        <f t="shared" si="1"/>
        <v>58.489999999999782</v>
      </c>
      <c r="J74" s="201">
        <v>7679.42</v>
      </c>
      <c r="K74" s="199">
        <v>43788.748611111114</v>
      </c>
      <c r="L74" s="201">
        <v>7342.57</v>
      </c>
      <c r="M74" s="203">
        <f t="shared" si="2"/>
        <v>-44.38</v>
      </c>
      <c r="N74" s="204">
        <f t="shared" si="3"/>
        <v>-0.76</v>
      </c>
      <c r="O74" s="205">
        <f t="shared" si="4"/>
        <v>0</v>
      </c>
      <c r="P74" s="206">
        <f t="shared" si="5"/>
        <v>0</v>
      </c>
      <c r="Q74" s="206">
        <f t="shared" si="6"/>
        <v>-0.76</v>
      </c>
      <c r="R7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307180</v>
      </c>
      <c r="T7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307940</v>
      </c>
      <c r="U74" s="208">
        <f ca="1">IF(Tabla33610673[[#This Row],[Equity]]&lt;Tabla33610673[[#This Row],[Equity Peak]],(Tabla33610673[[#This Row],[Equity Peak]]-Tabla33610673[[#This Row],[Equity]])/Tabla33610673[[#This Row],[Equity Peak]],"")</f>
        <v>2.4680132493342861E-3</v>
      </c>
      <c r="V74" s="209">
        <f t="shared" si="7"/>
        <v>0</v>
      </c>
      <c r="W74" s="209">
        <f t="shared" si="8"/>
        <v>0</v>
      </c>
      <c r="X74" s="209">
        <f t="shared" si="9"/>
        <v>0</v>
      </c>
      <c r="Y74" s="209">
        <f t="shared" si="10"/>
        <v>0</v>
      </c>
      <c r="Z74" s="209">
        <f t="shared" si="11"/>
        <v>-0.76</v>
      </c>
      <c r="AA74" s="205">
        <f t="shared" si="12"/>
        <v>0</v>
      </c>
      <c r="AB74" s="209">
        <f t="shared" si="13"/>
        <v>0</v>
      </c>
      <c r="AC74" s="205">
        <f t="shared" si="14"/>
        <v>0</v>
      </c>
      <c r="AD74" s="210">
        <f t="shared" si="15"/>
        <v>0.24861111111385981</v>
      </c>
      <c r="AE74" s="210">
        <f t="shared" si="16"/>
        <v>0</v>
      </c>
      <c r="AF74" s="210">
        <f t="shared" si="17"/>
        <v>0.24861111111385981</v>
      </c>
      <c r="AG74" s="210">
        <f t="shared" si="18"/>
        <v>0</v>
      </c>
    </row>
    <row r="75" spans="2:33" ht="15" customHeight="1" x14ac:dyDescent="0.3">
      <c r="B75" s="196" t="s">
        <v>7</v>
      </c>
      <c r="C75" s="197" t="s">
        <v>15</v>
      </c>
      <c r="D75" s="198" t="str">
        <f t="shared" si="0"/>
        <v>C</v>
      </c>
      <c r="E75" s="199">
        <v>43783.333333333336</v>
      </c>
      <c r="F75" s="200" t="s">
        <v>120</v>
      </c>
      <c r="G75" s="201">
        <v>1.6167</v>
      </c>
      <c r="H75" s="201">
        <v>1.6107</v>
      </c>
      <c r="I75" s="202">
        <f t="shared" si="1"/>
        <v>6.0000000000000053E-3</v>
      </c>
      <c r="J75" s="201">
        <v>1.68068</v>
      </c>
      <c r="K75" s="199">
        <v>43788.574999999997</v>
      </c>
      <c r="L75" s="201">
        <v>1.62365</v>
      </c>
      <c r="M75" s="203">
        <f t="shared" si="2"/>
        <v>7.0000000000000001E-3</v>
      </c>
      <c r="N75" s="204">
        <f t="shared" si="3"/>
        <v>1.17</v>
      </c>
      <c r="O75" s="205">
        <f t="shared" si="4"/>
        <v>0</v>
      </c>
      <c r="P75" s="206">
        <f t="shared" si="5"/>
        <v>1.17</v>
      </c>
      <c r="Q75" s="206">
        <f t="shared" si="6"/>
        <v>0</v>
      </c>
      <c r="R7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307940</v>
      </c>
      <c r="T7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307940</v>
      </c>
      <c r="U75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75" s="209">
        <f t="shared" si="7"/>
        <v>1.17</v>
      </c>
      <c r="W75" s="209">
        <f t="shared" si="8"/>
        <v>0</v>
      </c>
      <c r="X75" s="209">
        <f t="shared" si="9"/>
        <v>0</v>
      </c>
      <c r="Y75" s="209">
        <f t="shared" si="10"/>
        <v>0</v>
      </c>
      <c r="Z75" s="209">
        <f t="shared" si="11"/>
        <v>0</v>
      </c>
      <c r="AA75" s="205">
        <f t="shared" si="12"/>
        <v>0</v>
      </c>
      <c r="AB75" s="209">
        <f t="shared" si="13"/>
        <v>0</v>
      </c>
      <c r="AC75" s="205">
        <f t="shared" si="14"/>
        <v>0</v>
      </c>
      <c r="AD75" s="210">
        <f t="shared" si="15"/>
        <v>5.241666666661331</v>
      </c>
      <c r="AE75" s="210">
        <f t="shared" si="16"/>
        <v>5.241666666661331</v>
      </c>
      <c r="AF75" s="210">
        <f t="shared" si="17"/>
        <v>0</v>
      </c>
      <c r="AG75" s="210">
        <f t="shared" si="18"/>
        <v>0</v>
      </c>
    </row>
    <row r="76" spans="2:33" ht="15" customHeight="1" x14ac:dyDescent="0.3">
      <c r="B76" s="196" t="s">
        <v>7</v>
      </c>
      <c r="C76" s="197" t="s">
        <v>13</v>
      </c>
      <c r="D76" s="198" t="str">
        <f t="shared" si="0"/>
        <v>C</v>
      </c>
      <c r="E76" s="199">
        <v>43782.666666666664</v>
      </c>
      <c r="F76" s="200" t="s">
        <v>122</v>
      </c>
      <c r="G76" s="201">
        <v>74.284999999999997</v>
      </c>
      <c r="H76" s="201">
        <v>74.596999999999994</v>
      </c>
      <c r="I76" s="202">
        <f t="shared" si="1"/>
        <v>0.31199999999999761</v>
      </c>
      <c r="J76" s="201">
        <v>68.879000000000005</v>
      </c>
      <c r="K76" s="199">
        <v>43784.769444444442</v>
      </c>
      <c r="L76" s="201">
        <v>74.117999999999995</v>
      </c>
      <c r="M76" s="203">
        <f t="shared" si="2"/>
        <v>0.16700000000000001</v>
      </c>
      <c r="N76" s="204">
        <f t="shared" si="3"/>
        <v>0.54</v>
      </c>
      <c r="O76" s="205">
        <f t="shared" si="4"/>
        <v>0</v>
      </c>
      <c r="P76" s="206">
        <f t="shared" si="5"/>
        <v>0.54</v>
      </c>
      <c r="Q76" s="206">
        <f t="shared" si="6"/>
        <v>0</v>
      </c>
      <c r="R7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306770</v>
      </c>
      <c r="T7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306790</v>
      </c>
      <c r="U76" s="208">
        <f ca="1">IF(Tabla33610673[[#This Row],[Equity]]&lt;Tabla33610673[[#This Row],[Equity Peak]],(Tabla33610673[[#This Row],[Equity Peak]]-Tabla33610673[[#This Row],[Equity]])/Tabla33610673[[#This Row],[Equity Peak]],"")</f>
        <v>6.5191173115160207E-5</v>
      </c>
      <c r="V76" s="209">
        <f t="shared" si="7"/>
        <v>0.54</v>
      </c>
      <c r="W76" s="209">
        <f t="shared" si="8"/>
        <v>0</v>
      </c>
      <c r="X76" s="209">
        <f t="shared" si="9"/>
        <v>0</v>
      </c>
      <c r="Y76" s="209">
        <f t="shared" si="10"/>
        <v>0</v>
      </c>
      <c r="Z76" s="209">
        <f t="shared" si="11"/>
        <v>0</v>
      </c>
      <c r="AA76" s="205">
        <f t="shared" si="12"/>
        <v>0</v>
      </c>
      <c r="AB76" s="209">
        <f t="shared" si="13"/>
        <v>0</v>
      </c>
      <c r="AC76" s="205">
        <f t="shared" si="14"/>
        <v>0</v>
      </c>
      <c r="AD76" s="210">
        <f t="shared" si="15"/>
        <v>2.1027777777781012</v>
      </c>
      <c r="AE76" s="210">
        <f t="shared" si="16"/>
        <v>2.1027777777781012</v>
      </c>
      <c r="AF76" s="210">
        <f t="shared" si="17"/>
        <v>0</v>
      </c>
      <c r="AG76" s="210">
        <f t="shared" si="18"/>
        <v>0</v>
      </c>
    </row>
    <row r="77" spans="2:33" ht="15" customHeight="1" x14ac:dyDescent="0.3">
      <c r="B77" s="196" t="s">
        <v>7</v>
      </c>
      <c r="C77" s="197" t="s">
        <v>13</v>
      </c>
      <c r="D77" s="198" t="str">
        <f t="shared" si="0"/>
        <v>C</v>
      </c>
      <c r="E77" s="199">
        <v>43781.833333333336</v>
      </c>
      <c r="F77" s="200" t="s">
        <v>118</v>
      </c>
      <c r="G77" s="201">
        <v>120.11499999999999</v>
      </c>
      <c r="H77" s="201">
        <v>120.629</v>
      </c>
      <c r="I77" s="202">
        <f t="shared" si="1"/>
        <v>0.51400000000001</v>
      </c>
      <c r="J77" s="201">
        <v>118.057</v>
      </c>
      <c r="K77" s="199">
        <v>43784.552777777775</v>
      </c>
      <c r="L77" s="201">
        <v>119.845</v>
      </c>
      <c r="M77" s="203">
        <f t="shared" si="2"/>
        <v>0.27</v>
      </c>
      <c r="N77" s="204">
        <f t="shared" si="3"/>
        <v>0.53</v>
      </c>
      <c r="O77" s="205">
        <f t="shared" si="4"/>
        <v>0</v>
      </c>
      <c r="P77" s="206">
        <f t="shared" si="5"/>
        <v>0.53</v>
      </c>
      <c r="Q77" s="206">
        <f t="shared" si="6"/>
        <v>0</v>
      </c>
      <c r="R7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306230</v>
      </c>
      <c r="T7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306790</v>
      </c>
      <c r="U77" s="208">
        <f ca="1">IF(Tabla33610673[[#This Row],[Equity]]&lt;Tabla33610673[[#This Row],[Equity Peak]],(Tabla33610673[[#This Row],[Equity Peak]]-Tabla33610673[[#This Row],[Equity]])/Tabla33610673[[#This Row],[Equity Peak]],"")</f>
        <v>1.8253528472244858E-3</v>
      </c>
      <c r="V77" s="209">
        <f t="shared" si="7"/>
        <v>0.53</v>
      </c>
      <c r="W77" s="209">
        <f t="shared" si="8"/>
        <v>0</v>
      </c>
      <c r="X77" s="209">
        <f t="shared" si="9"/>
        <v>0</v>
      </c>
      <c r="Y77" s="209">
        <f t="shared" si="10"/>
        <v>0</v>
      </c>
      <c r="Z77" s="209">
        <f t="shared" si="11"/>
        <v>0</v>
      </c>
      <c r="AA77" s="205">
        <f t="shared" si="12"/>
        <v>0</v>
      </c>
      <c r="AB77" s="209">
        <f t="shared" si="13"/>
        <v>0</v>
      </c>
      <c r="AC77" s="205">
        <f t="shared" si="14"/>
        <v>0</v>
      </c>
      <c r="AD77" s="210">
        <f t="shared" si="15"/>
        <v>2.7194444444394321</v>
      </c>
      <c r="AE77" s="210">
        <f t="shared" si="16"/>
        <v>2.7194444444394321</v>
      </c>
      <c r="AF77" s="210">
        <f t="shared" si="17"/>
        <v>0</v>
      </c>
      <c r="AG77" s="210">
        <f t="shared" si="18"/>
        <v>0</v>
      </c>
    </row>
    <row r="78" spans="2:33" ht="15" customHeight="1" x14ac:dyDescent="0.3">
      <c r="B78" s="196" t="s">
        <v>7</v>
      </c>
      <c r="C78" s="197" t="s">
        <v>13</v>
      </c>
      <c r="D78" s="198" t="str">
        <f t="shared" si="0"/>
        <v>C</v>
      </c>
      <c r="E78" s="199">
        <v>43777.017361111109</v>
      </c>
      <c r="F78" s="200" t="s">
        <v>117</v>
      </c>
      <c r="G78" s="201">
        <v>1.10466</v>
      </c>
      <c r="H78" s="201">
        <v>1.1091899999999999</v>
      </c>
      <c r="I78" s="202">
        <f t="shared" si="1"/>
        <v>4.529999999999923E-3</v>
      </c>
      <c r="J78" s="201">
        <v>1.07568</v>
      </c>
      <c r="K78" s="199">
        <v>43783.943055555559</v>
      </c>
      <c r="L78" s="201">
        <v>1.1027100000000001</v>
      </c>
      <c r="M78" s="203">
        <f t="shared" si="2"/>
        <v>1.9E-3</v>
      </c>
      <c r="N78" s="204">
        <f t="shared" si="3"/>
        <v>0.42</v>
      </c>
      <c r="O78" s="205">
        <f t="shared" si="4"/>
        <v>0</v>
      </c>
      <c r="P78" s="206">
        <f t="shared" si="5"/>
        <v>0.42</v>
      </c>
      <c r="Q78" s="206">
        <f t="shared" si="6"/>
        <v>0</v>
      </c>
      <c r="R7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305700</v>
      </c>
      <c r="T7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306790</v>
      </c>
      <c r="U78" s="208">
        <f ca="1">IF(Tabla33610673[[#This Row],[Equity]]&lt;Tabla33610673[[#This Row],[Equity Peak]],(Tabla33610673[[#This Row],[Equity Peak]]-Tabla33610673[[#This Row],[Equity]])/Tabla33610673[[#This Row],[Equity Peak]],"")</f>
        <v>3.5529189347762312E-3</v>
      </c>
      <c r="V78" s="209">
        <f t="shared" si="7"/>
        <v>0.42</v>
      </c>
      <c r="W78" s="209">
        <f t="shared" si="8"/>
        <v>0</v>
      </c>
      <c r="X78" s="209">
        <f t="shared" si="9"/>
        <v>0</v>
      </c>
      <c r="Y78" s="209">
        <f t="shared" si="10"/>
        <v>0</v>
      </c>
      <c r="Z78" s="209">
        <f t="shared" si="11"/>
        <v>0</v>
      </c>
      <c r="AA78" s="205">
        <f t="shared" si="12"/>
        <v>0</v>
      </c>
      <c r="AB78" s="209">
        <f t="shared" si="13"/>
        <v>0</v>
      </c>
      <c r="AC78" s="205">
        <f t="shared" si="14"/>
        <v>0</v>
      </c>
      <c r="AD78" s="210">
        <f t="shared" si="15"/>
        <v>6.9256944444496185</v>
      </c>
      <c r="AE78" s="210">
        <f t="shared" si="16"/>
        <v>6.9256944444496185</v>
      </c>
      <c r="AF78" s="210">
        <f t="shared" si="17"/>
        <v>0</v>
      </c>
      <c r="AG78" s="210">
        <f t="shared" si="18"/>
        <v>0</v>
      </c>
    </row>
    <row r="79" spans="2:33" ht="15" customHeight="1" x14ac:dyDescent="0.3">
      <c r="B79" s="196" t="s">
        <v>5</v>
      </c>
      <c r="C79" s="197" t="s">
        <v>13</v>
      </c>
      <c r="D79" s="198" t="str">
        <f t="shared" si="0"/>
        <v>C</v>
      </c>
      <c r="E79" s="199">
        <v>43782.5</v>
      </c>
      <c r="F79" s="200" t="s">
        <v>94</v>
      </c>
      <c r="G79" s="201">
        <v>7304.74</v>
      </c>
      <c r="H79" s="201">
        <v>7364.62</v>
      </c>
      <c r="I79" s="202">
        <f t="shared" si="1"/>
        <v>59.880000000000109</v>
      </c>
      <c r="J79" s="201">
        <v>7005.33</v>
      </c>
      <c r="K79" s="199">
        <v>43782.746527777781</v>
      </c>
      <c r="L79" s="201">
        <v>7349.35</v>
      </c>
      <c r="M79" s="203">
        <f t="shared" si="2"/>
        <v>-44.61</v>
      </c>
      <c r="N79" s="204">
        <f t="shared" si="3"/>
        <v>-0.74</v>
      </c>
      <c r="O79" s="205">
        <f t="shared" si="4"/>
        <v>0</v>
      </c>
      <c r="P79" s="206">
        <f t="shared" si="5"/>
        <v>0</v>
      </c>
      <c r="Q79" s="206">
        <f t="shared" si="6"/>
        <v>-0.74</v>
      </c>
      <c r="R7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7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305280</v>
      </c>
      <c r="T7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306790</v>
      </c>
      <c r="U79" s="208">
        <f ca="1">IF(Tabla33610673[[#This Row],[Equity]]&lt;Tabla33610673[[#This Row],[Equity Peak]],(Tabla33610673[[#This Row],[Equity Peak]]-Tabla33610673[[#This Row],[Equity]])/Tabla33610673[[#This Row],[Equity Peak]],"")</f>
        <v>4.9219335701945954E-3</v>
      </c>
      <c r="V79" s="209">
        <f t="shared" si="7"/>
        <v>0</v>
      </c>
      <c r="W79" s="209">
        <f t="shared" si="8"/>
        <v>0</v>
      </c>
      <c r="X79" s="209">
        <f t="shared" si="9"/>
        <v>0</v>
      </c>
      <c r="Y79" s="209">
        <f t="shared" si="10"/>
        <v>0</v>
      </c>
      <c r="Z79" s="209">
        <f t="shared" si="11"/>
        <v>-0.74</v>
      </c>
      <c r="AA79" s="205">
        <f t="shared" si="12"/>
        <v>0</v>
      </c>
      <c r="AB79" s="209">
        <f t="shared" si="13"/>
        <v>0</v>
      </c>
      <c r="AC79" s="205">
        <f t="shared" si="14"/>
        <v>0</v>
      </c>
      <c r="AD79" s="210">
        <f t="shared" si="15"/>
        <v>0.24652777778101154</v>
      </c>
      <c r="AE79" s="210">
        <f t="shared" si="16"/>
        <v>0</v>
      </c>
      <c r="AF79" s="210">
        <f t="shared" si="17"/>
        <v>0.24652777778101154</v>
      </c>
      <c r="AG79" s="210">
        <f t="shared" si="18"/>
        <v>0</v>
      </c>
    </row>
    <row r="80" spans="2:33" ht="15" customHeight="1" x14ac:dyDescent="0.3">
      <c r="B80" s="196" t="s">
        <v>5</v>
      </c>
      <c r="C80" s="197" t="s">
        <v>15</v>
      </c>
      <c r="D80" s="198" t="str">
        <f t="shared" si="0"/>
        <v>C</v>
      </c>
      <c r="E80" s="199">
        <v>43781.666666666664</v>
      </c>
      <c r="F80" s="200" t="s">
        <v>94</v>
      </c>
      <c r="G80" s="201">
        <v>7370.21</v>
      </c>
      <c r="H80" s="201">
        <v>7313.13</v>
      </c>
      <c r="I80" s="202">
        <f t="shared" si="1"/>
        <v>57.079999999999927</v>
      </c>
      <c r="J80" s="201">
        <v>7655.62</v>
      </c>
      <c r="K80" s="199">
        <v>43782.408333333333</v>
      </c>
      <c r="L80" s="201">
        <v>7326</v>
      </c>
      <c r="M80" s="203">
        <f t="shared" si="2"/>
        <v>-44.21</v>
      </c>
      <c r="N80" s="204">
        <f t="shared" si="3"/>
        <v>-0.77</v>
      </c>
      <c r="O80" s="205">
        <f t="shared" si="4"/>
        <v>0</v>
      </c>
      <c r="P80" s="206">
        <f t="shared" si="5"/>
        <v>0</v>
      </c>
      <c r="Q80" s="206">
        <f t="shared" si="6"/>
        <v>-0.77</v>
      </c>
      <c r="R8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306020</v>
      </c>
      <c r="T8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306790</v>
      </c>
      <c r="U80" s="208">
        <f ca="1">IF(Tabla33610673[[#This Row],[Equity]]&lt;Tabla33610673[[#This Row],[Equity Peak]],(Tabla33610673[[#This Row],[Equity Peak]]-Tabla33610673[[#This Row],[Equity]])/Tabla33610673[[#This Row],[Equity Peak]],"")</f>
        <v>2.5098601649336679E-3</v>
      </c>
      <c r="V80" s="209">
        <f t="shared" si="7"/>
        <v>0</v>
      </c>
      <c r="W80" s="209">
        <f t="shared" si="8"/>
        <v>0</v>
      </c>
      <c r="X80" s="209">
        <f t="shared" si="9"/>
        <v>0</v>
      </c>
      <c r="Y80" s="209">
        <f t="shared" si="10"/>
        <v>0</v>
      </c>
      <c r="Z80" s="209">
        <f t="shared" si="11"/>
        <v>-0.77</v>
      </c>
      <c r="AA80" s="205">
        <f t="shared" si="12"/>
        <v>0</v>
      </c>
      <c r="AB80" s="209">
        <f t="shared" si="13"/>
        <v>0</v>
      </c>
      <c r="AC80" s="205">
        <f t="shared" si="14"/>
        <v>0</v>
      </c>
      <c r="AD80" s="210">
        <f t="shared" si="15"/>
        <v>0.74166666666860692</v>
      </c>
      <c r="AE80" s="210">
        <f t="shared" si="16"/>
        <v>0</v>
      </c>
      <c r="AF80" s="210">
        <f t="shared" si="17"/>
        <v>0.74166666666860692</v>
      </c>
      <c r="AG80" s="210">
        <f t="shared" si="18"/>
        <v>0</v>
      </c>
    </row>
    <row r="81" spans="2:33" ht="15" customHeight="1" x14ac:dyDescent="0.3">
      <c r="B81" s="196" t="s">
        <v>19</v>
      </c>
      <c r="C81" s="197" t="s">
        <v>13</v>
      </c>
      <c r="D81" s="198" t="str">
        <f t="shared" ref="D81:D144" si="19">IF(E81&lt;&gt;"",IF(K81&lt;&gt;"","C","O"),"")</f>
        <v>C</v>
      </c>
      <c r="E81" s="199">
        <v>43775.875</v>
      </c>
      <c r="F81" s="200" t="s">
        <v>89</v>
      </c>
      <c r="G81" s="201">
        <v>17.594999999999999</v>
      </c>
      <c r="H81" s="201">
        <v>17.885999999999999</v>
      </c>
      <c r="I81" s="202">
        <f t="shared" ref="I81:I144" si="20">ABS(G81-H81)</f>
        <v>0.29100000000000037</v>
      </c>
      <c r="J81" s="201">
        <v>16.196000000000002</v>
      </c>
      <c r="K81" s="199">
        <v>43782.288194444445</v>
      </c>
      <c r="L81" s="201">
        <v>16.943999999999999</v>
      </c>
      <c r="M81" s="203">
        <f t="shared" ref="M81:M144" si="21">ROUND(IF(C81="L",(L81-G81),(G81-L81)),4)</f>
        <v>0.65100000000000002</v>
      </c>
      <c r="N81" s="204">
        <f t="shared" ref="N81:N144" si="22">IFERROR(ROUND((M81/I81),2),"")</f>
        <v>2.2400000000000002</v>
      </c>
      <c r="O81" s="205">
        <f t="shared" ref="O81:O144" si="23">IF(D81="O",IF(N81&lt;0,N81,0),0)</f>
        <v>0</v>
      </c>
      <c r="P81" s="206">
        <f t="shared" ref="P81:P144" si="24">IF(N81&gt;= 0,N81,0)</f>
        <v>2.2400000000000002</v>
      </c>
      <c r="Q81" s="206">
        <f t="shared" ref="Q81:Q144" si="25">IF(N81&lt;0,N81,0)</f>
        <v>0</v>
      </c>
      <c r="R8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306790</v>
      </c>
      <c r="T8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306790</v>
      </c>
      <c r="U81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81" s="209">
        <f t="shared" ref="V81:V144" si="26">IF(B81="FX",N81,0)</f>
        <v>0</v>
      </c>
      <c r="W81" s="209">
        <f t="shared" ref="W81:W144" si="27">IF(D81="O",IF(V81&lt;0,V81,0),0)</f>
        <v>0</v>
      </c>
      <c r="X81" s="209">
        <f t="shared" ref="X81:X144" si="28">IF(B81="COM",N81,0)</f>
        <v>2.2400000000000002</v>
      </c>
      <c r="Y81" s="209">
        <f t="shared" ref="Y81:Y144" si="29">IF(D81="O",IF(X81&lt;0,X81,0),0)</f>
        <v>0</v>
      </c>
      <c r="Z81" s="209">
        <f t="shared" ref="Z81:Z144" si="30">IF(B81="IND",N81,0)</f>
        <v>0</v>
      </c>
      <c r="AA81" s="205">
        <f t="shared" ref="AA81:AA144" si="31">IF(D81="O",IF(Z81&lt;0,Z81,0),0)</f>
        <v>0</v>
      </c>
      <c r="AB81" s="209">
        <f t="shared" ref="AB81:AB144" si="32">IF(B81="CRYPTO",N81,0)</f>
        <v>0</v>
      </c>
      <c r="AC81" s="205">
        <f t="shared" ref="AC81:AC144" si="33">IF(D81="O",IF(AB81&lt;0,AB81,0),0)</f>
        <v>0</v>
      </c>
      <c r="AD81" s="210">
        <f t="shared" ref="AD81:AD144" si="34">IF(K81&lt;&gt;"",K81-E81,0)</f>
        <v>6.4131944444452529</v>
      </c>
      <c r="AE81" s="210">
        <f t="shared" ref="AE81:AE144" si="35">IF(N81&gt;0,AD81,0)</f>
        <v>6.4131944444452529</v>
      </c>
      <c r="AF81" s="210">
        <f t="shared" ref="AF81:AF144" si="36">IF(N81&lt;0,AD81,0)</f>
        <v>0</v>
      </c>
      <c r="AG81" s="210">
        <f t="shared" ref="AG81:AG144" si="37">IF(N81=0,AD81,0)</f>
        <v>0</v>
      </c>
    </row>
    <row r="82" spans="2:33" ht="15" customHeight="1" x14ac:dyDescent="0.3">
      <c r="B82" s="196" t="s">
        <v>7</v>
      </c>
      <c r="C82" s="197" t="s">
        <v>15</v>
      </c>
      <c r="D82" s="198" t="str">
        <f t="shared" si="19"/>
        <v>C</v>
      </c>
      <c r="E82" s="199">
        <v>43781.166666666664</v>
      </c>
      <c r="F82" s="200" t="s">
        <v>118</v>
      </c>
      <c r="G82" s="201">
        <v>120.375</v>
      </c>
      <c r="H82" s="201">
        <v>119.886</v>
      </c>
      <c r="I82" s="202">
        <f t="shared" si="20"/>
        <v>0.48900000000000432</v>
      </c>
      <c r="J82" s="201">
        <v>122.33199999999999</v>
      </c>
      <c r="K82" s="199">
        <v>43781.833333333336</v>
      </c>
      <c r="L82" s="201">
        <v>120.11499999999999</v>
      </c>
      <c r="M82" s="203">
        <f t="shared" si="21"/>
        <v>-0.26</v>
      </c>
      <c r="N82" s="204">
        <f t="shared" si="22"/>
        <v>-0.53</v>
      </c>
      <c r="O82" s="205">
        <f t="shared" si="23"/>
        <v>0</v>
      </c>
      <c r="P82" s="206">
        <f t="shared" si="24"/>
        <v>0</v>
      </c>
      <c r="Q82" s="206">
        <f t="shared" si="25"/>
        <v>-0.53</v>
      </c>
      <c r="R8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304550</v>
      </c>
      <c r="T8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306150</v>
      </c>
      <c r="U82" s="208">
        <f ca="1">IF(Tabla33610673[[#This Row],[Equity]]&lt;Tabla33610673[[#This Row],[Equity Peak]],(Tabla33610673[[#This Row],[Equity Peak]]-Tabla33610673[[#This Row],[Equity]])/Tabla33610673[[#This Row],[Equity Peak]],"")</f>
        <v>5.2261963089988567E-3</v>
      </c>
      <c r="V82" s="209">
        <f t="shared" si="26"/>
        <v>-0.53</v>
      </c>
      <c r="W82" s="209">
        <f t="shared" si="27"/>
        <v>0</v>
      </c>
      <c r="X82" s="209">
        <f t="shared" si="28"/>
        <v>0</v>
      </c>
      <c r="Y82" s="209">
        <f t="shared" si="29"/>
        <v>0</v>
      </c>
      <c r="Z82" s="209">
        <f t="shared" si="30"/>
        <v>0</v>
      </c>
      <c r="AA82" s="205">
        <f t="shared" si="31"/>
        <v>0</v>
      </c>
      <c r="AB82" s="209">
        <f t="shared" si="32"/>
        <v>0</v>
      </c>
      <c r="AC82" s="205">
        <f t="shared" si="33"/>
        <v>0</v>
      </c>
      <c r="AD82" s="210">
        <f t="shared" si="34"/>
        <v>0.66666666667151731</v>
      </c>
      <c r="AE82" s="210">
        <f t="shared" si="35"/>
        <v>0</v>
      </c>
      <c r="AF82" s="210">
        <f t="shared" si="36"/>
        <v>0.66666666667151731</v>
      </c>
      <c r="AG82" s="210">
        <f t="shared" si="37"/>
        <v>0</v>
      </c>
    </row>
    <row r="83" spans="2:33" ht="15" customHeight="1" x14ac:dyDescent="0.3">
      <c r="B83" s="196" t="s">
        <v>7</v>
      </c>
      <c r="C83" s="197" t="s">
        <v>13</v>
      </c>
      <c r="D83" s="198" t="str">
        <f t="shared" si="19"/>
        <v>C</v>
      </c>
      <c r="E83" s="199">
        <v>43780.5</v>
      </c>
      <c r="F83" s="200" t="s">
        <v>118</v>
      </c>
      <c r="G83" s="201">
        <v>120.184</v>
      </c>
      <c r="H83" s="201">
        <v>120.821</v>
      </c>
      <c r="I83" s="202">
        <f t="shared" si="20"/>
        <v>0.63700000000000045</v>
      </c>
      <c r="J83" s="201">
        <v>117.63800000000001</v>
      </c>
      <c r="K83" s="199">
        <v>43781.166666666664</v>
      </c>
      <c r="L83" s="201">
        <v>120.375</v>
      </c>
      <c r="M83" s="203">
        <f t="shared" si="21"/>
        <v>-0.191</v>
      </c>
      <c r="N83" s="204">
        <f t="shared" si="22"/>
        <v>-0.3</v>
      </c>
      <c r="O83" s="205">
        <f t="shared" si="23"/>
        <v>0</v>
      </c>
      <c r="P83" s="206">
        <f t="shared" si="24"/>
        <v>0</v>
      </c>
      <c r="Q83" s="206">
        <f t="shared" si="25"/>
        <v>-0.3</v>
      </c>
      <c r="R8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305080</v>
      </c>
      <c r="T8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306150</v>
      </c>
      <c r="U83" s="208">
        <f ca="1">IF(Tabla33610673[[#This Row],[Equity]]&lt;Tabla33610673[[#This Row],[Equity Peak]],(Tabla33610673[[#This Row],[Equity Peak]]-Tabla33610673[[#This Row],[Equity]])/Tabla33610673[[#This Row],[Equity Peak]],"")</f>
        <v>3.4950187816429855E-3</v>
      </c>
      <c r="V83" s="209">
        <f t="shared" si="26"/>
        <v>-0.3</v>
      </c>
      <c r="W83" s="209">
        <f t="shared" si="27"/>
        <v>0</v>
      </c>
      <c r="X83" s="209">
        <f t="shared" si="28"/>
        <v>0</v>
      </c>
      <c r="Y83" s="209">
        <f t="shared" si="29"/>
        <v>0</v>
      </c>
      <c r="Z83" s="209">
        <f t="shared" si="30"/>
        <v>0</v>
      </c>
      <c r="AA83" s="205">
        <f t="shared" si="31"/>
        <v>0</v>
      </c>
      <c r="AB83" s="209">
        <f t="shared" si="32"/>
        <v>0</v>
      </c>
      <c r="AC83" s="205">
        <f t="shared" si="33"/>
        <v>0</v>
      </c>
      <c r="AD83" s="210">
        <f t="shared" si="34"/>
        <v>0.66666666666424135</v>
      </c>
      <c r="AE83" s="210">
        <f t="shared" si="35"/>
        <v>0</v>
      </c>
      <c r="AF83" s="210">
        <f t="shared" si="36"/>
        <v>0.66666666666424135</v>
      </c>
      <c r="AG83" s="210">
        <f t="shared" si="37"/>
        <v>0</v>
      </c>
    </row>
    <row r="84" spans="2:33" ht="15" customHeight="1" x14ac:dyDescent="0.3">
      <c r="B84" s="196" t="s">
        <v>5</v>
      </c>
      <c r="C84" s="197" t="s">
        <v>13</v>
      </c>
      <c r="D84" s="198" t="str">
        <f t="shared" si="19"/>
        <v>C</v>
      </c>
      <c r="E84" s="199">
        <v>43780.541666666664</v>
      </c>
      <c r="F84" s="200" t="s">
        <v>94</v>
      </c>
      <c r="G84" s="201">
        <v>7277.36</v>
      </c>
      <c r="H84" s="201">
        <v>7331.37</v>
      </c>
      <c r="I84" s="202">
        <f t="shared" si="20"/>
        <v>54.010000000000218</v>
      </c>
      <c r="J84" s="201">
        <v>7007.32</v>
      </c>
      <c r="K84" s="199">
        <v>43780.720833333333</v>
      </c>
      <c r="L84" s="201">
        <v>7317.67</v>
      </c>
      <c r="M84" s="203">
        <f t="shared" si="21"/>
        <v>-40.31</v>
      </c>
      <c r="N84" s="204">
        <f t="shared" si="22"/>
        <v>-0.75</v>
      </c>
      <c r="O84" s="205">
        <f t="shared" si="23"/>
        <v>0</v>
      </c>
      <c r="P84" s="206">
        <f t="shared" si="24"/>
        <v>0</v>
      </c>
      <c r="Q84" s="206">
        <f t="shared" si="25"/>
        <v>-0.75</v>
      </c>
      <c r="R8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305380</v>
      </c>
      <c r="T8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306150</v>
      </c>
      <c r="U84" s="208">
        <f ca="1">IF(Tabla33610673[[#This Row],[Equity]]&lt;Tabla33610673[[#This Row],[Equity Peak]],(Tabla33610673[[#This Row],[Equity Peak]]-Tabla33610673[[#This Row],[Equity]])/Tabla33610673[[#This Row],[Equity Peak]],"")</f>
        <v>2.5151069737056999E-3</v>
      </c>
      <c r="V84" s="209">
        <f t="shared" si="26"/>
        <v>0</v>
      </c>
      <c r="W84" s="209">
        <f t="shared" si="27"/>
        <v>0</v>
      </c>
      <c r="X84" s="209">
        <f t="shared" si="28"/>
        <v>0</v>
      </c>
      <c r="Y84" s="209">
        <f t="shared" si="29"/>
        <v>0</v>
      </c>
      <c r="Z84" s="209">
        <f t="shared" si="30"/>
        <v>-0.75</v>
      </c>
      <c r="AA84" s="205">
        <f t="shared" si="31"/>
        <v>0</v>
      </c>
      <c r="AB84" s="209">
        <f t="shared" si="32"/>
        <v>0</v>
      </c>
      <c r="AC84" s="205">
        <f t="shared" si="33"/>
        <v>0</v>
      </c>
      <c r="AD84" s="210">
        <f t="shared" si="34"/>
        <v>0.17916666666860692</v>
      </c>
      <c r="AE84" s="210">
        <f t="shared" si="35"/>
        <v>0</v>
      </c>
      <c r="AF84" s="210">
        <f t="shared" si="36"/>
        <v>0.17916666666860692</v>
      </c>
      <c r="AG84" s="210">
        <f t="shared" si="37"/>
        <v>0</v>
      </c>
    </row>
    <row r="85" spans="2:33" ht="15" customHeight="1" x14ac:dyDescent="0.3">
      <c r="B85" s="196" t="s">
        <v>19</v>
      </c>
      <c r="C85" s="197" t="s">
        <v>15</v>
      </c>
      <c r="D85" s="198" t="str">
        <f t="shared" si="19"/>
        <v>C</v>
      </c>
      <c r="E85" s="199">
        <v>43770.958333333336</v>
      </c>
      <c r="F85" s="200" t="s">
        <v>108</v>
      </c>
      <c r="G85" s="201">
        <v>56.103000000000002</v>
      </c>
      <c r="H85" s="201">
        <v>54.482999999999997</v>
      </c>
      <c r="I85" s="202">
        <f t="shared" si="20"/>
        <v>1.6200000000000045</v>
      </c>
      <c r="J85" s="201">
        <v>75.540000000000006</v>
      </c>
      <c r="K85" s="199">
        <v>43777.568749999999</v>
      </c>
      <c r="L85" s="201">
        <v>56.067</v>
      </c>
      <c r="M85" s="203">
        <f t="shared" si="21"/>
        <v>-3.5999999999999997E-2</v>
      </c>
      <c r="N85" s="204">
        <f t="shared" si="22"/>
        <v>-0.02</v>
      </c>
      <c r="O85" s="205">
        <f t="shared" si="23"/>
        <v>0</v>
      </c>
      <c r="P85" s="206">
        <f t="shared" si="24"/>
        <v>0</v>
      </c>
      <c r="Q85" s="206">
        <f t="shared" si="25"/>
        <v>-0.02</v>
      </c>
      <c r="R8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306130</v>
      </c>
      <c r="T8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306150</v>
      </c>
      <c r="U85" s="208">
        <f ca="1">IF(Tabla33610673[[#This Row],[Equity]]&lt;Tabla33610673[[#This Row],[Equity Peak]],(Tabla33610673[[#This Row],[Equity Peak]]-Tabla33610673[[#This Row],[Equity]])/Tabla33610673[[#This Row],[Equity Peak]],"")</f>
        <v>6.5327453862485714E-5</v>
      </c>
      <c r="V85" s="209">
        <f t="shared" si="26"/>
        <v>0</v>
      </c>
      <c r="W85" s="209">
        <f t="shared" si="27"/>
        <v>0</v>
      </c>
      <c r="X85" s="209">
        <f t="shared" si="28"/>
        <v>-0.02</v>
      </c>
      <c r="Y85" s="209">
        <f t="shared" si="29"/>
        <v>0</v>
      </c>
      <c r="Z85" s="209">
        <f t="shared" si="30"/>
        <v>0</v>
      </c>
      <c r="AA85" s="205">
        <f t="shared" si="31"/>
        <v>0</v>
      </c>
      <c r="AB85" s="209">
        <f t="shared" si="32"/>
        <v>0</v>
      </c>
      <c r="AC85" s="205">
        <f t="shared" si="33"/>
        <v>0</v>
      </c>
      <c r="AD85" s="210">
        <f t="shared" si="34"/>
        <v>6.6104166666627862</v>
      </c>
      <c r="AE85" s="210">
        <f t="shared" si="35"/>
        <v>0</v>
      </c>
      <c r="AF85" s="210">
        <f t="shared" si="36"/>
        <v>6.6104166666627862</v>
      </c>
      <c r="AG85" s="210">
        <f t="shared" si="37"/>
        <v>0</v>
      </c>
    </row>
    <row r="86" spans="2:33" ht="15" customHeight="1" x14ac:dyDescent="0.3">
      <c r="B86" s="196" t="s">
        <v>7</v>
      </c>
      <c r="C86" s="197" t="s">
        <v>15</v>
      </c>
      <c r="D86" s="198" t="str">
        <f t="shared" si="19"/>
        <v>C</v>
      </c>
      <c r="E86" s="199">
        <v>43774.333333333336</v>
      </c>
      <c r="F86" s="200" t="s">
        <v>113</v>
      </c>
      <c r="G86" s="201">
        <v>108.77200000000001</v>
      </c>
      <c r="H86" s="201">
        <v>108.304</v>
      </c>
      <c r="I86" s="202">
        <f t="shared" si="20"/>
        <v>0.46800000000000352</v>
      </c>
      <c r="J86" s="201">
        <v>110.956</v>
      </c>
      <c r="K86" s="199">
        <v>43776.103472222225</v>
      </c>
      <c r="L86" s="201">
        <v>108.81399999999999</v>
      </c>
      <c r="M86" s="203">
        <f t="shared" si="21"/>
        <v>4.2000000000000003E-2</v>
      </c>
      <c r="N86" s="204">
        <f t="shared" si="22"/>
        <v>0.09</v>
      </c>
      <c r="O86" s="205">
        <f t="shared" si="23"/>
        <v>0</v>
      </c>
      <c r="P86" s="206">
        <f t="shared" si="24"/>
        <v>0.09</v>
      </c>
      <c r="Q86" s="206">
        <f t="shared" si="25"/>
        <v>0</v>
      </c>
      <c r="R8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306150</v>
      </c>
      <c r="T8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306150</v>
      </c>
      <c r="U86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86" s="209">
        <f t="shared" si="26"/>
        <v>0.09</v>
      </c>
      <c r="W86" s="209">
        <f t="shared" si="27"/>
        <v>0</v>
      </c>
      <c r="X86" s="209">
        <f t="shared" si="28"/>
        <v>0</v>
      </c>
      <c r="Y86" s="209">
        <f t="shared" si="29"/>
        <v>0</v>
      </c>
      <c r="Z86" s="209">
        <f t="shared" si="30"/>
        <v>0</v>
      </c>
      <c r="AA86" s="205">
        <f t="shared" si="31"/>
        <v>0</v>
      </c>
      <c r="AB86" s="209">
        <f t="shared" si="32"/>
        <v>0</v>
      </c>
      <c r="AC86" s="205">
        <f t="shared" si="33"/>
        <v>0</v>
      </c>
      <c r="AD86" s="210">
        <f t="shared" si="34"/>
        <v>1.7701388888890506</v>
      </c>
      <c r="AE86" s="210">
        <f t="shared" si="35"/>
        <v>1.7701388888890506</v>
      </c>
      <c r="AF86" s="210">
        <f t="shared" si="36"/>
        <v>0</v>
      </c>
      <c r="AG86" s="210">
        <f t="shared" si="37"/>
        <v>0</v>
      </c>
    </row>
    <row r="87" spans="2:33" ht="15" customHeight="1" x14ac:dyDescent="0.3">
      <c r="B87" s="196" t="s">
        <v>19</v>
      </c>
      <c r="C87" s="197" t="s">
        <v>15</v>
      </c>
      <c r="D87" s="198" t="str">
        <f t="shared" si="19"/>
        <v>C</v>
      </c>
      <c r="E87" s="199">
        <v>43769.208333333336</v>
      </c>
      <c r="F87" s="200" t="s">
        <v>88</v>
      </c>
      <c r="G87" s="201">
        <v>1499.11</v>
      </c>
      <c r="H87" s="201">
        <v>1486.04</v>
      </c>
      <c r="I87" s="202">
        <f t="shared" si="20"/>
        <v>13.069999999999936</v>
      </c>
      <c r="J87" s="201">
        <v>1582.74</v>
      </c>
      <c r="K87" s="199">
        <v>43774.617361111108</v>
      </c>
      <c r="L87" s="201">
        <v>1498.62</v>
      </c>
      <c r="M87" s="203">
        <f t="shared" si="21"/>
        <v>-0.49</v>
      </c>
      <c r="N87" s="204">
        <f t="shared" si="22"/>
        <v>-0.04</v>
      </c>
      <c r="O87" s="205">
        <f t="shared" si="23"/>
        <v>0</v>
      </c>
      <c r="P87" s="206">
        <f t="shared" si="24"/>
        <v>0</v>
      </c>
      <c r="Q87" s="206">
        <f t="shared" si="25"/>
        <v>-0.04</v>
      </c>
      <c r="R8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306060</v>
      </c>
      <c r="T8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306100</v>
      </c>
      <c r="U87" s="208">
        <f ca="1">IF(Tabla33610673[[#This Row],[Equity]]&lt;Tabla33610673[[#This Row],[Equity Peak]],(Tabla33610673[[#This Row],[Equity Peak]]-Tabla33610673[[#This Row],[Equity]])/Tabla33610673[[#This Row],[Equity Peak]],"")</f>
        <v>1.3067624959163673E-4</v>
      </c>
      <c r="V87" s="209">
        <f t="shared" si="26"/>
        <v>0</v>
      </c>
      <c r="W87" s="209">
        <f t="shared" si="27"/>
        <v>0</v>
      </c>
      <c r="X87" s="209">
        <f t="shared" si="28"/>
        <v>-0.04</v>
      </c>
      <c r="Y87" s="209">
        <f t="shared" si="29"/>
        <v>0</v>
      </c>
      <c r="Z87" s="209">
        <f t="shared" si="30"/>
        <v>0</v>
      </c>
      <c r="AA87" s="205">
        <f t="shared" si="31"/>
        <v>0</v>
      </c>
      <c r="AB87" s="209">
        <f t="shared" si="32"/>
        <v>0</v>
      </c>
      <c r="AC87" s="205">
        <f t="shared" si="33"/>
        <v>0</v>
      </c>
      <c r="AD87" s="210">
        <f t="shared" si="34"/>
        <v>5.4090277777722804</v>
      </c>
      <c r="AE87" s="210">
        <f t="shared" si="35"/>
        <v>0</v>
      </c>
      <c r="AF87" s="210">
        <f t="shared" si="36"/>
        <v>5.4090277777722804</v>
      </c>
      <c r="AG87" s="210">
        <f t="shared" si="37"/>
        <v>0</v>
      </c>
    </row>
    <row r="88" spans="2:33" ht="15" customHeight="1" x14ac:dyDescent="0.3">
      <c r="B88" s="196" t="s">
        <v>5</v>
      </c>
      <c r="C88" s="197" t="s">
        <v>15</v>
      </c>
      <c r="D88" s="198" t="str">
        <f t="shared" si="19"/>
        <v>C</v>
      </c>
      <c r="E88" s="199">
        <v>43749.5</v>
      </c>
      <c r="F88" s="200" t="s">
        <v>95</v>
      </c>
      <c r="G88" s="201">
        <v>26749.200000000001</v>
      </c>
      <c r="H88" s="201">
        <v>26551.97</v>
      </c>
      <c r="I88" s="202">
        <f t="shared" si="20"/>
        <v>197.22999999999956</v>
      </c>
      <c r="J88" s="201">
        <v>27538.11</v>
      </c>
      <c r="K88" s="199">
        <v>43774.61041666667</v>
      </c>
      <c r="L88" s="201">
        <v>27538.11</v>
      </c>
      <c r="M88" s="203">
        <f t="shared" si="21"/>
        <v>788.91</v>
      </c>
      <c r="N88" s="204">
        <f t="shared" si="22"/>
        <v>4</v>
      </c>
      <c r="O88" s="205">
        <f t="shared" si="23"/>
        <v>0</v>
      </c>
      <c r="P88" s="206">
        <f t="shared" si="24"/>
        <v>4</v>
      </c>
      <c r="Q88" s="206">
        <f t="shared" si="25"/>
        <v>0</v>
      </c>
      <c r="R8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306100</v>
      </c>
      <c r="T8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306100</v>
      </c>
      <c r="U88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88" s="209">
        <f t="shared" si="26"/>
        <v>0</v>
      </c>
      <c r="W88" s="209">
        <f t="shared" si="27"/>
        <v>0</v>
      </c>
      <c r="X88" s="209">
        <f t="shared" si="28"/>
        <v>0</v>
      </c>
      <c r="Y88" s="209">
        <f t="shared" si="29"/>
        <v>0</v>
      </c>
      <c r="Z88" s="209">
        <f t="shared" si="30"/>
        <v>4</v>
      </c>
      <c r="AA88" s="205">
        <f t="shared" si="31"/>
        <v>0</v>
      </c>
      <c r="AB88" s="209">
        <f t="shared" si="32"/>
        <v>0</v>
      </c>
      <c r="AC88" s="205">
        <f t="shared" si="33"/>
        <v>0</v>
      </c>
      <c r="AD88" s="210">
        <f t="shared" si="34"/>
        <v>25.110416666670062</v>
      </c>
      <c r="AE88" s="210">
        <f t="shared" si="35"/>
        <v>25.110416666670062</v>
      </c>
      <c r="AF88" s="210">
        <f t="shared" si="36"/>
        <v>0</v>
      </c>
      <c r="AG88" s="210">
        <f t="shared" si="37"/>
        <v>0</v>
      </c>
    </row>
    <row r="89" spans="2:33" ht="15" customHeight="1" x14ac:dyDescent="0.3">
      <c r="B89" s="196" t="s">
        <v>19</v>
      </c>
      <c r="C89" s="197" t="s">
        <v>13</v>
      </c>
      <c r="D89" s="198" t="str">
        <f t="shared" si="19"/>
        <v>C</v>
      </c>
      <c r="E89" s="199">
        <v>43770.291666666664</v>
      </c>
      <c r="F89" s="200" t="s">
        <v>108</v>
      </c>
      <c r="G89" s="201">
        <v>54.378999999999998</v>
      </c>
      <c r="H89" s="201">
        <v>55.997</v>
      </c>
      <c r="I89" s="202">
        <f t="shared" si="20"/>
        <v>1.6180000000000021</v>
      </c>
      <c r="J89" s="201">
        <v>34.966000000000001</v>
      </c>
      <c r="K89" s="199">
        <v>43770.70416666667</v>
      </c>
      <c r="L89" s="201">
        <v>55.143000000000001</v>
      </c>
      <c r="M89" s="203">
        <f t="shared" si="21"/>
        <v>-0.76400000000000001</v>
      </c>
      <c r="N89" s="204">
        <f t="shared" si="22"/>
        <v>-0.47</v>
      </c>
      <c r="O89" s="205">
        <f t="shared" si="23"/>
        <v>0</v>
      </c>
      <c r="P89" s="206">
        <f t="shared" si="24"/>
        <v>0</v>
      </c>
      <c r="Q89" s="206">
        <f t="shared" si="25"/>
        <v>-0.47</v>
      </c>
      <c r="R8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8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302100</v>
      </c>
      <c r="T8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303590</v>
      </c>
      <c r="U89" s="208">
        <f ca="1">IF(Tabla33610673[[#This Row],[Equity]]&lt;Tabla33610673[[#This Row],[Equity Peak]],(Tabla33610673[[#This Row],[Equity Peak]]-Tabla33610673[[#This Row],[Equity]])/Tabla33610673[[#This Row],[Equity Peak]],"")</f>
        <v>4.9079350439737808E-3</v>
      </c>
      <c r="V89" s="209">
        <f t="shared" si="26"/>
        <v>0</v>
      </c>
      <c r="W89" s="209">
        <f t="shared" si="27"/>
        <v>0</v>
      </c>
      <c r="X89" s="209">
        <f t="shared" si="28"/>
        <v>-0.47</v>
      </c>
      <c r="Y89" s="209">
        <f t="shared" si="29"/>
        <v>0</v>
      </c>
      <c r="Z89" s="209">
        <f t="shared" si="30"/>
        <v>0</v>
      </c>
      <c r="AA89" s="205">
        <f t="shared" si="31"/>
        <v>0</v>
      </c>
      <c r="AB89" s="209">
        <f t="shared" si="32"/>
        <v>0</v>
      </c>
      <c r="AC89" s="205">
        <f t="shared" si="33"/>
        <v>0</v>
      </c>
      <c r="AD89" s="210">
        <f t="shared" si="34"/>
        <v>0.41250000000582077</v>
      </c>
      <c r="AE89" s="210">
        <f t="shared" si="35"/>
        <v>0</v>
      </c>
      <c r="AF89" s="210">
        <f t="shared" si="36"/>
        <v>0.41250000000582077</v>
      </c>
      <c r="AG89" s="210">
        <f t="shared" si="37"/>
        <v>0</v>
      </c>
    </row>
    <row r="90" spans="2:33" ht="15" customHeight="1" x14ac:dyDescent="0.3">
      <c r="B90" s="196" t="s">
        <v>19</v>
      </c>
      <c r="C90" s="197" t="s">
        <v>15</v>
      </c>
      <c r="D90" s="198" t="str">
        <f t="shared" si="19"/>
        <v>C</v>
      </c>
      <c r="E90" s="199">
        <v>43761.125</v>
      </c>
      <c r="F90" s="200" t="s">
        <v>108</v>
      </c>
      <c r="G90" s="201">
        <v>54.234000000000002</v>
      </c>
      <c r="H90" s="201">
        <v>52.603000000000002</v>
      </c>
      <c r="I90" s="202">
        <f t="shared" si="20"/>
        <v>1.6310000000000002</v>
      </c>
      <c r="J90" s="201">
        <v>73.801000000000002</v>
      </c>
      <c r="K90" s="199">
        <v>43769.701388888891</v>
      </c>
      <c r="L90" s="201">
        <v>54.219000000000001</v>
      </c>
      <c r="M90" s="203">
        <f t="shared" si="21"/>
        <v>-1.4999999999999999E-2</v>
      </c>
      <c r="N90" s="204">
        <f t="shared" si="22"/>
        <v>-0.01</v>
      </c>
      <c r="O90" s="205">
        <f t="shared" si="23"/>
        <v>0</v>
      </c>
      <c r="P90" s="206">
        <f t="shared" si="24"/>
        <v>0</v>
      </c>
      <c r="Q90" s="206">
        <f t="shared" si="25"/>
        <v>-0.01</v>
      </c>
      <c r="R9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9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302570</v>
      </c>
      <c r="T9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303590</v>
      </c>
      <c r="U90" s="208">
        <f ca="1">IF(Tabla33610673[[#This Row],[Equity]]&lt;Tabla33610673[[#This Row],[Equity Peak]],(Tabla33610673[[#This Row],[Equity Peak]]-Tabla33610673[[#This Row],[Equity]])/Tabla33610673[[#This Row],[Equity Peak]],"")</f>
        <v>3.3597944596330579E-3</v>
      </c>
      <c r="V90" s="209">
        <f t="shared" si="26"/>
        <v>0</v>
      </c>
      <c r="W90" s="209">
        <f t="shared" si="27"/>
        <v>0</v>
      </c>
      <c r="X90" s="209">
        <f t="shared" si="28"/>
        <v>-0.01</v>
      </c>
      <c r="Y90" s="209">
        <f t="shared" si="29"/>
        <v>0</v>
      </c>
      <c r="Z90" s="209">
        <f t="shared" si="30"/>
        <v>0</v>
      </c>
      <c r="AA90" s="205">
        <f t="shared" si="31"/>
        <v>0</v>
      </c>
      <c r="AB90" s="209">
        <f t="shared" si="32"/>
        <v>0</v>
      </c>
      <c r="AC90" s="205">
        <f t="shared" si="33"/>
        <v>0</v>
      </c>
      <c r="AD90" s="210">
        <f t="shared" si="34"/>
        <v>8.5763888888905058</v>
      </c>
      <c r="AE90" s="210">
        <f t="shared" si="35"/>
        <v>0</v>
      </c>
      <c r="AF90" s="210">
        <f t="shared" si="36"/>
        <v>8.5763888888905058</v>
      </c>
      <c r="AG90" s="210">
        <f t="shared" si="37"/>
        <v>0</v>
      </c>
    </row>
    <row r="91" spans="2:33" ht="15" customHeight="1" x14ac:dyDescent="0.3">
      <c r="B91" s="196" t="s">
        <v>7</v>
      </c>
      <c r="C91" s="197" t="s">
        <v>15</v>
      </c>
      <c r="D91" s="198" t="str">
        <f t="shared" si="19"/>
        <v>C</v>
      </c>
      <c r="E91" s="199">
        <v>43769.166666666664</v>
      </c>
      <c r="F91" s="200" t="s">
        <v>121</v>
      </c>
      <c r="G91" s="201">
        <v>0.69172999999999996</v>
      </c>
      <c r="H91" s="201">
        <v>0.68896000000000002</v>
      </c>
      <c r="I91" s="202">
        <f t="shared" si="20"/>
        <v>2.7699999999999392E-3</v>
      </c>
      <c r="J91" s="201">
        <v>0.70650999999999997</v>
      </c>
      <c r="K91" s="199">
        <v>43769.609027777777</v>
      </c>
      <c r="L91" s="201">
        <v>0.68896000000000002</v>
      </c>
      <c r="M91" s="203">
        <f t="shared" si="21"/>
        <v>-2.8E-3</v>
      </c>
      <c r="N91" s="204">
        <f t="shared" si="22"/>
        <v>-1.01</v>
      </c>
      <c r="O91" s="205">
        <f t="shared" si="23"/>
        <v>0</v>
      </c>
      <c r="P91" s="206">
        <f t="shared" si="24"/>
        <v>0</v>
      </c>
      <c r="Q91" s="206">
        <f t="shared" si="25"/>
        <v>-1.01</v>
      </c>
      <c r="R9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9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302580</v>
      </c>
      <c r="T9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303590</v>
      </c>
      <c r="U91" s="208">
        <f ca="1">IF(Tabla33610673[[#This Row],[Equity]]&lt;Tabla33610673[[#This Row],[Equity Peak]],(Tabla33610673[[#This Row],[Equity Peak]]-Tabla33610673[[#This Row],[Equity]])/Tabla33610673[[#This Row],[Equity Peak]],"")</f>
        <v>3.3268552982641062E-3</v>
      </c>
      <c r="V91" s="209">
        <f t="shared" si="26"/>
        <v>-1.01</v>
      </c>
      <c r="W91" s="209">
        <f t="shared" si="27"/>
        <v>0</v>
      </c>
      <c r="X91" s="209">
        <f t="shared" si="28"/>
        <v>0</v>
      </c>
      <c r="Y91" s="209">
        <f t="shared" si="29"/>
        <v>0</v>
      </c>
      <c r="Z91" s="209">
        <f t="shared" si="30"/>
        <v>0</v>
      </c>
      <c r="AA91" s="205">
        <f t="shared" si="31"/>
        <v>0</v>
      </c>
      <c r="AB91" s="209">
        <f t="shared" si="32"/>
        <v>0</v>
      </c>
      <c r="AC91" s="205">
        <f t="shared" si="33"/>
        <v>0</v>
      </c>
      <c r="AD91" s="210">
        <f t="shared" si="34"/>
        <v>0.44236111111240461</v>
      </c>
      <c r="AE91" s="210">
        <f t="shared" si="35"/>
        <v>0</v>
      </c>
      <c r="AF91" s="210">
        <f t="shared" si="36"/>
        <v>0.44236111111240461</v>
      </c>
      <c r="AG91" s="210">
        <f t="shared" si="37"/>
        <v>0</v>
      </c>
    </row>
    <row r="92" spans="2:33" ht="15" customHeight="1" x14ac:dyDescent="0.3">
      <c r="B92" s="196" t="s">
        <v>7</v>
      </c>
      <c r="C92" s="197" t="s">
        <v>13</v>
      </c>
      <c r="D92" s="198" t="str">
        <f t="shared" si="19"/>
        <v>C</v>
      </c>
      <c r="E92" s="199">
        <v>43763.833333333336</v>
      </c>
      <c r="F92" s="200" t="s">
        <v>120</v>
      </c>
      <c r="G92" s="201">
        <v>1.6234900000000001</v>
      </c>
      <c r="H92" s="201">
        <v>1.62798</v>
      </c>
      <c r="I92" s="202">
        <f t="shared" si="20"/>
        <v>4.489999999999883E-3</v>
      </c>
      <c r="J92" s="201">
        <v>1.57562</v>
      </c>
      <c r="K92" s="199">
        <v>43769.509722222225</v>
      </c>
      <c r="L92" s="201">
        <v>1.6187</v>
      </c>
      <c r="M92" s="203">
        <f t="shared" si="21"/>
        <v>4.7999999999999996E-3</v>
      </c>
      <c r="N92" s="204">
        <f t="shared" si="22"/>
        <v>1.07</v>
      </c>
      <c r="O92" s="205">
        <f t="shared" si="23"/>
        <v>0</v>
      </c>
      <c r="P92" s="206">
        <f t="shared" si="24"/>
        <v>1.07</v>
      </c>
      <c r="Q92" s="206">
        <f t="shared" si="25"/>
        <v>0</v>
      </c>
      <c r="R9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9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303590</v>
      </c>
      <c r="T9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303590</v>
      </c>
      <c r="U92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92" s="209">
        <f t="shared" si="26"/>
        <v>1.07</v>
      </c>
      <c r="W92" s="209">
        <f t="shared" si="27"/>
        <v>0</v>
      </c>
      <c r="X92" s="209">
        <f t="shared" si="28"/>
        <v>0</v>
      </c>
      <c r="Y92" s="209">
        <f t="shared" si="29"/>
        <v>0</v>
      </c>
      <c r="Z92" s="209">
        <f t="shared" si="30"/>
        <v>0</v>
      </c>
      <c r="AA92" s="205">
        <f t="shared" si="31"/>
        <v>0</v>
      </c>
      <c r="AB92" s="209">
        <f t="shared" si="32"/>
        <v>0</v>
      </c>
      <c r="AC92" s="205">
        <f t="shared" si="33"/>
        <v>0</v>
      </c>
      <c r="AD92" s="210">
        <f t="shared" si="34"/>
        <v>5.6763888888890506</v>
      </c>
      <c r="AE92" s="210">
        <f t="shared" si="35"/>
        <v>5.6763888888890506</v>
      </c>
      <c r="AF92" s="210">
        <f t="shared" si="36"/>
        <v>0</v>
      </c>
      <c r="AG92" s="210">
        <f t="shared" si="37"/>
        <v>0</v>
      </c>
    </row>
    <row r="93" spans="2:33" ht="15" customHeight="1" x14ac:dyDescent="0.3">
      <c r="B93" s="196" t="s">
        <v>19</v>
      </c>
      <c r="C93" s="197" t="s">
        <v>15</v>
      </c>
      <c r="D93" s="198" t="str">
        <f t="shared" si="19"/>
        <v>C</v>
      </c>
      <c r="E93" s="199">
        <v>43762.875</v>
      </c>
      <c r="F93" s="200" t="s">
        <v>89</v>
      </c>
      <c r="G93" s="201">
        <v>17.8</v>
      </c>
      <c r="H93" s="201">
        <v>17.491</v>
      </c>
      <c r="I93" s="202">
        <f t="shared" si="20"/>
        <v>0.30900000000000105</v>
      </c>
      <c r="J93" s="201">
        <v>19.283999999999999</v>
      </c>
      <c r="K93" s="199">
        <v>43766.652083333334</v>
      </c>
      <c r="L93" s="201">
        <v>17.78</v>
      </c>
      <c r="M93" s="203">
        <f t="shared" si="21"/>
        <v>-0.02</v>
      </c>
      <c r="N93" s="204">
        <f t="shared" si="22"/>
        <v>-0.06</v>
      </c>
      <c r="O93" s="205">
        <f t="shared" si="23"/>
        <v>0</v>
      </c>
      <c r="P93" s="206">
        <f t="shared" si="24"/>
        <v>0</v>
      </c>
      <c r="Q93" s="206">
        <f t="shared" si="25"/>
        <v>-0.06</v>
      </c>
      <c r="R9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9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302520</v>
      </c>
      <c r="T9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302580</v>
      </c>
      <c r="U93" s="208">
        <f ca="1">IF(Tabla33610673[[#This Row],[Equity]]&lt;Tabla33610673[[#This Row],[Equity Peak]],(Tabla33610673[[#This Row],[Equity Peak]]-Tabla33610673[[#This Row],[Equity]])/Tabla33610673[[#This Row],[Equity Peak]],"")</f>
        <v>1.98294665873488E-4</v>
      </c>
      <c r="V93" s="209">
        <f t="shared" si="26"/>
        <v>0</v>
      </c>
      <c r="W93" s="209">
        <f t="shared" si="27"/>
        <v>0</v>
      </c>
      <c r="X93" s="209">
        <f t="shared" si="28"/>
        <v>-0.06</v>
      </c>
      <c r="Y93" s="209">
        <f t="shared" si="29"/>
        <v>0</v>
      </c>
      <c r="Z93" s="209">
        <f t="shared" si="30"/>
        <v>0</v>
      </c>
      <c r="AA93" s="205">
        <f t="shared" si="31"/>
        <v>0</v>
      </c>
      <c r="AB93" s="209">
        <f t="shared" si="32"/>
        <v>0</v>
      </c>
      <c r="AC93" s="205">
        <f t="shared" si="33"/>
        <v>0</v>
      </c>
      <c r="AD93" s="210">
        <f t="shared" si="34"/>
        <v>3.7770833333343035</v>
      </c>
      <c r="AE93" s="210">
        <f t="shared" si="35"/>
        <v>0</v>
      </c>
      <c r="AF93" s="210">
        <f t="shared" si="36"/>
        <v>3.7770833333343035</v>
      </c>
      <c r="AG93" s="210">
        <f t="shared" si="37"/>
        <v>0</v>
      </c>
    </row>
    <row r="94" spans="2:33" ht="15" customHeight="1" x14ac:dyDescent="0.3">
      <c r="B94" s="196" t="s">
        <v>5</v>
      </c>
      <c r="C94" s="197" t="s">
        <v>15</v>
      </c>
      <c r="D94" s="198" t="str">
        <f t="shared" si="19"/>
        <v>C</v>
      </c>
      <c r="E94" s="199">
        <v>43752.708333333336</v>
      </c>
      <c r="F94" s="200" t="s">
        <v>93</v>
      </c>
      <c r="G94" s="201">
        <v>2967.11</v>
      </c>
      <c r="H94" s="201">
        <v>2939.83</v>
      </c>
      <c r="I94" s="202">
        <f t="shared" si="20"/>
        <v>27.2800000000002</v>
      </c>
      <c r="J94" s="201">
        <v>3039.87</v>
      </c>
      <c r="K94" s="199">
        <v>43766.62777777778</v>
      </c>
      <c r="L94" s="201">
        <v>3039.87</v>
      </c>
      <c r="M94" s="203">
        <f t="shared" si="21"/>
        <v>72.760000000000005</v>
      </c>
      <c r="N94" s="204">
        <f t="shared" si="22"/>
        <v>2.67</v>
      </c>
      <c r="O94" s="205">
        <f t="shared" si="23"/>
        <v>0</v>
      </c>
      <c r="P94" s="206">
        <f t="shared" si="24"/>
        <v>2.67</v>
      </c>
      <c r="Q94" s="206">
        <f t="shared" si="25"/>
        <v>0</v>
      </c>
      <c r="R9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9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302580</v>
      </c>
      <c r="T9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302580</v>
      </c>
      <c r="U94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94" s="209">
        <f t="shared" si="26"/>
        <v>0</v>
      </c>
      <c r="W94" s="209">
        <f t="shared" si="27"/>
        <v>0</v>
      </c>
      <c r="X94" s="209">
        <f t="shared" si="28"/>
        <v>0</v>
      </c>
      <c r="Y94" s="209">
        <f t="shared" si="29"/>
        <v>0</v>
      </c>
      <c r="Z94" s="209">
        <f t="shared" si="30"/>
        <v>2.67</v>
      </c>
      <c r="AA94" s="205">
        <f t="shared" si="31"/>
        <v>0</v>
      </c>
      <c r="AB94" s="209">
        <f t="shared" si="32"/>
        <v>0</v>
      </c>
      <c r="AC94" s="205">
        <f t="shared" si="33"/>
        <v>0</v>
      </c>
      <c r="AD94" s="210">
        <f t="shared" si="34"/>
        <v>13.919444444443798</v>
      </c>
      <c r="AE94" s="210">
        <f t="shared" si="35"/>
        <v>13.919444444443798</v>
      </c>
      <c r="AF94" s="210">
        <f t="shared" si="36"/>
        <v>0</v>
      </c>
      <c r="AG94" s="210">
        <f t="shared" si="37"/>
        <v>0</v>
      </c>
    </row>
    <row r="95" spans="2:33" ht="15" customHeight="1" x14ac:dyDescent="0.3">
      <c r="B95" s="196" t="s">
        <v>19</v>
      </c>
      <c r="C95" s="197" t="s">
        <v>15</v>
      </c>
      <c r="D95" s="198" t="str">
        <f t="shared" si="19"/>
        <v>C</v>
      </c>
      <c r="E95" s="199">
        <v>43761.708333333336</v>
      </c>
      <c r="F95" s="200" t="s">
        <v>88</v>
      </c>
      <c r="G95" s="201">
        <v>1495.49</v>
      </c>
      <c r="H95" s="201">
        <v>1482.96</v>
      </c>
      <c r="I95" s="202">
        <f t="shared" si="20"/>
        <v>12.529999999999973</v>
      </c>
      <c r="J95" s="201">
        <v>1575.65</v>
      </c>
      <c r="K95" s="199">
        <v>43763.811805555553</v>
      </c>
      <c r="L95" s="201">
        <v>1503.93</v>
      </c>
      <c r="M95" s="203">
        <f t="shared" si="21"/>
        <v>8.44</v>
      </c>
      <c r="N95" s="204">
        <f t="shared" si="22"/>
        <v>0.67</v>
      </c>
      <c r="O95" s="205">
        <f t="shared" si="23"/>
        <v>0</v>
      </c>
      <c r="P95" s="206">
        <f t="shared" si="24"/>
        <v>0.67</v>
      </c>
      <c r="Q95" s="206">
        <f t="shared" si="25"/>
        <v>0</v>
      </c>
      <c r="R9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9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299910</v>
      </c>
      <c r="T9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299910</v>
      </c>
      <c r="U95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95" s="209">
        <f t="shared" si="26"/>
        <v>0</v>
      </c>
      <c r="W95" s="209">
        <f t="shared" si="27"/>
        <v>0</v>
      </c>
      <c r="X95" s="209">
        <f t="shared" si="28"/>
        <v>0.67</v>
      </c>
      <c r="Y95" s="209">
        <f t="shared" si="29"/>
        <v>0</v>
      </c>
      <c r="Z95" s="209">
        <f t="shared" si="30"/>
        <v>0</v>
      </c>
      <c r="AA95" s="205">
        <f t="shared" si="31"/>
        <v>0</v>
      </c>
      <c r="AB95" s="209">
        <f t="shared" si="32"/>
        <v>0</v>
      </c>
      <c r="AC95" s="205">
        <f t="shared" si="33"/>
        <v>0</v>
      </c>
      <c r="AD95" s="210">
        <f t="shared" si="34"/>
        <v>2.1034722222175333</v>
      </c>
      <c r="AE95" s="210">
        <f t="shared" si="35"/>
        <v>2.1034722222175333</v>
      </c>
      <c r="AF95" s="210">
        <f t="shared" si="36"/>
        <v>0</v>
      </c>
      <c r="AG95" s="210">
        <f t="shared" si="37"/>
        <v>0</v>
      </c>
    </row>
    <row r="96" spans="2:33" ht="15" customHeight="1" x14ac:dyDescent="0.3">
      <c r="B96" s="196" t="s">
        <v>5</v>
      </c>
      <c r="C96" s="197" t="s">
        <v>15</v>
      </c>
      <c r="D96" s="198" t="str">
        <f t="shared" si="19"/>
        <v>C</v>
      </c>
      <c r="E96" s="199">
        <v>43760.833333333336</v>
      </c>
      <c r="F96" s="200" t="s">
        <v>94</v>
      </c>
      <c r="G96" s="201">
        <v>7219.93</v>
      </c>
      <c r="H96" s="201">
        <v>7163.63</v>
      </c>
      <c r="I96" s="202">
        <f t="shared" si="20"/>
        <v>56.300000000000182</v>
      </c>
      <c r="J96" s="201">
        <v>7501.41</v>
      </c>
      <c r="K96" s="199">
        <v>43763.61041666667</v>
      </c>
      <c r="L96" s="201">
        <v>7278.75</v>
      </c>
      <c r="M96" s="203">
        <f t="shared" si="21"/>
        <v>58.82</v>
      </c>
      <c r="N96" s="204">
        <f t="shared" si="22"/>
        <v>1.04</v>
      </c>
      <c r="O96" s="205">
        <f t="shared" si="23"/>
        <v>0</v>
      </c>
      <c r="P96" s="206">
        <f t="shared" si="24"/>
        <v>1.04</v>
      </c>
      <c r="Q96" s="206">
        <f t="shared" si="25"/>
        <v>0</v>
      </c>
      <c r="R9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9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299240</v>
      </c>
      <c r="T9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299250</v>
      </c>
      <c r="U96" s="208">
        <f ca="1">IF(Tabla33610673[[#This Row],[Equity]]&lt;Tabla33610673[[#This Row],[Equity Peak]],(Tabla33610673[[#This Row],[Equity Peak]]-Tabla33610673[[#This Row],[Equity]])/Tabla33610673[[#This Row],[Equity Peak]],"")</f>
        <v>3.3416875522138681E-5</v>
      </c>
      <c r="V96" s="209">
        <f t="shared" si="26"/>
        <v>0</v>
      </c>
      <c r="W96" s="209">
        <f t="shared" si="27"/>
        <v>0</v>
      </c>
      <c r="X96" s="209">
        <f t="shared" si="28"/>
        <v>0</v>
      </c>
      <c r="Y96" s="209">
        <f t="shared" si="29"/>
        <v>0</v>
      </c>
      <c r="Z96" s="209">
        <f t="shared" si="30"/>
        <v>1.04</v>
      </c>
      <c r="AA96" s="205">
        <f t="shared" si="31"/>
        <v>0</v>
      </c>
      <c r="AB96" s="209">
        <f t="shared" si="32"/>
        <v>0</v>
      </c>
      <c r="AC96" s="205">
        <f t="shared" si="33"/>
        <v>0</v>
      </c>
      <c r="AD96" s="210">
        <f t="shared" si="34"/>
        <v>2.7770833333343035</v>
      </c>
      <c r="AE96" s="210">
        <f t="shared" si="35"/>
        <v>2.7770833333343035</v>
      </c>
      <c r="AF96" s="210">
        <f t="shared" si="36"/>
        <v>0</v>
      </c>
      <c r="AG96" s="210">
        <f t="shared" si="37"/>
        <v>0</v>
      </c>
    </row>
    <row r="97" spans="2:33" ht="15" customHeight="1" x14ac:dyDescent="0.3">
      <c r="B97" s="196" t="s">
        <v>7</v>
      </c>
      <c r="C97" s="197" t="s">
        <v>15</v>
      </c>
      <c r="D97" s="198" t="str">
        <f t="shared" si="19"/>
        <v>C</v>
      </c>
      <c r="E97" s="199">
        <v>43762.5</v>
      </c>
      <c r="F97" s="200" t="s">
        <v>120</v>
      </c>
      <c r="G97" s="201">
        <v>1.63</v>
      </c>
      <c r="H97" s="201">
        <v>1.6258300000000001</v>
      </c>
      <c r="I97" s="202">
        <f t="shared" si="20"/>
        <v>4.169999999999785E-3</v>
      </c>
      <c r="J97" s="201">
        <v>1.6745300000000001</v>
      </c>
      <c r="K97" s="199">
        <v>43763.421527777777</v>
      </c>
      <c r="L97" s="201">
        <v>1.6258300000000001</v>
      </c>
      <c r="M97" s="203">
        <f t="shared" si="21"/>
        <v>-4.1999999999999997E-3</v>
      </c>
      <c r="N97" s="204">
        <f t="shared" si="22"/>
        <v>-1.01</v>
      </c>
      <c r="O97" s="205">
        <f t="shared" si="23"/>
        <v>0</v>
      </c>
      <c r="P97" s="206">
        <f t="shared" si="24"/>
        <v>0</v>
      </c>
      <c r="Q97" s="206">
        <f t="shared" si="25"/>
        <v>-1.01</v>
      </c>
      <c r="R9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9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298200</v>
      </c>
      <c r="T9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299250</v>
      </c>
      <c r="U97" s="208">
        <f ca="1">IF(Tabla33610673[[#This Row],[Equity]]&lt;Tabla33610673[[#This Row],[Equity Peak]],(Tabla33610673[[#This Row],[Equity Peak]]-Tabla33610673[[#This Row],[Equity]])/Tabla33610673[[#This Row],[Equity Peak]],"")</f>
        <v>3.5087719298245615E-3</v>
      </c>
      <c r="V97" s="209">
        <f t="shared" si="26"/>
        <v>-1.01</v>
      </c>
      <c r="W97" s="209">
        <f t="shared" si="27"/>
        <v>0</v>
      </c>
      <c r="X97" s="209">
        <f t="shared" si="28"/>
        <v>0</v>
      </c>
      <c r="Y97" s="209">
        <f t="shared" si="29"/>
        <v>0</v>
      </c>
      <c r="Z97" s="209">
        <f t="shared" si="30"/>
        <v>0</v>
      </c>
      <c r="AA97" s="205">
        <f t="shared" si="31"/>
        <v>0</v>
      </c>
      <c r="AB97" s="209">
        <f t="shared" si="32"/>
        <v>0</v>
      </c>
      <c r="AC97" s="205">
        <f t="shared" si="33"/>
        <v>0</v>
      </c>
      <c r="AD97" s="210">
        <f t="shared" si="34"/>
        <v>0.92152777777664596</v>
      </c>
      <c r="AE97" s="210">
        <f t="shared" si="35"/>
        <v>0</v>
      </c>
      <c r="AF97" s="210">
        <f t="shared" si="36"/>
        <v>0.92152777777664596</v>
      </c>
      <c r="AG97" s="210">
        <f t="shared" si="37"/>
        <v>0</v>
      </c>
    </row>
    <row r="98" spans="2:33" ht="15" customHeight="1" x14ac:dyDescent="0.3">
      <c r="B98" s="196" t="s">
        <v>7</v>
      </c>
      <c r="C98" s="197" t="s">
        <v>13</v>
      </c>
      <c r="D98" s="198" t="str">
        <f t="shared" si="19"/>
        <v>C</v>
      </c>
      <c r="E98" s="199">
        <v>43759.333333333336</v>
      </c>
      <c r="F98" s="200" t="s">
        <v>120</v>
      </c>
      <c r="G98" s="201">
        <v>1.62652</v>
      </c>
      <c r="H98" s="201">
        <v>1.6314900000000001</v>
      </c>
      <c r="I98" s="202">
        <f t="shared" si="20"/>
        <v>4.970000000000141E-3</v>
      </c>
      <c r="J98" s="201">
        <v>1.5735399999999999</v>
      </c>
      <c r="K98" s="199">
        <v>43761.275000000001</v>
      </c>
      <c r="L98" s="201">
        <v>1.62673</v>
      </c>
      <c r="M98" s="203">
        <f t="shared" si="21"/>
        <v>-2.0000000000000001E-4</v>
      </c>
      <c r="N98" s="204">
        <f t="shared" si="22"/>
        <v>-0.04</v>
      </c>
      <c r="O98" s="205">
        <f t="shared" si="23"/>
        <v>0</v>
      </c>
      <c r="P98" s="206">
        <f t="shared" si="24"/>
        <v>0</v>
      </c>
      <c r="Q98" s="206">
        <f t="shared" si="25"/>
        <v>-0.04</v>
      </c>
      <c r="R9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9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299210</v>
      </c>
      <c r="T9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299250</v>
      </c>
      <c r="U98" s="208">
        <f ca="1">IF(Tabla33610673[[#This Row],[Equity]]&lt;Tabla33610673[[#This Row],[Equity Peak]],(Tabla33610673[[#This Row],[Equity Peak]]-Tabla33610673[[#This Row],[Equity]])/Tabla33610673[[#This Row],[Equity Peak]],"")</f>
        <v>1.3366750208855473E-4</v>
      </c>
      <c r="V98" s="209">
        <f t="shared" si="26"/>
        <v>-0.04</v>
      </c>
      <c r="W98" s="209">
        <f t="shared" si="27"/>
        <v>0</v>
      </c>
      <c r="X98" s="209">
        <f t="shared" si="28"/>
        <v>0</v>
      </c>
      <c r="Y98" s="209">
        <f t="shared" si="29"/>
        <v>0</v>
      </c>
      <c r="Z98" s="209">
        <f t="shared" si="30"/>
        <v>0</v>
      </c>
      <c r="AA98" s="205">
        <f t="shared" si="31"/>
        <v>0</v>
      </c>
      <c r="AB98" s="209">
        <f t="shared" si="32"/>
        <v>0</v>
      </c>
      <c r="AC98" s="205">
        <f t="shared" si="33"/>
        <v>0</v>
      </c>
      <c r="AD98" s="210">
        <f t="shared" si="34"/>
        <v>1.9416666666656965</v>
      </c>
      <c r="AE98" s="210">
        <f t="shared" si="35"/>
        <v>0</v>
      </c>
      <c r="AF98" s="210">
        <f t="shared" si="36"/>
        <v>1.9416666666656965</v>
      </c>
      <c r="AG98" s="210">
        <f t="shared" si="37"/>
        <v>0</v>
      </c>
    </row>
    <row r="99" spans="2:33" ht="15" customHeight="1" x14ac:dyDescent="0.3">
      <c r="B99" s="196" t="s">
        <v>19</v>
      </c>
      <c r="C99" s="197" t="s">
        <v>13</v>
      </c>
      <c r="D99" s="198" t="str">
        <f t="shared" si="19"/>
        <v>C</v>
      </c>
      <c r="E99" s="199">
        <v>43733.625</v>
      </c>
      <c r="F99" s="200" t="s">
        <v>108</v>
      </c>
      <c r="G99" s="201">
        <v>56.145000000000003</v>
      </c>
      <c r="H99" s="201">
        <v>57.832999999999998</v>
      </c>
      <c r="I99" s="202">
        <f t="shared" si="20"/>
        <v>1.6879999999999953</v>
      </c>
      <c r="J99" s="201">
        <v>35.890999999999998</v>
      </c>
      <c r="K99" s="199">
        <v>43761.125</v>
      </c>
      <c r="L99" s="201">
        <v>54.234000000000002</v>
      </c>
      <c r="M99" s="203">
        <f t="shared" si="21"/>
        <v>1.911</v>
      </c>
      <c r="N99" s="204">
        <f t="shared" si="22"/>
        <v>1.1299999999999999</v>
      </c>
      <c r="O99" s="205">
        <f t="shared" si="23"/>
        <v>0</v>
      </c>
      <c r="P99" s="206">
        <f t="shared" si="24"/>
        <v>1.1299999999999999</v>
      </c>
      <c r="Q99" s="206">
        <f t="shared" si="25"/>
        <v>0</v>
      </c>
      <c r="R9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9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299250</v>
      </c>
      <c r="T9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299250</v>
      </c>
      <c r="U99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99" s="209">
        <f t="shared" si="26"/>
        <v>0</v>
      </c>
      <c r="W99" s="209">
        <f t="shared" si="27"/>
        <v>0</v>
      </c>
      <c r="X99" s="209">
        <f t="shared" si="28"/>
        <v>1.1299999999999999</v>
      </c>
      <c r="Y99" s="209">
        <f t="shared" si="29"/>
        <v>0</v>
      </c>
      <c r="Z99" s="209">
        <f t="shared" si="30"/>
        <v>0</v>
      </c>
      <c r="AA99" s="205">
        <f t="shared" si="31"/>
        <v>0</v>
      </c>
      <c r="AB99" s="209">
        <f t="shared" si="32"/>
        <v>0</v>
      </c>
      <c r="AC99" s="205">
        <f t="shared" si="33"/>
        <v>0</v>
      </c>
      <c r="AD99" s="210">
        <f t="shared" si="34"/>
        <v>27.5</v>
      </c>
      <c r="AE99" s="210">
        <f t="shared" si="35"/>
        <v>27.5</v>
      </c>
      <c r="AF99" s="210">
        <f t="shared" si="36"/>
        <v>0</v>
      </c>
      <c r="AG99" s="210">
        <f t="shared" si="37"/>
        <v>0</v>
      </c>
    </row>
    <row r="100" spans="2:33" ht="15" customHeight="1" x14ac:dyDescent="0.3">
      <c r="B100" s="196" t="s">
        <v>7</v>
      </c>
      <c r="C100" s="197" t="s">
        <v>15</v>
      </c>
      <c r="D100" s="198" t="str">
        <f t="shared" si="19"/>
        <v>C</v>
      </c>
      <c r="E100" s="199">
        <v>43749.5</v>
      </c>
      <c r="F100" s="200" t="s">
        <v>115</v>
      </c>
      <c r="G100" s="201">
        <v>135.00399999999999</v>
      </c>
      <c r="H100" s="201">
        <v>133.227</v>
      </c>
      <c r="I100" s="202">
        <f t="shared" si="20"/>
        <v>1.7769999999999868</v>
      </c>
      <c r="J100" s="201">
        <v>144.95699999999999</v>
      </c>
      <c r="K100" s="199">
        <v>43761.100694444445</v>
      </c>
      <c r="L100" s="201">
        <v>139.47300000000001</v>
      </c>
      <c r="M100" s="203">
        <f t="shared" si="21"/>
        <v>4.4690000000000003</v>
      </c>
      <c r="N100" s="204">
        <f t="shared" si="22"/>
        <v>2.5099999999999998</v>
      </c>
      <c r="O100" s="205">
        <f t="shared" si="23"/>
        <v>0</v>
      </c>
      <c r="P100" s="206">
        <f t="shared" si="24"/>
        <v>2.5099999999999998</v>
      </c>
      <c r="Q100" s="206">
        <f t="shared" si="25"/>
        <v>0</v>
      </c>
      <c r="R10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0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298120</v>
      </c>
      <c r="T10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298120</v>
      </c>
      <c r="U100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100" s="209">
        <f t="shared" si="26"/>
        <v>2.5099999999999998</v>
      </c>
      <c r="W100" s="209">
        <f t="shared" si="27"/>
        <v>0</v>
      </c>
      <c r="X100" s="209">
        <f t="shared" si="28"/>
        <v>0</v>
      </c>
      <c r="Y100" s="209">
        <f t="shared" si="29"/>
        <v>0</v>
      </c>
      <c r="Z100" s="209">
        <f t="shared" si="30"/>
        <v>0</v>
      </c>
      <c r="AA100" s="205">
        <f t="shared" si="31"/>
        <v>0</v>
      </c>
      <c r="AB100" s="209">
        <f t="shared" si="32"/>
        <v>0</v>
      </c>
      <c r="AC100" s="205">
        <f t="shared" si="33"/>
        <v>0</v>
      </c>
      <c r="AD100" s="210">
        <f t="shared" si="34"/>
        <v>11.600694444445253</v>
      </c>
      <c r="AE100" s="210">
        <f t="shared" si="35"/>
        <v>11.600694444445253</v>
      </c>
      <c r="AF100" s="210">
        <f t="shared" si="36"/>
        <v>0</v>
      </c>
      <c r="AG100" s="210">
        <f t="shared" si="37"/>
        <v>0</v>
      </c>
    </row>
    <row r="101" spans="2:33" ht="15" customHeight="1" x14ac:dyDescent="0.3">
      <c r="B101" s="196" t="s">
        <v>7</v>
      </c>
      <c r="C101" s="197" t="s">
        <v>15</v>
      </c>
      <c r="D101" s="198" t="str">
        <f t="shared" si="19"/>
        <v>C</v>
      </c>
      <c r="E101" s="199">
        <v>43749.017361111109</v>
      </c>
      <c r="F101" s="200" t="s">
        <v>122</v>
      </c>
      <c r="G101" s="201">
        <v>72.900000000000006</v>
      </c>
      <c r="H101" s="201">
        <v>72.474000000000004</v>
      </c>
      <c r="I101" s="202">
        <f t="shared" si="20"/>
        <v>0.42600000000000193</v>
      </c>
      <c r="J101" s="201">
        <v>80.284000000000006</v>
      </c>
      <c r="K101" s="199">
        <v>43761.008333333331</v>
      </c>
      <c r="L101" s="201">
        <v>74.248000000000005</v>
      </c>
      <c r="M101" s="203">
        <f t="shared" si="21"/>
        <v>1.3480000000000001</v>
      </c>
      <c r="N101" s="204">
        <f t="shared" si="22"/>
        <v>3.16</v>
      </c>
      <c r="O101" s="205">
        <f t="shared" si="23"/>
        <v>0</v>
      </c>
      <c r="P101" s="206">
        <f t="shared" si="24"/>
        <v>3.16</v>
      </c>
      <c r="Q101" s="206">
        <f t="shared" si="25"/>
        <v>0</v>
      </c>
      <c r="R10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0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295610</v>
      </c>
      <c r="T10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295610</v>
      </c>
      <c r="U101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101" s="209">
        <f t="shared" si="26"/>
        <v>3.16</v>
      </c>
      <c r="W101" s="209">
        <f t="shared" si="27"/>
        <v>0</v>
      </c>
      <c r="X101" s="209">
        <f t="shared" si="28"/>
        <v>0</v>
      </c>
      <c r="Y101" s="209">
        <f t="shared" si="29"/>
        <v>0</v>
      </c>
      <c r="Z101" s="209">
        <f t="shared" si="30"/>
        <v>0</v>
      </c>
      <c r="AA101" s="205">
        <f t="shared" si="31"/>
        <v>0</v>
      </c>
      <c r="AB101" s="209">
        <f t="shared" si="32"/>
        <v>0</v>
      </c>
      <c r="AC101" s="205">
        <f t="shared" si="33"/>
        <v>0</v>
      </c>
      <c r="AD101" s="210">
        <f t="shared" si="34"/>
        <v>11.990972222221899</v>
      </c>
      <c r="AE101" s="210">
        <f t="shared" si="35"/>
        <v>11.990972222221899</v>
      </c>
      <c r="AF101" s="210">
        <f t="shared" si="36"/>
        <v>0</v>
      </c>
      <c r="AG101" s="210">
        <f t="shared" si="37"/>
        <v>0</v>
      </c>
    </row>
    <row r="102" spans="2:33" ht="15" customHeight="1" x14ac:dyDescent="0.3">
      <c r="B102" s="196" t="s">
        <v>7</v>
      </c>
      <c r="C102" s="197" t="s">
        <v>15</v>
      </c>
      <c r="D102" s="198" t="str">
        <f t="shared" si="19"/>
        <v>C</v>
      </c>
      <c r="E102" s="199">
        <v>43748.5</v>
      </c>
      <c r="F102" s="200" t="s">
        <v>118</v>
      </c>
      <c r="G102" s="201">
        <v>118.34699999999999</v>
      </c>
      <c r="H102" s="201">
        <v>117.538</v>
      </c>
      <c r="I102" s="202">
        <f t="shared" si="20"/>
        <v>0.8089999999999975</v>
      </c>
      <c r="J102" s="201">
        <v>121.58499999999999</v>
      </c>
      <c r="K102" s="199">
        <v>43760.61041666667</v>
      </c>
      <c r="L102" s="201">
        <v>120.748</v>
      </c>
      <c r="M102" s="203">
        <f t="shared" si="21"/>
        <v>2.4009999999999998</v>
      </c>
      <c r="N102" s="204">
        <f t="shared" si="22"/>
        <v>2.97</v>
      </c>
      <c r="O102" s="205">
        <f t="shared" si="23"/>
        <v>0</v>
      </c>
      <c r="P102" s="206">
        <f t="shared" si="24"/>
        <v>2.97</v>
      </c>
      <c r="Q102" s="206">
        <f t="shared" si="25"/>
        <v>0</v>
      </c>
      <c r="R10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0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292450</v>
      </c>
      <c r="T10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292450</v>
      </c>
      <c r="U102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102" s="209">
        <f t="shared" si="26"/>
        <v>2.97</v>
      </c>
      <c r="W102" s="209">
        <f t="shared" si="27"/>
        <v>0</v>
      </c>
      <c r="X102" s="209">
        <f t="shared" si="28"/>
        <v>0</v>
      </c>
      <c r="Y102" s="209">
        <f t="shared" si="29"/>
        <v>0</v>
      </c>
      <c r="Z102" s="209">
        <f t="shared" si="30"/>
        <v>0</v>
      </c>
      <c r="AA102" s="205">
        <f t="shared" si="31"/>
        <v>0</v>
      </c>
      <c r="AB102" s="209">
        <f t="shared" si="32"/>
        <v>0</v>
      </c>
      <c r="AC102" s="205">
        <f t="shared" si="33"/>
        <v>0</v>
      </c>
      <c r="AD102" s="210">
        <f t="shared" si="34"/>
        <v>12.110416666670062</v>
      </c>
      <c r="AE102" s="210">
        <f t="shared" si="35"/>
        <v>12.110416666670062</v>
      </c>
      <c r="AF102" s="210">
        <f t="shared" si="36"/>
        <v>0</v>
      </c>
      <c r="AG102" s="210">
        <f t="shared" si="37"/>
        <v>0</v>
      </c>
    </row>
    <row r="103" spans="2:33" ht="15" customHeight="1" x14ac:dyDescent="0.3">
      <c r="B103" s="196" t="s">
        <v>7</v>
      </c>
      <c r="C103" s="197" t="s">
        <v>15</v>
      </c>
      <c r="D103" s="198" t="str">
        <f t="shared" si="19"/>
        <v>C</v>
      </c>
      <c r="E103" s="199">
        <v>43749.333333333336</v>
      </c>
      <c r="F103" s="200" t="s">
        <v>114</v>
      </c>
      <c r="G103" s="201">
        <v>1.2448999999999999</v>
      </c>
      <c r="H103" s="201">
        <v>1.23333</v>
      </c>
      <c r="I103" s="202">
        <f t="shared" si="20"/>
        <v>1.1569999999999858E-2</v>
      </c>
      <c r="J103" s="201">
        <v>1.29118</v>
      </c>
      <c r="K103" s="199">
        <v>43755.580555555556</v>
      </c>
      <c r="L103" s="201">
        <v>1.29118</v>
      </c>
      <c r="M103" s="203">
        <f t="shared" si="21"/>
        <v>4.6300000000000001E-2</v>
      </c>
      <c r="N103" s="204">
        <f t="shared" si="22"/>
        <v>4</v>
      </c>
      <c r="O103" s="205">
        <f t="shared" si="23"/>
        <v>0</v>
      </c>
      <c r="P103" s="206">
        <f t="shared" si="24"/>
        <v>4</v>
      </c>
      <c r="Q103" s="206">
        <f t="shared" si="25"/>
        <v>0</v>
      </c>
      <c r="R10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0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289480</v>
      </c>
      <c r="T10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289480</v>
      </c>
      <c r="U103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103" s="209">
        <f t="shared" si="26"/>
        <v>4</v>
      </c>
      <c r="W103" s="209">
        <f t="shared" si="27"/>
        <v>0</v>
      </c>
      <c r="X103" s="209">
        <f t="shared" si="28"/>
        <v>0</v>
      </c>
      <c r="Y103" s="209">
        <f t="shared" si="29"/>
        <v>0</v>
      </c>
      <c r="Z103" s="209">
        <f t="shared" si="30"/>
        <v>0</v>
      </c>
      <c r="AA103" s="205">
        <f t="shared" si="31"/>
        <v>0</v>
      </c>
      <c r="AB103" s="209">
        <f t="shared" si="32"/>
        <v>0</v>
      </c>
      <c r="AC103" s="205">
        <f t="shared" si="33"/>
        <v>0</v>
      </c>
      <c r="AD103" s="210">
        <f t="shared" si="34"/>
        <v>6.2472222222204437</v>
      </c>
      <c r="AE103" s="210">
        <f t="shared" si="35"/>
        <v>6.2472222222204437</v>
      </c>
      <c r="AF103" s="210">
        <f t="shared" si="36"/>
        <v>0</v>
      </c>
      <c r="AG103" s="210">
        <f t="shared" si="37"/>
        <v>0</v>
      </c>
    </row>
    <row r="104" spans="2:33" ht="15" customHeight="1" x14ac:dyDescent="0.3">
      <c r="B104" s="196" t="s">
        <v>7</v>
      </c>
      <c r="C104" s="197" t="s">
        <v>13</v>
      </c>
      <c r="D104" s="198" t="str">
        <f t="shared" si="19"/>
        <v>C</v>
      </c>
      <c r="E104" s="199">
        <v>43749.666666666664</v>
      </c>
      <c r="F104" s="200" t="s">
        <v>119</v>
      </c>
      <c r="G104" s="201">
        <v>0.87504000000000004</v>
      </c>
      <c r="H104" s="201">
        <v>0.88139000000000001</v>
      </c>
      <c r="I104" s="202">
        <f t="shared" si="20"/>
        <v>6.3499999999999668E-3</v>
      </c>
      <c r="J104" s="201">
        <v>0.85811000000000004</v>
      </c>
      <c r="K104" s="199">
        <v>43755.537499999999</v>
      </c>
      <c r="L104" s="201">
        <v>0.85811000000000004</v>
      </c>
      <c r="M104" s="203">
        <f t="shared" si="21"/>
        <v>1.6899999999999998E-2</v>
      </c>
      <c r="N104" s="204">
        <f t="shared" si="22"/>
        <v>2.66</v>
      </c>
      <c r="O104" s="205">
        <f t="shared" si="23"/>
        <v>0</v>
      </c>
      <c r="P104" s="206">
        <f t="shared" si="24"/>
        <v>2.66</v>
      </c>
      <c r="Q104" s="206">
        <f t="shared" si="25"/>
        <v>0</v>
      </c>
      <c r="R10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0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285480</v>
      </c>
      <c r="T10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287770</v>
      </c>
      <c r="U104" s="208">
        <f ca="1">IF(Tabla33610673[[#This Row],[Equity]]&lt;Tabla33610673[[#This Row],[Equity Peak]],(Tabla33610673[[#This Row],[Equity Peak]]-Tabla33610673[[#This Row],[Equity]])/Tabla33610673[[#This Row],[Equity Peak]],"")</f>
        <v>7.9577440316919764E-3</v>
      </c>
      <c r="V104" s="209">
        <f t="shared" si="26"/>
        <v>2.66</v>
      </c>
      <c r="W104" s="209">
        <f t="shared" si="27"/>
        <v>0</v>
      </c>
      <c r="X104" s="209">
        <f t="shared" si="28"/>
        <v>0</v>
      </c>
      <c r="Y104" s="209">
        <f t="shared" si="29"/>
        <v>0</v>
      </c>
      <c r="Z104" s="209">
        <f t="shared" si="30"/>
        <v>0</v>
      </c>
      <c r="AA104" s="205">
        <f t="shared" si="31"/>
        <v>0</v>
      </c>
      <c r="AB104" s="209">
        <f t="shared" si="32"/>
        <v>0</v>
      </c>
      <c r="AC104" s="205">
        <f t="shared" si="33"/>
        <v>0</v>
      </c>
      <c r="AD104" s="210">
        <f t="shared" si="34"/>
        <v>5.8708333333343035</v>
      </c>
      <c r="AE104" s="210">
        <f t="shared" si="35"/>
        <v>5.8708333333343035</v>
      </c>
      <c r="AF104" s="210">
        <f t="shared" si="36"/>
        <v>0</v>
      </c>
      <c r="AG104" s="210">
        <f t="shared" si="37"/>
        <v>0</v>
      </c>
    </row>
    <row r="105" spans="2:33" ht="15" customHeight="1" x14ac:dyDescent="0.3">
      <c r="B105" s="196" t="s">
        <v>5</v>
      </c>
      <c r="C105" s="197" t="s">
        <v>13</v>
      </c>
      <c r="D105" s="198" t="str">
        <f t="shared" si="19"/>
        <v>C</v>
      </c>
      <c r="E105" s="199">
        <v>43753.666666666664</v>
      </c>
      <c r="F105" s="200" t="s">
        <v>94</v>
      </c>
      <c r="G105" s="201">
        <v>7180.82</v>
      </c>
      <c r="H105" s="201">
        <v>7254.68</v>
      </c>
      <c r="I105" s="202">
        <f t="shared" si="20"/>
        <v>73.860000000000582</v>
      </c>
      <c r="J105" s="201">
        <v>6811.5</v>
      </c>
      <c r="K105" s="199">
        <v>43755.44027777778</v>
      </c>
      <c r="L105" s="201">
        <v>7201.33</v>
      </c>
      <c r="M105" s="203">
        <f t="shared" si="21"/>
        <v>-20.51</v>
      </c>
      <c r="N105" s="204">
        <f t="shared" si="22"/>
        <v>-0.28000000000000003</v>
      </c>
      <c r="O105" s="205">
        <f t="shared" si="23"/>
        <v>0</v>
      </c>
      <c r="P105" s="206">
        <f t="shared" si="24"/>
        <v>0</v>
      </c>
      <c r="Q105" s="206">
        <f t="shared" si="25"/>
        <v>-0.28000000000000003</v>
      </c>
      <c r="R10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0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282820</v>
      </c>
      <c r="T10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287770</v>
      </c>
      <c r="U105" s="208">
        <f ca="1">IF(Tabla33610673[[#This Row],[Equity]]&lt;Tabla33610673[[#This Row],[Equity Peak]],(Tabla33610673[[#This Row],[Equity Peak]]-Tabla33610673[[#This Row],[Equity]])/Tabla33610673[[#This Row],[Equity Peak]],"")</f>
        <v>1.7201237099072175E-2</v>
      </c>
      <c r="V105" s="209">
        <f t="shared" si="26"/>
        <v>0</v>
      </c>
      <c r="W105" s="209">
        <f t="shared" si="27"/>
        <v>0</v>
      </c>
      <c r="X105" s="209">
        <f t="shared" si="28"/>
        <v>0</v>
      </c>
      <c r="Y105" s="209">
        <f t="shared" si="29"/>
        <v>0</v>
      </c>
      <c r="Z105" s="209">
        <f t="shared" si="30"/>
        <v>-0.28000000000000003</v>
      </c>
      <c r="AA105" s="205">
        <f t="shared" si="31"/>
        <v>0</v>
      </c>
      <c r="AB105" s="209">
        <f t="shared" si="32"/>
        <v>0</v>
      </c>
      <c r="AC105" s="205">
        <f t="shared" si="33"/>
        <v>0</v>
      </c>
      <c r="AD105" s="210">
        <f t="shared" si="34"/>
        <v>1.773611111115315</v>
      </c>
      <c r="AE105" s="210">
        <f t="shared" si="35"/>
        <v>0</v>
      </c>
      <c r="AF105" s="210">
        <f t="shared" si="36"/>
        <v>1.773611111115315</v>
      </c>
      <c r="AG105" s="210">
        <f t="shared" si="37"/>
        <v>0</v>
      </c>
    </row>
    <row r="106" spans="2:33" ht="15" customHeight="1" x14ac:dyDescent="0.3">
      <c r="B106" s="196" t="s">
        <v>5</v>
      </c>
      <c r="C106" s="197" t="s">
        <v>15</v>
      </c>
      <c r="D106" s="198" t="str">
        <f t="shared" si="19"/>
        <v>C</v>
      </c>
      <c r="E106" s="199">
        <v>43753.881944444445</v>
      </c>
      <c r="F106" s="200" t="s">
        <v>90</v>
      </c>
      <c r="G106" s="201">
        <v>6717.3</v>
      </c>
      <c r="H106" s="201">
        <v>6675.33</v>
      </c>
      <c r="I106" s="202">
        <f t="shared" si="20"/>
        <v>41.970000000000255</v>
      </c>
      <c r="J106" s="201">
        <v>7276.87</v>
      </c>
      <c r="K106" s="199">
        <v>43755.32708333333</v>
      </c>
      <c r="L106" s="201">
        <v>6688.24</v>
      </c>
      <c r="M106" s="203">
        <f t="shared" si="21"/>
        <v>-29.06</v>
      </c>
      <c r="N106" s="204">
        <f t="shared" si="22"/>
        <v>-0.69</v>
      </c>
      <c r="O106" s="205">
        <f t="shared" si="23"/>
        <v>0</v>
      </c>
      <c r="P106" s="206">
        <f t="shared" si="24"/>
        <v>0</v>
      </c>
      <c r="Q106" s="206">
        <f t="shared" si="25"/>
        <v>-0.69</v>
      </c>
      <c r="R10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0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283100</v>
      </c>
      <c r="T10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287770</v>
      </c>
      <c r="U106" s="208">
        <f ca="1">IF(Tabla33610673[[#This Row],[Equity]]&lt;Tabla33610673[[#This Row],[Equity Peak]],(Tabla33610673[[#This Row],[Equity Peak]]-Tabla33610673[[#This Row],[Equity]])/Tabla33610673[[#This Row],[Equity Peak]],"")</f>
        <v>1.6228237828821629E-2</v>
      </c>
      <c r="V106" s="209">
        <f t="shared" si="26"/>
        <v>0</v>
      </c>
      <c r="W106" s="209">
        <f t="shared" si="27"/>
        <v>0</v>
      </c>
      <c r="X106" s="209">
        <f t="shared" si="28"/>
        <v>0</v>
      </c>
      <c r="Y106" s="209">
        <f t="shared" si="29"/>
        <v>0</v>
      </c>
      <c r="Z106" s="209">
        <f t="shared" si="30"/>
        <v>-0.69</v>
      </c>
      <c r="AA106" s="205">
        <f t="shared" si="31"/>
        <v>0</v>
      </c>
      <c r="AB106" s="209">
        <f t="shared" si="32"/>
        <v>0</v>
      </c>
      <c r="AC106" s="205">
        <f t="shared" si="33"/>
        <v>0</v>
      </c>
      <c r="AD106" s="210">
        <f t="shared" si="34"/>
        <v>1.445138888884685</v>
      </c>
      <c r="AE106" s="210">
        <f t="shared" si="35"/>
        <v>0</v>
      </c>
      <c r="AF106" s="210">
        <f t="shared" si="36"/>
        <v>1.445138888884685</v>
      </c>
      <c r="AG106" s="210">
        <f t="shared" si="37"/>
        <v>0</v>
      </c>
    </row>
    <row r="107" spans="2:33" ht="15" customHeight="1" x14ac:dyDescent="0.3">
      <c r="B107" s="196" t="s">
        <v>7</v>
      </c>
      <c r="C107" s="197" t="s">
        <v>13</v>
      </c>
      <c r="D107" s="198" t="str">
        <f t="shared" si="19"/>
        <v>C</v>
      </c>
      <c r="E107" s="199">
        <v>43754.666666666664</v>
      </c>
      <c r="F107" s="200" t="s">
        <v>121</v>
      </c>
      <c r="G107" s="201">
        <v>0.67291000000000001</v>
      </c>
      <c r="H107" s="201">
        <v>0.67554999999999998</v>
      </c>
      <c r="I107" s="202">
        <f t="shared" si="20"/>
        <v>2.6399999999999757E-3</v>
      </c>
      <c r="J107" s="201">
        <v>0.65881999999999996</v>
      </c>
      <c r="K107" s="199">
        <v>43754.768055555556</v>
      </c>
      <c r="L107" s="201">
        <v>0.67554999999999998</v>
      </c>
      <c r="M107" s="203">
        <f t="shared" si="21"/>
        <v>-2.5999999999999999E-3</v>
      </c>
      <c r="N107" s="204">
        <f t="shared" si="22"/>
        <v>-0.98</v>
      </c>
      <c r="O107" s="205">
        <f t="shared" si="23"/>
        <v>0</v>
      </c>
      <c r="P107" s="206">
        <f t="shared" si="24"/>
        <v>0</v>
      </c>
      <c r="Q107" s="206">
        <f t="shared" si="25"/>
        <v>-0.98</v>
      </c>
      <c r="R10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0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283790</v>
      </c>
      <c r="T10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287770</v>
      </c>
      <c r="U107" s="208">
        <f ca="1">IF(Tabla33610673[[#This Row],[Equity]]&lt;Tabla33610673[[#This Row],[Equity Peak]],(Tabla33610673[[#This Row],[Equity Peak]]-Tabla33610673[[#This Row],[Equity]])/Tabla33610673[[#This Row],[Equity Peak]],"")</f>
        <v>1.3830489627132779E-2</v>
      </c>
      <c r="V107" s="209">
        <f t="shared" si="26"/>
        <v>-0.98</v>
      </c>
      <c r="W107" s="209">
        <f t="shared" si="27"/>
        <v>0</v>
      </c>
      <c r="X107" s="209">
        <f t="shared" si="28"/>
        <v>0</v>
      </c>
      <c r="Y107" s="209">
        <f t="shared" si="29"/>
        <v>0</v>
      </c>
      <c r="Z107" s="209">
        <f t="shared" si="30"/>
        <v>0</v>
      </c>
      <c r="AA107" s="205">
        <f t="shared" si="31"/>
        <v>0</v>
      </c>
      <c r="AB107" s="209">
        <f t="shared" si="32"/>
        <v>0</v>
      </c>
      <c r="AC107" s="205">
        <f t="shared" si="33"/>
        <v>0</v>
      </c>
      <c r="AD107" s="210">
        <f t="shared" si="34"/>
        <v>0.10138888889196096</v>
      </c>
      <c r="AE107" s="210">
        <f t="shared" si="35"/>
        <v>0</v>
      </c>
      <c r="AF107" s="210">
        <f t="shared" si="36"/>
        <v>0.10138888889196096</v>
      </c>
      <c r="AG107" s="210">
        <f t="shared" si="37"/>
        <v>0</v>
      </c>
    </row>
    <row r="108" spans="2:33" ht="15" customHeight="1" x14ac:dyDescent="0.3">
      <c r="B108" s="196" t="s">
        <v>7</v>
      </c>
      <c r="C108" s="197" t="s">
        <v>15</v>
      </c>
      <c r="D108" s="198" t="str">
        <f t="shared" si="19"/>
        <v>C</v>
      </c>
      <c r="E108" s="199">
        <v>43749.5</v>
      </c>
      <c r="F108" s="200" t="s">
        <v>116</v>
      </c>
      <c r="G108" s="201">
        <v>1.8401400000000001</v>
      </c>
      <c r="H108" s="201">
        <v>1.82117</v>
      </c>
      <c r="I108" s="202">
        <f t="shared" si="20"/>
        <v>1.8970000000000153E-2</v>
      </c>
      <c r="J108" s="201">
        <v>1.9033599999999999</v>
      </c>
      <c r="K108" s="199">
        <v>43754.604166666664</v>
      </c>
      <c r="L108" s="201">
        <v>1.9033599999999999</v>
      </c>
      <c r="M108" s="203">
        <f t="shared" si="21"/>
        <v>6.3200000000000006E-2</v>
      </c>
      <c r="N108" s="204">
        <f t="shared" si="22"/>
        <v>3.33</v>
      </c>
      <c r="O108" s="205">
        <f t="shared" si="23"/>
        <v>0</v>
      </c>
      <c r="P108" s="206">
        <f t="shared" si="24"/>
        <v>3.33</v>
      </c>
      <c r="Q108" s="206">
        <f t="shared" si="25"/>
        <v>0</v>
      </c>
      <c r="R10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0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284770</v>
      </c>
      <c r="T10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287770</v>
      </c>
      <c r="U108" s="208">
        <f ca="1">IF(Tabla33610673[[#This Row],[Equity]]&lt;Tabla33610673[[#This Row],[Equity Peak]],(Tabla33610673[[#This Row],[Equity Peak]]-Tabla33610673[[#This Row],[Equity]])/Tabla33610673[[#This Row],[Equity Peak]],"")</f>
        <v>1.0424992181255864E-2</v>
      </c>
      <c r="V108" s="209">
        <f t="shared" si="26"/>
        <v>3.33</v>
      </c>
      <c r="W108" s="209">
        <f t="shared" si="27"/>
        <v>0</v>
      </c>
      <c r="X108" s="209">
        <f t="shared" si="28"/>
        <v>0</v>
      </c>
      <c r="Y108" s="209">
        <f t="shared" si="29"/>
        <v>0</v>
      </c>
      <c r="Z108" s="209">
        <f t="shared" si="30"/>
        <v>0</v>
      </c>
      <c r="AA108" s="205">
        <f t="shared" si="31"/>
        <v>0</v>
      </c>
      <c r="AB108" s="209">
        <f t="shared" si="32"/>
        <v>0</v>
      </c>
      <c r="AC108" s="205">
        <f t="shared" si="33"/>
        <v>0</v>
      </c>
      <c r="AD108" s="210">
        <f t="shared" si="34"/>
        <v>5.1041666666642413</v>
      </c>
      <c r="AE108" s="210">
        <f t="shared" si="35"/>
        <v>5.1041666666642413</v>
      </c>
      <c r="AF108" s="210">
        <f t="shared" si="36"/>
        <v>0</v>
      </c>
      <c r="AG108" s="210">
        <f t="shared" si="37"/>
        <v>0</v>
      </c>
    </row>
    <row r="109" spans="2:33" ht="15" customHeight="1" x14ac:dyDescent="0.3">
      <c r="B109" s="196" t="s">
        <v>5</v>
      </c>
      <c r="C109" s="197" t="s">
        <v>15</v>
      </c>
      <c r="D109" s="198" t="str">
        <f t="shared" si="19"/>
        <v>C</v>
      </c>
      <c r="E109" s="199">
        <v>43749.833333333336</v>
      </c>
      <c r="F109" s="200" t="s">
        <v>94</v>
      </c>
      <c r="G109" s="201">
        <v>7241.02</v>
      </c>
      <c r="H109" s="201">
        <v>7144.15</v>
      </c>
      <c r="I109" s="202">
        <f t="shared" si="20"/>
        <v>96.8700000000008</v>
      </c>
      <c r="J109" s="201">
        <v>7725.38</v>
      </c>
      <c r="K109" s="199">
        <v>43753.609722222223</v>
      </c>
      <c r="L109" s="201">
        <v>7180.34</v>
      </c>
      <c r="M109" s="203">
        <f t="shared" si="21"/>
        <v>-60.68</v>
      </c>
      <c r="N109" s="204">
        <f t="shared" si="22"/>
        <v>-0.63</v>
      </c>
      <c r="O109" s="205">
        <f t="shared" si="23"/>
        <v>0</v>
      </c>
      <c r="P109" s="206">
        <f t="shared" si="24"/>
        <v>0</v>
      </c>
      <c r="Q109" s="206">
        <f t="shared" si="25"/>
        <v>-0.63</v>
      </c>
      <c r="R10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0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281440</v>
      </c>
      <c r="T10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287770</v>
      </c>
      <c r="U109" s="208">
        <f ca="1">IF(Tabla33610673[[#This Row],[Equity]]&lt;Tabla33610673[[#This Row],[Equity Peak]],(Tabla33610673[[#This Row],[Equity Peak]]-Tabla33610673[[#This Row],[Equity]])/Tabla33610673[[#This Row],[Equity Peak]],"")</f>
        <v>2.1996733502449874E-2</v>
      </c>
      <c r="V109" s="209">
        <f t="shared" si="26"/>
        <v>0</v>
      </c>
      <c r="W109" s="209">
        <f t="shared" si="27"/>
        <v>0</v>
      </c>
      <c r="X109" s="209">
        <f t="shared" si="28"/>
        <v>0</v>
      </c>
      <c r="Y109" s="209">
        <f t="shared" si="29"/>
        <v>0</v>
      </c>
      <c r="Z109" s="209">
        <f t="shared" si="30"/>
        <v>-0.63</v>
      </c>
      <c r="AA109" s="205">
        <f t="shared" si="31"/>
        <v>0</v>
      </c>
      <c r="AB109" s="209">
        <f t="shared" si="32"/>
        <v>0</v>
      </c>
      <c r="AC109" s="205">
        <f t="shared" si="33"/>
        <v>0</v>
      </c>
      <c r="AD109" s="210">
        <f t="shared" si="34"/>
        <v>3.7763888888875954</v>
      </c>
      <c r="AE109" s="210">
        <f t="shared" si="35"/>
        <v>0</v>
      </c>
      <c r="AF109" s="210">
        <f t="shared" si="36"/>
        <v>3.7763888888875954</v>
      </c>
      <c r="AG109" s="210">
        <f t="shared" si="37"/>
        <v>0</v>
      </c>
    </row>
    <row r="110" spans="2:33" ht="15" customHeight="1" x14ac:dyDescent="0.3">
      <c r="B110" s="196" t="s">
        <v>7</v>
      </c>
      <c r="C110" s="197" t="s">
        <v>15</v>
      </c>
      <c r="D110" s="198" t="str">
        <f t="shared" si="19"/>
        <v>C</v>
      </c>
      <c r="E110" s="199">
        <v>43752.5</v>
      </c>
      <c r="F110" s="200" t="s">
        <v>120</v>
      </c>
      <c r="G110" s="201">
        <v>1.6303099999999999</v>
      </c>
      <c r="H110" s="201">
        <v>1.6229</v>
      </c>
      <c r="I110" s="202">
        <f t="shared" si="20"/>
        <v>7.4099999999999167E-3</v>
      </c>
      <c r="J110" s="201">
        <v>1.7094</v>
      </c>
      <c r="K110" s="199">
        <v>43753.177777777775</v>
      </c>
      <c r="L110" s="201">
        <v>1.6253599999999999</v>
      </c>
      <c r="M110" s="203">
        <f t="shared" si="21"/>
        <v>-5.0000000000000001E-3</v>
      </c>
      <c r="N110" s="204">
        <f t="shared" si="22"/>
        <v>-0.67</v>
      </c>
      <c r="O110" s="205">
        <f t="shared" si="23"/>
        <v>0</v>
      </c>
      <c r="P110" s="206">
        <f t="shared" si="24"/>
        <v>0</v>
      </c>
      <c r="Q110" s="206">
        <f t="shared" si="25"/>
        <v>-0.67</v>
      </c>
      <c r="R11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1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282070</v>
      </c>
      <c r="T11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287770</v>
      </c>
      <c r="U110" s="208">
        <f ca="1">IF(Tabla33610673[[#This Row],[Equity]]&lt;Tabla33610673[[#This Row],[Equity Peak]],(Tabla33610673[[#This Row],[Equity Peak]]-Tabla33610673[[#This Row],[Equity]])/Tabla33610673[[#This Row],[Equity Peak]],"")</f>
        <v>1.9807485144386142E-2</v>
      </c>
      <c r="V110" s="209">
        <f t="shared" si="26"/>
        <v>-0.67</v>
      </c>
      <c r="W110" s="209">
        <f t="shared" si="27"/>
        <v>0</v>
      </c>
      <c r="X110" s="209">
        <f t="shared" si="28"/>
        <v>0</v>
      </c>
      <c r="Y110" s="209">
        <f t="shared" si="29"/>
        <v>0</v>
      </c>
      <c r="Z110" s="209">
        <f t="shared" si="30"/>
        <v>0</v>
      </c>
      <c r="AA110" s="205">
        <f t="shared" si="31"/>
        <v>0</v>
      </c>
      <c r="AB110" s="209">
        <f t="shared" si="32"/>
        <v>0</v>
      </c>
      <c r="AC110" s="205">
        <f t="shared" si="33"/>
        <v>0</v>
      </c>
      <c r="AD110" s="210">
        <f t="shared" si="34"/>
        <v>0.67777777777519077</v>
      </c>
      <c r="AE110" s="210">
        <f t="shared" si="35"/>
        <v>0</v>
      </c>
      <c r="AF110" s="210">
        <f t="shared" si="36"/>
        <v>0.67777777777519077</v>
      </c>
      <c r="AG110" s="210">
        <f t="shared" si="37"/>
        <v>0</v>
      </c>
    </row>
    <row r="111" spans="2:33" ht="15" customHeight="1" x14ac:dyDescent="0.3">
      <c r="B111" s="196" t="s">
        <v>7</v>
      </c>
      <c r="C111" s="197" t="s">
        <v>13</v>
      </c>
      <c r="D111" s="198" t="str">
        <f t="shared" si="19"/>
        <v>C</v>
      </c>
      <c r="E111" s="199">
        <v>43749.5</v>
      </c>
      <c r="F111" s="200" t="s">
        <v>120</v>
      </c>
      <c r="G111" s="201">
        <v>1.6208400000000001</v>
      </c>
      <c r="H111" s="201">
        <v>1.62758</v>
      </c>
      <c r="I111" s="202">
        <f t="shared" si="20"/>
        <v>6.7399999999999682E-3</v>
      </c>
      <c r="J111" s="201">
        <v>1.5489900000000001</v>
      </c>
      <c r="K111" s="199">
        <v>43749.706944444442</v>
      </c>
      <c r="L111" s="201">
        <v>1.62758</v>
      </c>
      <c r="M111" s="203">
        <f t="shared" si="21"/>
        <v>-6.7000000000000002E-3</v>
      </c>
      <c r="N111" s="204">
        <f t="shared" si="22"/>
        <v>-0.99</v>
      </c>
      <c r="O111" s="205">
        <f t="shared" si="23"/>
        <v>0</v>
      </c>
      <c r="P111" s="206">
        <f t="shared" si="24"/>
        <v>0</v>
      </c>
      <c r="Q111" s="206">
        <f t="shared" si="25"/>
        <v>-0.99</v>
      </c>
      <c r="R11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1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282740</v>
      </c>
      <c r="T11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287770</v>
      </c>
      <c r="U111" s="208">
        <f ca="1">IF(Tabla33610673[[#This Row],[Equity]]&lt;Tabla33610673[[#This Row],[Equity Peak]],(Tabla33610673[[#This Row],[Equity Peak]]-Tabla33610673[[#This Row],[Equity]])/Tabla33610673[[#This Row],[Equity Peak]],"")</f>
        <v>1.7479236890572333E-2</v>
      </c>
      <c r="V111" s="209">
        <f t="shared" si="26"/>
        <v>-0.99</v>
      </c>
      <c r="W111" s="209">
        <f t="shared" si="27"/>
        <v>0</v>
      </c>
      <c r="X111" s="209">
        <f t="shared" si="28"/>
        <v>0</v>
      </c>
      <c r="Y111" s="209">
        <f t="shared" si="29"/>
        <v>0</v>
      </c>
      <c r="Z111" s="209">
        <f t="shared" si="30"/>
        <v>0</v>
      </c>
      <c r="AA111" s="205">
        <f t="shared" si="31"/>
        <v>0</v>
      </c>
      <c r="AB111" s="209">
        <f t="shared" si="32"/>
        <v>0</v>
      </c>
      <c r="AC111" s="205">
        <f t="shared" si="33"/>
        <v>0</v>
      </c>
      <c r="AD111" s="210">
        <f t="shared" si="34"/>
        <v>0.2069444444423425</v>
      </c>
      <c r="AE111" s="210">
        <f t="shared" si="35"/>
        <v>0</v>
      </c>
      <c r="AF111" s="210">
        <f t="shared" si="36"/>
        <v>0.2069444444423425</v>
      </c>
      <c r="AG111" s="210">
        <f t="shared" si="37"/>
        <v>0</v>
      </c>
    </row>
    <row r="112" spans="2:33" ht="15" customHeight="1" x14ac:dyDescent="0.3">
      <c r="B112" s="196" t="s">
        <v>19</v>
      </c>
      <c r="C112" s="197" t="s">
        <v>15</v>
      </c>
      <c r="D112" s="198" t="str">
        <f t="shared" si="19"/>
        <v>C</v>
      </c>
      <c r="E112" s="199">
        <v>43746.708333333336</v>
      </c>
      <c r="F112" s="200" t="s">
        <v>88</v>
      </c>
      <c r="G112" s="201">
        <v>1506.27</v>
      </c>
      <c r="H112" s="201">
        <v>1485.62</v>
      </c>
      <c r="I112" s="202">
        <f t="shared" si="20"/>
        <v>20.650000000000091</v>
      </c>
      <c r="J112" s="201">
        <v>1638.45</v>
      </c>
      <c r="K112" s="199">
        <v>43749.615277777775</v>
      </c>
      <c r="L112" s="201">
        <v>1489.42</v>
      </c>
      <c r="M112" s="203">
        <f t="shared" si="21"/>
        <v>-16.850000000000001</v>
      </c>
      <c r="N112" s="204">
        <f t="shared" si="22"/>
        <v>-0.82</v>
      </c>
      <c r="O112" s="205">
        <f t="shared" si="23"/>
        <v>0</v>
      </c>
      <c r="P112" s="206">
        <f t="shared" si="24"/>
        <v>0</v>
      </c>
      <c r="Q112" s="206">
        <f t="shared" si="25"/>
        <v>-0.82</v>
      </c>
      <c r="R11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1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283730</v>
      </c>
      <c r="T11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287770</v>
      </c>
      <c r="U112" s="208">
        <f ca="1">IF(Tabla33610673[[#This Row],[Equity]]&lt;Tabla33610673[[#This Row],[Equity Peak]],(Tabla33610673[[#This Row],[Equity Peak]]-Tabla33610673[[#This Row],[Equity]])/Tabla33610673[[#This Row],[Equity Peak]],"")</f>
        <v>1.4038989470757896E-2</v>
      </c>
      <c r="V112" s="209">
        <f t="shared" si="26"/>
        <v>0</v>
      </c>
      <c r="W112" s="209">
        <f t="shared" si="27"/>
        <v>0</v>
      </c>
      <c r="X112" s="209">
        <f t="shared" si="28"/>
        <v>-0.82</v>
      </c>
      <c r="Y112" s="209">
        <f t="shared" si="29"/>
        <v>0</v>
      </c>
      <c r="Z112" s="209">
        <f t="shared" si="30"/>
        <v>0</v>
      </c>
      <c r="AA112" s="205">
        <f t="shared" si="31"/>
        <v>0</v>
      </c>
      <c r="AB112" s="209">
        <f t="shared" si="32"/>
        <v>0</v>
      </c>
      <c r="AC112" s="205">
        <f t="shared" si="33"/>
        <v>0</v>
      </c>
      <c r="AD112" s="210">
        <f t="shared" si="34"/>
        <v>2.9069444444394321</v>
      </c>
      <c r="AE112" s="210">
        <f t="shared" si="35"/>
        <v>0</v>
      </c>
      <c r="AF112" s="210">
        <f t="shared" si="36"/>
        <v>2.9069444444394321</v>
      </c>
      <c r="AG112" s="210">
        <f t="shared" si="37"/>
        <v>0</v>
      </c>
    </row>
    <row r="113" spans="2:33" ht="15" customHeight="1" x14ac:dyDescent="0.3">
      <c r="B113" s="196" t="s">
        <v>7</v>
      </c>
      <c r="C113" s="197" t="s">
        <v>13</v>
      </c>
      <c r="D113" s="198" t="str">
        <f t="shared" si="19"/>
        <v>C</v>
      </c>
      <c r="E113" s="199">
        <v>43727.5</v>
      </c>
      <c r="F113" s="200" t="s">
        <v>121</v>
      </c>
      <c r="G113" s="201">
        <v>0.67942999999999998</v>
      </c>
      <c r="H113" s="201">
        <v>0.68254999999999999</v>
      </c>
      <c r="I113" s="202">
        <f t="shared" si="20"/>
        <v>3.1200000000000117E-3</v>
      </c>
      <c r="J113" s="201">
        <v>0.66276999999999997</v>
      </c>
      <c r="K113" s="199">
        <v>43749.501388888886</v>
      </c>
      <c r="L113" s="201">
        <v>0.67944000000000004</v>
      </c>
      <c r="M113" s="203">
        <f t="shared" si="21"/>
        <v>0</v>
      </c>
      <c r="N113" s="204">
        <f t="shared" si="22"/>
        <v>0</v>
      </c>
      <c r="O113" s="205">
        <f t="shared" si="23"/>
        <v>0</v>
      </c>
      <c r="P113" s="206">
        <f t="shared" si="24"/>
        <v>0</v>
      </c>
      <c r="Q113" s="206">
        <f t="shared" si="25"/>
        <v>0</v>
      </c>
      <c r="R11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1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284550</v>
      </c>
      <c r="T11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287770</v>
      </c>
      <c r="U113" s="208">
        <f ca="1">IF(Tabla33610673[[#This Row],[Equity]]&lt;Tabla33610673[[#This Row],[Equity Peak]],(Tabla33610673[[#This Row],[Equity Peak]]-Tabla33610673[[#This Row],[Equity]])/Tabla33610673[[#This Row],[Equity Peak]],"")</f>
        <v>1.1189491607881293E-2</v>
      </c>
      <c r="V113" s="209">
        <f t="shared" si="26"/>
        <v>0</v>
      </c>
      <c r="W113" s="209">
        <f t="shared" si="27"/>
        <v>0</v>
      </c>
      <c r="X113" s="209">
        <f t="shared" si="28"/>
        <v>0</v>
      </c>
      <c r="Y113" s="209">
        <f t="shared" si="29"/>
        <v>0</v>
      </c>
      <c r="Z113" s="209">
        <f t="shared" si="30"/>
        <v>0</v>
      </c>
      <c r="AA113" s="205">
        <f t="shared" si="31"/>
        <v>0</v>
      </c>
      <c r="AB113" s="209">
        <f t="shared" si="32"/>
        <v>0</v>
      </c>
      <c r="AC113" s="205">
        <f t="shared" si="33"/>
        <v>0</v>
      </c>
      <c r="AD113" s="210">
        <f t="shared" si="34"/>
        <v>22.00138888888614</v>
      </c>
      <c r="AE113" s="210">
        <f t="shared" si="35"/>
        <v>0</v>
      </c>
      <c r="AF113" s="210">
        <f t="shared" si="36"/>
        <v>0</v>
      </c>
      <c r="AG113" s="210">
        <f t="shared" si="37"/>
        <v>22.00138888888614</v>
      </c>
    </row>
    <row r="114" spans="2:33" ht="15" customHeight="1" x14ac:dyDescent="0.3">
      <c r="B114" s="196" t="s">
        <v>5</v>
      </c>
      <c r="C114" s="197" t="s">
        <v>13</v>
      </c>
      <c r="D114" s="198" t="str">
        <f t="shared" si="19"/>
        <v>C</v>
      </c>
      <c r="E114" s="199">
        <v>43742.017361111109</v>
      </c>
      <c r="F114" s="200" t="s">
        <v>91</v>
      </c>
      <c r="G114" s="201">
        <v>11979.52</v>
      </c>
      <c r="H114" s="201">
        <v>12233.8</v>
      </c>
      <c r="I114" s="202">
        <f t="shared" si="20"/>
        <v>254.27999999999884</v>
      </c>
      <c r="J114" s="201">
        <v>10962.39</v>
      </c>
      <c r="K114" s="199">
        <v>43749.354166666664</v>
      </c>
      <c r="L114" s="201">
        <v>12233.8</v>
      </c>
      <c r="M114" s="203">
        <f t="shared" si="21"/>
        <v>-254.28</v>
      </c>
      <c r="N114" s="204">
        <f t="shared" si="22"/>
        <v>-1</v>
      </c>
      <c r="O114" s="205">
        <f t="shared" si="23"/>
        <v>0</v>
      </c>
      <c r="P114" s="206">
        <f t="shared" si="24"/>
        <v>0</v>
      </c>
      <c r="Q114" s="206">
        <f t="shared" si="25"/>
        <v>-1</v>
      </c>
      <c r="R11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1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284550</v>
      </c>
      <c r="T11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287770</v>
      </c>
      <c r="U114" s="208">
        <f ca="1">IF(Tabla33610673[[#This Row],[Equity]]&lt;Tabla33610673[[#This Row],[Equity Peak]],(Tabla33610673[[#This Row],[Equity Peak]]-Tabla33610673[[#This Row],[Equity]])/Tabla33610673[[#This Row],[Equity Peak]],"")</f>
        <v>1.1189491607881293E-2</v>
      </c>
      <c r="V114" s="209">
        <f t="shared" si="26"/>
        <v>0</v>
      </c>
      <c r="W114" s="209">
        <f t="shared" si="27"/>
        <v>0</v>
      </c>
      <c r="X114" s="209">
        <f t="shared" si="28"/>
        <v>0</v>
      </c>
      <c r="Y114" s="209">
        <f t="shared" si="29"/>
        <v>0</v>
      </c>
      <c r="Z114" s="209">
        <f t="shared" si="30"/>
        <v>-1</v>
      </c>
      <c r="AA114" s="205">
        <f t="shared" si="31"/>
        <v>0</v>
      </c>
      <c r="AB114" s="209">
        <f t="shared" si="32"/>
        <v>0</v>
      </c>
      <c r="AC114" s="205">
        <f t="shared" si="33"/>
        <v>0</v>
      </c>
      <c r="AD114" s="210">
        <f t="shared" si="34"/>
        <v>7.3368055555547471</v>
      </c>
      <c r="AE114" s="210">
        <f t="shared" si="35"/>
        <v>0</v>
      </c>
      <c r="AF114" s="210">
        <f t="shared" si="36"/>
        <v>7.3368055555547471</v>
      </c>
      <c r="AG114" s="210">
        <f t="shared" si="37"/>
        <v>0</v>
      </c>
    </row>
    <row r="115" spans="2:33" ht="15" customHeight="1" x14ac:dyDescent="0.3">
      <c r="B115" s="196" t="s">
        <v>7</v>
      </c>
      <c r="C115" s="197" t="s">
        <v>13</v>
      </c>
      <c r="D115" s="198" t="str">
        <f t="shared" si="19"/>
        <v>C</v>
      </c>
      <c r="E115" s="199">
        <v>43740.5</v>
      </c>
      <c r="F115" s="200" t="s">
        <v>115</v>
      </c>
      <c r="G115" s="201">
        <v>131.63800000000001</v>
      </c>
      <c r="H115" s="201">
        <v>132.93700000000001</v>
      </c>
      <c r="I115" s="202">
        <f t="shared" si="20"/>
        <v>1.2990000000000066</v>
      </c>
      <c r="J115" s="201">
        <v>124.364</v>
      </c>
      <c r="K115" s="199">
        <v>43748.714583333334</v>
      </c>
      <c r="L115" s="201">
        <v>131.999</v>
      </c>
      <c r="M115" s="203">
        <f t="shared" si="21"/>
        <v>-0.36099999999999999</v>
      </c>
      <c r="N115" s="204">
        <f t="shared" si="22"/>
        <v>-0.28000000000000003</v>
      </c>
      <c r="O115" s="205">
        <f t="shared" si="23"/>
        <v>0</v>
      </c>
      <c r="P115" s="206">
        <f t="shared" si="24"/>
        <v>0</v>
      </c>
      <c r="Q115" s="206">
        <f t="shared" si="25"/>
        <v>-0.28000000000000003</v>
      </c>
      <c r="R11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1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285550</v>
      </c>
      <c r="T11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287770</v>
      </c>
      <c r="U115" s="208">
        <f ca="1">IF(Tabla33610673[[#This Row],[Equity]]&lt;Tabla33610673[[#This Row],[Equity Peak]],(Tabla33610673[[#This Row],[Equity Peak]]-Tabla33610673[[#This Row],[Equity]])/Tabla33610673[[#This Row],[Equity Peak]],"")</f>
        <v>7.7144942141293398E-3</v>
      </c>
      <c r="V115" s="209">
        <f t="shared" si="26"/>
        <v>-0.28000000000000003</v>
      </c>
      <c r="W115" s="209">
        <f t="shared" si="27"/>
        <v>0</v>
      </c>
      <c r="X115" s="209">
        <f t="shared" si="28"/>
        <v>0</v>
      </c>
      <c r="Y115" s="209">
        <f t="shared" si="29"/>
        <v>0</v>
      </c>
      <c r="Z115" s="209">
        <f t="shared" si="30"/>
        <v>0</v>
      </c>
      <c r="AA115" s="205">
        <f t="shared" si="31"/>
        <v>0</v>
      </c>
      <c r="AB115" s="209">
        <f t="shared" si="32"/>
        <v>0</v>
      </c>
      <c r="AC115" s="205">
        <f t="shared" si="33"/>
        <v>0</v>
      </c>
      <c r="AD115" s="210">
        <f t="shared" si="34"/>
        <v>8.2145833333343035</v>
      </c>
      <c r="AE115" s="210">
        <f t="shared" si="35"/>
        <v>0</v>
      </c>
      <c r="AF115" s="210">
        <f t="shared" si="36"/>
        <v>8.2145833333343035</v>
      </c>
      <c r="AG115" s="210">
        <f t="shared" si="37"/>
        <v>0</v>
      </c>
    </row>
    <row r="116" spans="2:33" ht="15" customHeight="1" x14ac:dyDescent="0.3">
      <c r="B116" s="196" t="s">
        <v>19</v>
      </c>
      <c r="C116" s="197" t="s">
        <v>15</v>
      </c>
      <c r="D116" s="198" t="str">
        <f t="shared" si="19"/>
        <v>C</v>
      </c>
      <c r="E116" s="199">
        <v>43741.541666666664</v>
      </c>
      <c r="F116" s="200" t="s">
        <v>88</v>
      </c>
      <c r="G116" s="201">
        <v>1500.5</v>
      </c>
      <c r="H116" s="201">
        <v>1478.49</v>
      </c>
      <c r="I116" s="202">
        <f t="shared" si="20"/>
        <v>22.009999999999991</v>
      </c>
      <c r="J116" s="201">
        <v>1641.39</v>
      </c>
      <c r="K116" s="199">
        <v>43745.81527777778</v>
      </c>
      <c r="L116" s="201">
        <v>1490.16</v>
      </c>
      <c r="M116" s="203">
        <f t="shared" si="21"/>
        <v>-10.34</v>
      </c>
      <c r="N116" s="204">
        <f t="shared" si="22"/>
        <v>-0.47</v>
      </c>
      <c r="O116" s="205">
        <f t="shared" si="23"/>
        <v>0</v>
      </c>
      <c r="P116" s="206">
        <f t="shared" si="24"/>
        <v>0</v>
      </c>
      <c r="Q116" s="206">
        <f t="shared" si="25"/>
        <v>-0.47</v>
      </c>
      <c r="R11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1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285830</v>
      </c>
      <c r="T11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287770</v>
      </c>
      <c r="U116" s="208">
        <f ca="1">IF(Tabla33610673[[#This Row],[Equity]]&lt;Tabla33610673[[#This Row],[Equity Peak]],(Tabla33610673[[#This Row],[Equity Peak]]-Tabla33610673[[#This Row],[Equity]])/Tabla33610673[[#This Row],[Equity Peak]],"")</f>
        <v>6.7414949438787918E-3</v>
      </c>
      <c r="V116" s="209">
        <f t="shared" si="26"/>
        <v>0</v>
      </c>
      <c r="W116" s="209">
        <f t="shared" si="27"/>
        <v>0</v>
      </c>
      <c r="X116" s="209">
        <f t="shared" si="28"/>
        <v>-0.47</v>
      </c>
      <c r="Y116" s="209">
        <f t="shared" si="29"/>
        <v>0</v>
      </c>
      <c r="Z116" s="209">
        <f t="shared" si="30"/>
        <v>0</v>
      </c>
      <c r="AA116" s="205">
        <f t="shared" si="31"/>
        <v>0</v>
      </c>
      <c r="AB116" s="209">
        <f t="shared" si="32"/>
        <v>0</v>
      </c>
      <c r="AC116" s="205">
        <f t="shared" si="33"/>
        <v>0</v>
      </c>
      <c r="AD116" s="210">
        <f t="shared" si="34"/>
        <v>4.273611111115315</v>
      </c>
      <c r="AE116" s="210">
        <f t="shared" si="35"/>
        <v>0</v>
      </c>
      <c r="AF116" s="210">
        <f t="shared" si="36"/>
        <v>4.273611111115315</v>
      </c>
      <c r="AG116" s="210">
        <f t="shared" si="37"/>
        <v>0</v>
      </c>
    </row>
    <row r="117" spans="2:33" ht="15" customHeight="1" x14ac:dyDescent="0.3">
      <c r="B117" s="196" t="s">
        <v>7</v>
      </c>
      <c r="C117" s="197" t="s">
        <v>13</v>
      </c>
      <c r="D117" s="198" t="str">
        <f t="shared" si="19"/>
        <v>C</v>
      </c>
      <c r="E117" s="199">
        <v>43740.833333333336</v>
      </c>
      <c r="F117" s="200" t="s">
        <v>113</v>
      </c>
      <c r="G117" s="201">
        <v>107.11</v>
      </c>
      <c r="H117" s="201">
        <v>108.014</v>
      </c>
      <c r="I117" s="202">
        <f t="shared" si="20"/>
        <v>0.90399999999999636</v>
      </c>
      <c r="J117" s="201">
        <v>102.89</v>
      </c>
      <c r="K117" s="199">
        <v>43745.771527777775</v>
      </c>
      <c r="L117" s="201">
        <v>107.13500000000001</v>
      </c>
      <c r="M117" s="203">
        <f t="shared" si="21"/>
        <v>-2.5000000000000001E-2</v>
      </c>
      <c r="N117" s="204">
        <f t="shared" si="22"/>
        <v>-0.03</v>
      </c>
      <c r="O117" s="205">
        <f t="shared" si="23"/>
        <v>0</v>
      </c>
      <c r="P117" s="206">
        <f t="shared" si="24"/>
        <v>0</v>
      </c>
      <c r="Q117" s="206">
        <f t="shared" si="25"/>
        <v>-0.03</v>
      </c>
      <c r="R11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1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286300</v>
      </c>
      <c r="T11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287770</v>
      </c>
      <c r="U117" s="208">
        <f ca="1">IF(Tabla33610673[[#This Row],[Equity]]&lt;Tabla33610673[[#This Row],[Equity Peak]],(Tabla33610673[[#This Row],[Equity Peak]]-Tabla33610673[[#This Row],[Equity]])/Tabla33610673[[#This Row],[Equity Peak]],"")</f>
        <v>5.1082461688153735E-3</v>
      </c>
      <c r="V117" s="209">
        <f t="shared" si="26"/>
        <v>-0.03</v>
      </c>
      <c r="W117" s="209">
        <f t="shared" si="27"/>
        <v>0</v>
      </c>
      <c r="X117" s="209">
        <f t="shared" si="28"/>
        <v>0</v>
      </c>
      <c r="Y117" s="209">
        <f t="shared" si="29"/>
        <v>0</v>
      </c>
      <c r="Z117" s="209">
        <f t="shared" si="30"/>
        <v>0</v>
      </c>
      <c r="AA117" s="205">
        <f t="shared" si="31"/>
        <v>0</v>
      </c>
      <c r="AB117" s="209">
        <f t="shared" si="32"/>
        <v>0</v>
      </c>
      <c r="AC117" s="205">
        <f t="shared" si="33"/>
        <v>0</v>
      </c>
      <c r="AD117" s="210">
        <f t="shared" si="34"/>
        <v>4.9381944444394321</v>
      </c>
      <c r="AE117" s="210">
        <f t="shared" si="35"/>
        <v>0</v>
      </c>
      <c r="AF117" s="210">
        <f t="shared" si="36"/>
        <v>4.9381944444394321</v>
      </c>
      <c r="AG117" s="210">
        <f t="shared" si="37"/>
        <v>0</v>
      </c>
    </row>
    <row r="118" spans="2:33" ht="15" customHeight="1" x14ac:dyDescent="0.3">
      <c r="B118" s="196" t="s">
        <v>5</v>
      </c>
      <c r="C118" s="197" t="s">
        <v>13</v>
      </c>
      <c r="D118" s="198" t="str">
        <f t="shared" si="19"/>
        <v>C</v>
      </c>
      <c r="E118" s="199">
        <v>43741.118055555555</v>
      </c>
      <c r="F118" s="200" t="s">
        <v>90</v>
      </c>
      <c r="G118" s="201">
        <v>6500.4</v>
      </c>
      <c r="H118" s="201">
        <v>6554.81</v>
      </c>
      <c r="I118" s="202">
        <f t="shared" si="20"/>
        <v>54.410000000000764</v>
      </c>
      <c r="J118" s="201">
        <v>5774.97</v>
      </c>
      <c r="K118" s="199">
        <v>43742.97152777778</v>
      </c>
      <c r="L118" s="201">
        <v>6554.81</v>
      </c>
      <c r="M118" s="203">
        <f t="shared" si="21"/>
        <v>-54.41</v>
      </c>
      <c r="N118" s="204">
        <f t="shared" si="22"/>
        <v>-1</v>
      </c>
      <c r="O118" s="205">
        <f t="shared" si="23"/>
        <v>0</v>
      </c>
      <c r="P118" s="206">
        <f t="shared" si="24"/>
        <v>0</v>
      </c>
      <c r="Q118" s="206">
        <f t="shared" si="25"/>
        <v>-1</v>
      </c>
      <c r="R11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1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286330</v>
      </c>
      <c r="T11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287770</v>
      </c>
      <c r="U118" s="208">
        <f ca="1">IF(Tabla33610673[[#This Row],[Equity]]&lt;Tabla33610673[[#This Row],[Equity Peak]],(Tabla33610673[[#This Row],[Equity Peak]]-Tabla33610673[[#This Row],[Equity]])/Tabla33610673[[#This Row],[Equity Peak]],"")</f>
        <v>5.003996247002815E-3</v>
      </c>
      <c r="V118" s="209">
        <f t="shared" si="26"/>
        <v>0</v>
      </c>
      <c r="W118" s="209">
        <f t="shared" si="27"/>
        <v>0</v>
      </c>
      <c r="X118" s="209">
        <f t="shared" si="28"/>
        <v>0</v>
      </c>
      <c r="Y118" s="209">
        <f t="shared" si="29"/>
        <v>0</v>
      </c>
      <c r="Z118" s="209">
        <f t="shared" si="30"/>
        <v>-1</v>
      </c>
      <c r="AA118" s="205">
        <f t="shared" si="31"/>
        <v>0</v>
      </c>
      <c r="AB118" s="209">
        <f t="shared" si="32"/>
        <v>0</v>
      </c>
      <c r="AC118" s="205">
        <f t="shared" si="33"/>
        <v>0</v>
      </c>
      <c r="AD118" s="210">
        <f t="shared" si="34"/>
        <v>1.8534722222248092</v>
      </c>
      <c r="AE118" s="210">
        <f t="shared" si="35"/>
        <v>0</v>
      </c>
      <c r="AF118" s="210">
        <f t="shared" si="36"/>
        <v>1.8534722222248092</v>
      </c>
      <c r="AG118" s="210">
        <f t="shared" si="37"/>
        <v>0</v>
      </c>
    </row>
    <row r="119" spans="2:33" ht="15" customHeight="1" x14ac:dyDescent="0.3">
      <c r="B119" s="196" t="s">
        <v>5</v>
      </c>
      <c r="C119" s="197" t="s">
        <v>13</v>
      </c>
      <c r="D119" s="198" t="str">
        <f t="shared" si="19"/>
        <v>C</v>
      </c>
      <c r="E119" s="199">
        <v>43740.666666666664</v>
      </c>
      <c r="F119" s="200" t="s">
        <v>95</v>
      </c>
      <c r="G119" s="201">
        <v>26398.3</v>
      </c>
      <c r="H119" s="201">
        <v>26582.63</v>
      </c>
      <c r="I119" s="202">
        <f t="shared" si="20"/>
        <v>184.33000000000175</v>
      </c>
      <c r="J119" s="201">
        <v>25660.99</v>
      </c>
      <c r="K119" s="199">
        <v>43742.773611111108</v>
      </c>
      <c r="L119" s="201">
        <v>26431.38</v>
      </c>
      <c r="M119" s="203">
        <f t="shared" si="21"/>
        <v>-33.08</v>
      </c>
      <c r="N119" s="204">
        <f t="shared" si="22"/>
        <v>-0.18</v>
      </c>
      <c r="O119" s="205">
        <f t="shared" si="23"/>
        <v>0</v>
      </c>
      <c r="P119" s="206">
        <f t="shared" si="24"/>
        <v>0</v>
      </c>
      <c r="Q119" s="206">
        <f t="shared" si="25"/>
        <v>-0.18</v>
      </c>
      <c r="R11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1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287330</v>
      </c>
      <c r="T11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287770</v>
      </c>
      <c r="U119" s="208">
        <f ca="1">IF(Tabla33610673[[#This Row],[Equity]]&lt;Tabla33610673[[#This Row],[Equity Peak]],(Tabla33610673[[#This Row],[Equity Peak]]-Tabla33610673[[#This Row],[Equity]])/Tabla33610673[[#This Row],[Equity Peak]],"")</f>
        <v>1.5289988532508601E-3</v>
      </c>
      <c r="V119" s="209">
        <f t="shared" si="26"/>
        <v>0</v>
      </c>
      <c r="W119" s="209">
        <f t="shared" si="27"/>
        <v>0</v>
      </c>
      <c r="X119" s="209">
        <f t="shared" si="28"/>
        <v>0</v>
      </c>
      <c r="Y119" s="209">
        <f t="shared" si="29"/>
        <v>0</v>
      </c>
      <c r="Z119" s="209">
        <f t="shared" si="30"/>
        <v>-0.18</v>
      </c>
      <c r="AA119" s="205">
        <f t="shared" si="31"/>
        <v>0</v>
      </c>
      <c r="AB119" s="209">
        <f t="shared" si="32"/>
        <v>0</v>
      </c>
      <c r="AC119" s="205">
        <f t="shared" si="33"/>
        <v>0</v>
      </c>
      <c r="AD119" s="210">
        <f t="shared" si="34"/>
        <v>2.1069444444437977</v>
      </c>
      <c r="AE119" s="210">
        <f t="shared" si="35"/>
        <v>0</v>
      </c>
      <c r="AF119" s="210">
        <f t="shared" si="36"/>
        <v>2.1069444444437977</v>
      </c>
      <c r="AG119" s="210">
        <f t="shared" si="37"/>
        <v>0</v>
      </c>
    </row>
    <row r="120" spans="2:33" ht="15" customHeight="1" x14ac:dyDescent="0.3">
      <c r="B120" s="196" t="s">
        <v>7</v>
      </c>
      <c r="C120" s="197" t="s">
        <v>15</v>
      </c>
      <c r="D120" s="198" t="str">
        <f t="shared" si="19"/>
        <v>C</v>
      </c>
      <c r="E120" s="199">
        <v>43739.5</v>
      </c>
      <c r="F120" s="200" t="s">
        <v>120</v>
      </c>
      <c r="G120" s="201">
        <v>1.6262300000000001</v>
      </c>
      <c r="H120" s="201">
        <v>1.61877</v>
      </c>
      <c r="I120" s="202">
        <f t="shared" si="20"/>
        <v>7.4600000000000222E-3</v>
      </c>
      <c r="J120" s="201">
        <v>1.70581</v>
      </c>
      <c r="K120" s="199">
        <v>43742</v>
      </c>
      <c r="L120" s="201">
        <v>1.62601</v>
      </c>
      <c r="M120" s="203">
        <f t="shared" si="21"/>
        <v>-2.0000000000000001E-4</v>
      </c>
      <c r="N120" s="204">
        <f t="shared" si="22"/>
        <v>-0.03</v>
      </c>
      <c r="O120" s="205">
        <f t="shared" si="23"/>
        <v>0</v>
      </c>
      <c r="P120" s="206">
        <f t="shared" si="24"/>
        <v>0</v>
      </c>
      <c r="Q120" s="206">
        <f t="shared" si="25"/>
        <v>-0.03</v>
      </c>
      <c r="R12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2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287510</v>
      </c>
      <c r="T12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287770</v>
      </c>
      <c r="U120" s="208">
        <f ca="1">IF(Tabla33610673[[#This Row],[Equity]]&lt;Tabla33610673[[#This Row],[Equity Peak]],(Tabla33610673[[#This Row],[Equity Peak]]-Tabla33610673[[#This Row],[Equity]])/Tabla33610673[[#This Row],[Equity Peak]],"")</f>
        <v>9.0349932237550822E-4</v>
      </c>
      <c r="V120" s="209">
        <f t="shared" si="26"/>
        <v>-0.03</v>
      </c>
      <c r="W120" s="209">
        <f t="shared" si="27"/>
        <v>0</v>
      </c>
      <c r="X120" s="209">
        <f t="shared" si="28"/>
        <v>0</v>
      </c>
      <c r="Y120" s="209">
        <f t="shared" si="29"/>
        <v>0</v>
      </c>
      <c r="Z120" s="209">
        <f t="shared" si="30"/>
        <v>0</v>
      </c>
      <c r="AA120" s="205">
        <f t="shared" si="31"/>
        <v>0</v>
      </c>
      <c r="AB120" s="209">
        <f t="shared" si="32"/>
        <v>0</v>
      </c>
      <c r="AC120" s="205">
        <f t="shared" si="33"/>
        <v>0</v>
      </c>
      <c r="AD120" s="210">
        <f t="shared" si="34"/>
        <v>2.5</v>
      </c>
      <c r="AE120" s="210">
        <f t="shared" si="35"/>
        <v>0</v>
      </c>
      <c r="AF120" s="210">
        <f t="shared" si="36"/>
        <v>2.5</v>
      </c>
      <c r="AG120" s="210">
        <f t="shared" si="37"/>
        <v>0</v>
      </c>
    </row>
    <row r="121" spans="2:33" ht="15" customHeight="1" x14ac:dyDescent="0.3">
      <c r="B121" s="196" t="s">
        <v>7</v>
      </c>
      <c r="C121" s="197" t="s">
        <v>15</v>
      </c>
      <c r="D121" s="198" t="str">
        <f t="shared" si="19"/>
        <v>C</v>
      </c>
      <c r="E121" s="199">
        <v>43740.017361111109</v>
      </c>
      <c r="F121" s="200" t="s">
        <v>116</v>
      </c>
      <c r="G121" s="201">
        <v>1.8351299999999999</v>
      </c>
      <c r="H121" s="201">
        <v>1.81596</v>
      </c>
      <c r="I121" s="202">
        <f t="shared" si="20"/>
        <v>1.9169999999999909E-2</v>
      </c>
      <c r="J121" s="201">
        <v>1.89903</v>
      </c>
      <c r="K121" s="199">
        <v>43741.915277777778</v>
      </c>
      <c r="L121" s="201">
        <v>1.83066</v>
      </c>
      <c r="M121" s="203">
        <f t="shared" si="21"/>
        <v>-4.4999999999999997E-3</v>
      </c>
      <c r="N121" s="204">
        <f t="shared" si="22"/>
        <v>-0.23</v>
      </c>
      <c r="O121" s="205">
        <f t="shared" si="23"/>
        <v>0</v>
      </c>
      <c r="P121" s="206">
        <f t="shared" si="24"/>
        <v>0</v>
      </c>
      <c r="Q121" s="206">
        <f t="shared" si="25"/>
        <v>-0.23</v>
      </c>
      <c r="R12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2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287540</v>
      </c>
      <c r="T12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287770</v>
      </c>
      <c r="U121" s="208">
        <f ca="1">IF(Tabla33610673[[#This Row],[Equity]]&lt;Tabla33610673[[#This Row],[Equity Peak]],(Tabla33610673[[#This Row],[Equity Peak]]-Tabla33610673[[#This Row],[Equity]])/Tabla33610673[[#This Row],[Equity Peak]],"")</f>
        <v>7.9924940056294959E-4</v>
      </c>
      <c r="V121" s="209">
        <f t="shared" si="26"/>
        <v>-0.23</v>
      </c>
      <c r="W121" s="209">
        <f t="shared" si="27"/>
        <v>0</v>
      </c>
      <c r="X121" s="209">
        <f t="shared" si="28"/>
        <v>0</v>
      </c>
      <c r="Y121" s="209">
        <f t="shared" si="29"/>
        <v>0</v>
      </c>
      <c r="Z121" s="209">
        <f t="shared" si="30"/>
        <v>0</v>
      </c>
      <c r="AA121" s="205">
        <f t="shared" si="31"/>
        <v>0</v>
      </c>
      <c r="AB121" s="209">
        <f t="shared" si="32"/>
        <v>0</v>
      </c>
      <c r="AC121" s="205">
        <f t="shared" si="33"/>
        <v>0</v>
      </c>
      <c r="AD121" s="210">
        <f t="shared" si="34"/>
        <v>1.8979166666686069</v>
      </c>
      <c r="AE121" s="210">
        <f t="shared" si="35"/>
        <v>0</v>
      </c>
      <c r="AF121" s="210">
        <f t="shared" si="36"/>
        <v>1.8979166666686069</v>
      </c>
      <c r="AG121" s="210">
        <f t="shared" si="37"/>
        <v>0</v>
      </c>
    </row>
    <row r="122" spans="2:33" ht="15" customHeight="1" x14ac:dyDescent="0.3">
      <c r="B122" s="196" t="s">
        <v>5</v>
      </c>
      <c r="C122" s="197" t="s">
        <v>13</v>
      </c>
      <c r="D122" s="198" t="str">
        <f t="shared" si="19"/>
        <v>C</v>
      </c>
      <c r="E122" s="199">
        <v>43740.5</v>
      </c>
      <c r="F122" s="200" t="s">
        <v>93</v>
      </c>
      <c r="G122" s="201">
        <v>2923.55</v>
      </c>
      <c r="H122" s="201">
        <v>2942</v>
      </c>
      <c r="I122" s="202">
        <f t="shared" si="20"/>
        <v>18.449999999999818</v>
      </c>
      <c r="J122" s="201">
        <v>2874.35</v>
      </c>
      <c r="K122" s="199">
        <v>43741.671527777777</v>
      </c>
      <c r="L122" s="201">
        <v>2874.35</v>
      </c>
      <c r="M122" s="203">
        <f t="shared" si="21"/>
        <v>49.2</v>
      </c>
      <c r="N122" s="204">
        <f t="shared" si="22"/>
        <v>2.67</v>
      </c>
      <c r="O122" s="205">
        <f t="shared" si="23"/>
        <v>0</v>
      </c>
      <c r="P122" s="206">
        <f t="shared" si="24"/>
        <v>2.67</v>
      </c>
      <c r="Q122" s="206">
        <f t="shared" si="25"/>
        <v>0</v>
      </c>
      <c r="R12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2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287770</v>
      </c>
      <c r="T12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287770</v>
      </c>
      <c r="U122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122" s="209">
        <f t="shared" si="26"/>
        <v>0</v>
      </c>
      <c r="W122" s="209">
        <f t="shared" si="27"/>
        <v>0</v>
      </c>
      <c r="X122" s="209">
        <f t="shared" si="28"/>
        <v>0</v>
      </c>
      <c r="Y122" s="209">
        <f t="shared" si="29"/>
        <v>0</v>
      </c>
      <c r="Z122" s="209">
        <f t="shared" si="30"/>
        <v>2.67</v>
      </c>
      <c r="AA122" s="205">
        <f t="shared" si="31"/>
        <v>0</v>
      </c>
      <c r="AB122" s="209">
        <f t="shared" si="32"/>
        <v>0</v>
      </c>
      <c r="AC122" s="205">
        <f t="shared" si="33"/>
        <v>0</v>
      </c>
      <c r="AD122" s="210">
        <f t="shared" si="34"/>
        <v>1.171527777776646</v>
      </c>
      <c r="AE122" s="210">
        <f t="shared" si="35"/>
        <v>1.171527777776646</v>
      </c>
      <c r="AF122" s="210">
        <f t="shared" si="36"/>
        <v>0</v>
      </c>
      <c r="AG122" s="210">
        <f t="shared" si="37"/>
        <v>0</v>
      </c>
    </row>
    <row r="123" spans="2:33" ht="15" customHeight="1" x14ac:dyDescent="0.3">
      <c r="B123" s="196" t="s">
        <v>5</v>
      </c>
      <c r="C123" s="197" t="s">
        <v>13</v>
      </c>
      <c r="D123" s="198" t="str">
        <f t="shared" si="19"/>
        <v>C</v>
      </c>
      <c r="E123" s="199">
        <v>43740.166666666664</v>
      </c>
      <c r="F123" s="200" t="s">
        <v>94</v>
      </c>
      <c r="G123" s="201">
        <v>7326.65</v>
      </c>
      <c r="H123" s="201">
        <v>7384.57</v>
      </c>
      <c r="I123" s="202">
        <f t="shared" si="20"/>
        <v>57.920000000000073</v>
      </c>
      <c r="J123" s="201">
        <v>7037.03</v>
      </c>
      <c r="K123" s="199">
        <v>43741.61041666667</v>
      </c>
      <c r="L123" s="201">
        <v>7037.03</v>
      </c>
      <c r="M123" s="203">
        <f t="shared" si="21"/>
        <v>289.62</v>
      </c>
      <c r="N123" s="204">
        <f t="shared" si="22"/>
        <v>5</v>
      </c>
      <c r="O123" s="205">
        <f t="shared" si="23"/>
        <v>0</v>
      </c>
      <c r="P123" s="206">
        <f t="shared" si="24"/>
        <v>5</v>
      </c>
      <c r="Q123" s="206">
        <f t="shared" si="25"/>
        <v>0</v>
      </c>
      <c r="R12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2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285100</v>
      </c>
      <c r="T12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285100</v>
      </c>
      <c r="U123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123" s="209">
        <f t="shared" si="26"/>
        <v>0</v>
      </c>
      <c r="W123" s="209">
        <f t="shared" si="27"/>
        <v>0</v>
      </c>
      <c r="X123" s="209">
        <f t="shared" si="28"/>
        <v>0</v>
      </c>
      <c r="Y123" s="209">
        <f t="shared" si="29"/>
        <v>0</v>
      </c>
      <c r="Z123" s="209">
        <f t="shared" si="30"/>
        <v>5</v>
      </c>
      <c r="AA123" s="205">
        <f t="shared" si="31"/>
        <v>0</v>
      </c>
      <c r="AB123" s="209">
        <f t="shared" si="32"/>
        <v>0</v>
      </c>
      <c r="AC123" s="205">
        <f t="shared" si="33"/>
        <v>0</v>
      </c>
      <c r="AD123" s="210">
        <f t="shared" si="34"/>
        <v>1.4437500000058208</v>
      </c>
      <c r="AE123" s="210">
        <f t="shared" si="35"/>
        <v>1.4437500000058208</v>
      </c>
      <c r="AF123" s="210">
        <f t="shared" si="36"/>
        <v>0</v>
      </c>
      <c r="AG123" s="210">
        <f t="shared" si="37"/>
        <v>0</v>
      </c>
    </row>
    <row r="124" spans="2:33" ht="15" customHeight="1" x14ac:dyDescent="0.3">
      <c r="B124" s="196" t="s">
        <v>7</v>
      </c>
      <c r="C124" s="197" t="s">
        <v>13</v>
      </c>
      <c r="D124" s="198" t="str">
        <f t="shared" si="19"/>
        <v>C</v>
      </c>
      <c r="E124" s="199">
        <v>43734.166666666664</v>
      </c>
      <c r="F124" s="200" t="s">
        <v>114</v>
      </c>
      <c r="G124" s="201">
        <v>1.2359500000000001</v>
      </c>
      <c r="H124" s="201">
        <v>1.2443299999999999</v>
      </c>
      <c r="I124" s="202">
        <f t="shared" si="20"/>
        <v>8.379999999999832E-3</v>
      </c>
      <c r="J124" s="201">
        <v>1.20244</v>
      </c>
      <c r="K124" s="199">
        <v>43741.605555555558</v>
      </c>
      <c r="L124" s="201">
        <v>1.2369600000000001</v>
      </c>
      <c r="M124" s="203">
        <f t="shared" si="21"/>
        <v>-1E-3</v>
      </c>
      <c r="N124" s="204">
        <f t="shared" si="22"/>
        <v>-0.12</v>
      </c>
      <c r="O124" s="205">
        <f t="shared" si="23"/>
        <v>0</v>
      </c>
      <c r="P124" s="206">
        <f t="shared" si="24"/>
        <v>0</v>
      </c>
      <c r="Q124" s="206">
        <f t="shared" si="25"/>
        <v>-0.12</v>
      </c>
      <c r="R12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2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280100</v>
      </c>
      <c r="T12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281500</v>
      </c>
      <c r="U124" s="208">
        <f ca="1">IF(Tabla33610673[[#This Row],[Equity]]&lt;Tabla33610673[[#This Row],[Equity Peak]],(Tabla33610673[[#This Row],[Equity Peak]]-Tabla33610673[[#This Row],[Equity]])/Tabla33610673[[#This Row],[Equity Peak]],"")</f>
        <v>4.9733570159857902E-3</v>
      </c>
      <c r="V124" s="209">
        <f t="shared" si="26"/>
        <v>-0.12</v>
      </c>
      <c r="W124" s="209">
        <f t="shared" si="27"/>
        <v>0</v>
      </c>
      <c r="X124" s="209">
        <f t="shared" si="28"/>
        <v>0</v>
      </c>
      <c r="Y124" s="209">
        <f t="shared" si="29"/>
        <v>0</v>
      </c>
      <c r="Z124" s="209">
        <f t="shared" si="30"/>
        <v>0</v>
      </c>
      <c r="AA124" s="205">
        <f t="shared" si="31"/>
        <v>0</v>
      </c>
      <c r="AB124" s="209">
        <f t="shared" si="32"/>
        <v>0</v>
      </c>
      <c r="AC124" s="205">
        <f t="shared" si="33"/>
        <v>0</v>
      </c>
      <c r="AD124" s="210">
        <f t="shared" si="34"/>
        <v>7.4388888888934162</v>
      </c>
      <c r="AE124" s="210">
        <f t="shared" si="35"/>
        <v>0</v>
      </c>
      <c r="AF124" s="210">
        <f t="shared" si="36"/>
        <v>7.4388888888934162</v>
      </c>
      <c r="AG124" s="210">
        <f t="shared" si="37"/>
        <v>0</v>
      </c>
    </row>
    <row r="125" spans="2:33" ht="15" customHeight="1" x14ac:dyDescent="0.3">
      <c r="B125" s="196" t="s">
        <v>19</v>
      </c>
      <c r="C125" s="197" t="s">
        <v>13</v>
      </c>
      <c r="D125" s="198" t="str">
        <f t="shared" si="19"/>
        <v>C</v>
      </c>
      <c r="E125" s="199">
        <v>43735.208333333336</v>
      </c>
      <c r="F125" s="200" t="s">
        <v>89</v>
      </c>
      <c r="G125" s="201">
        <v>17.837</v>
      </c>
      <c r="H125" s="201">
        <v>18.292999999999999</v>
      </c>
      <c r="I125" s="202">
        <f t="shared" si="20"/>
        <v>0.45599999999999952</v>
      </c>
      <c r="J125" s="201">
        <v>15.648</v>
      </c>
      <c r="K125" s="199">
        <v>43739.787499999999</v>
      </c>
      <c r="L125" s="201">
        <v>17.268000000000001</v>
      </c>
      <c r="M125" s="203">
        <f t="shared" si="21"/>
        <v>0.56899999999999995</v>
      </c>
      <c r="N125" s="204">
        <f t="shared" si="22"/>
        <v>1.25</v>
      </c>
      <c r="O125" s="205">
        <f t="shared" si="23"/>
        <v>0</v>
      </c>
      <c r="P125" s="206">
        <f t="shared" si="24"/>
        <v>1.25</v>
      </c>
      <c r="Q125" s="206">
        <f t="shared" si="25"/>
        <v>0</v>
      </c>
      <c r="R12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2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280220</v>
      </c>
      <c r="T12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281500</v>
      </c>
      <c r="U125" s="208">
        <f ca="1">IF(Tabla33610673[[#This Row],[Equity]]&lt;Tabla33610673[[#This Row],[Equity Peak]],(Tabla33610673[[#This Row],[Equity Peak]]-Tabla33610673[[#This Row],[Equity]])/Tabla33610673[[#This Row],[Equity Peak]],"")</f>
        <v>4.5470692717584369E-3</v>
      </c>
      <c r="V125" s="209">
        <f t="shared" si="26"/>
        <v>0</v>
      </c>
      <c r="W125" s="209">
        <f t="shared" si="27"/>
        <v>0</v>
      </c>
      <c r="X125" s="209">
        <f t="shared" si="28"/>
        <v>1.25</v>
      </c>
      <c r="Y125" s="209">
        <f t="shared" si="29"/>
        <v>0</v>
      </c>
      <c r="Z125" s="209">
        <f t="shared" si="30"/>
        <v>0</v>
      </c>
      <c r="AA125" s="205">
        <f t="shared" si="31"/>
        <v>0</v>
      </c>
      <c r="AB125" s="209">
        <f t="shared" si="32"/>
        <v>0</v>
      </c>
      <c r="AC125" s="205">
        <f t="shared" si="33"/>
        <v>0</v>
      </c>
      <c r="AD125" s="210">
        <f t="shared" si="34"/>
        <v>4.5791666666627862</v>
      </c>
      <c r="AE125" s="210">
        <f t="shared" si="35"/>
        <v>4.5791666666627862</v>
      </c>
      <c r="AF125" s="210">
        <f t="shared" si="36"/>
        <v>0</v>
      </c>
      <c r="AG125" s="210">
        <f t="shared" si="37"/>
        <v>0</v>
      </c>
    </row>
    <row r="126" spans="2:33" ht="15" customHeight="1" x14ac:dyDescent="0.3">
      <c r="B126" s="196" t="s">
        <v>7</v>
      </c>
      <c r="C126" s="197" t="s">
        <v>13</v>
      </c>
      <c r="D126" s="198" t="str">
        <f t="shared" si="19"/>
        <v>C</v>
      </c>
      <c r="E126" s="199">
        <v>43735.017361111109</v>
      </c>
      <c r="F126" s="200" t="s">
        <v>117</v>
      </c>
      <c r="G126" s="201">
        <v>1.0921000000000001</v>
      </c>
      <c r="H126" s="201">
        <v>1.09816</v>
      </c>
      <c r="I126" s="202">
        <f t="shared" si="20"/>
        <v>6.0599999999999543E-3</v>
      </c>
      <c r="J126" s="201">
        <v>1.05331</v>
      </c>
      <c r="K126" s="199">
        <v>43739.774305555555</v>
      </c>
      <c r="L126" s="201">
        <v>1.09379</v>
      </c>
      <c r="M126" s="203">
        <f t="shared" si="21"/>
        <v>-1.6999999999999999E-3</v>
      </c>
      <c r="N126" s="204">
        <f t="shared" si="22"/>
        <v>-0.28000000000000003</v>
      </c>
      <c r="O126" s="205">
        <f t="shared" si="23"/>
        <v>0</v>
      </c>
      <c r="P126" s="206">
        <f t="shared" si="24"/>
        <v>0</v>
      </c>
      <c r="Q126" s="206">
        <f t="shared" si="25"/>
        <v>-0.28000000000000003</v>
      </c>
      <c r="R12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2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278970</v>
      </c>
      <c r="T12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281500</v>
      </c>
      <c r="U126" s="208">
        <f ca="1">IF(Tabla33610673[[#This Row],[Equity]]&lt;Tabla33610673[[#This Row],[Equity Peak]],(Tabla33610673[[#This Row],[Equity Peak]]-Tabla33610673[[#This Row],[Equity]])/Tabla33610673[[#This Row],[Equity Peak]],"")</f>
        <v>8.9875666074600361E-3</v>
      </c>
      <c r="V126" s="209">
        <f t="shared" si="26"/>
        <v>-0.28000000000000003</v>
      </c>
      <c r="W126" s="209">
        <f t="shared" si="27"/>
        <v>0</v>
      </c>
      <c r="X126" s="209">
        <f t="shared" si="28"/>
        <v>0</v>
      </c>
      <c r="Y126" s="209">
        <f t="shared" si="29"/>
        <v>0</v>
      </c>
      <c r="Z126" s="209">
        <f t="shared" si="30"/>
        <v>0</v>
      </c>
      <c r="AA126" s="205">
        <f t="shared" si="31"/>
        <v>0</v>
      </c>
      <c r="AB126" s="209">
        <f t="shared" si="32"/>
        <v>0</v>
      </c>
      <c r="AC126" s="205">
        <f t="shared" si="33"/>
        <v>0</v>
      </c>
      <c r="AD126" s="210">
        <f t="shared" si="34"/>
        <v>4.7569444444452529</v>
      </c>
      <c r="AE126" s="210">
        <f t="shared" si="35"/>
        <v>0</v>
      </c>
      <c r="AF126" s="210">
        <f t="shared" si="36"/>
        <v>4.7569444444452529</v>
      </c>
      <c r="AG126" s="210">
        <f t="shared" si="37"/>
        <v>0</v>
      </c>
    </row>
    <row r="127" spans="2:33" ht="15" customHeight="1" x14ac:dyDescent="0.3">
      <c r="B127" s="196" t="s">
        <v>5</v>
      </c>
      <c r="C127" s="197" t="s">
        <v>15</v>
      </c>
      <c r="D127" s="198" t="str">
        <f t="shared" si="19"/>
        <v>C</v>
      </c>
      <c r="E127" s="199">
        <v>43734.5</v>
      </c>
      <c r="F127" s="200" t="s">
        <v>94</v>
      </c>
      <c r="G127" s="201">
        <v>7361.1</v>
      </c>
      <c r="H127" s="201">
        <v>7287.19</v>
      </c>
      <c r="I127" s="202">
        <f t="shared" si="20"/>
        <v>73.910000000000764</v>
      </c>
      <c r="J127" s="201">
        <v>7730.66</v>
      </c>
      <c r="K127" s="199">
        <v>43739.540277777778</v>
      </c>
      <c r="L127" s="201">
        <v>7371.33</v>
      </c>
      <c r="M127" s="203">
        <f t="shared" si="21"/>
        <v>10.23</v>
      </c>
      <c r="N127" s="204">
        <f t="shared" si="22"/>
        <v>0.14000000000000001</v>
      </c>
      <c r="O127" s="205">
        <f t="shared" si="23"/>
        <v>0</v>
      </c>
      <c r="P127" s="206">
        <f t="shared" si="24"/>
        <v>0.14000000000000001</v>
      </c>
      <c r="Q127" s="206">
        <f t="shared" si="25"/>
        <v>0</v>
      </c>
      <c r="R12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2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279250</v>
      </c>
      <c r="T12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281500</v>
      </c>
      <c r="U127" s="208">
        <f ca="1">IF(Tabla33610673[[#This Row],[Equity]]&lt;Tabla33610673[[#This Row],[Equity Peak]],(Tabla33610673[[#This Row],[Equity Peak]]-Tabla33610673[[#This Row],[Equity]])/Tabla33610673[[#This Row],[Equity Peak]],"")</f>
        <v>7.9928952042628773E-3</v>
      </c>
      <c r="V127" s="209">
        <f t="shared" si="26"/>
        <v>0</v>
      </c>
      <c r="W127" s="209">
        <f t="shared" si="27"/>
        <v>0</v>
      </c>
      <c r="X127" s="209">
        <f t="shared" si="28"/>
        <v>0</v>
      </c>
      <c r="Y127" s="209">
        <f t="shared" si="29"/>
        <v>0</v>
      </c>
      <c r="Z127" s="209">
        <f t="shared" si="30"/>
        <v>0.14000000000000001</v>
      </c>
      <c r="AA127" s="205">
        <f t="shared" si="31"/>
        <v>0</v>
      </c>
      <c r="AB127" s="209">
        <f t="shared" si="32"/>
        <v>0</v>
      </c>
      <c r="AC127" s="205">
        <f t="shared" si="33"/>
        <v>0</v>
      </c>
      <c r="AD127" s="210">
        <f t="shared" si="34"/>
        <v>5.0402777777781012</v>
      </c>
      <c r="AE127" s="210">
        <f t="shared" si="35"/>
        <v>5.0402777777781012</v>
      </c>
      <c r="AF127" s="210">
        <f t="shared" si="36"/>
        <v>0</v>
      </c>
      <c r="AG127" s="210">
        <f t="shared" si="37"/>
        <v>0</v>
      </c>
    </row>
    <row r="128" spans="2:33" ht="15" customHeight="1" x14ac:dyDescent="0.3">
      <c r="B128" s="196" t="s">
        <v>7</v>
      </c>
      <c r="C128" s="197" t="s">
        <v>15</v>
      </c>
      <c r="D128" s="198" t="str">
        <f t="shared" si="19"/>
        <v>C</v>
      </c>
      <c r="E128" s="199">
        <v>43735.017361111109</v>
      </c>
      <c r="F128" s="200" t="s">
        <v>113</v>
      </c>
      <c r="G128" s="201">
        <v>107.828</v>
      </c>
      <c r="H128" s="201">
        <v>107.133</v>
      </c>
      <c r="I128" s="202">
        <f t="shared" si="20"/>
        <v>0.69500000000000739</v>
      </c>
      <c r="J128" s="201">
        <v>111.07299999999999</v>
      </c>
      <c r="K128" s="199">
        <v>43738.368055555555</v>
      </c>
      <c r="L128" s="201">
        <v>107.756</v>
      </c>
      <c r="M128" s="203">
        <f t="shared" si="21"/>
        <v>-7.1999999999999995E-2</v>
      </c>
      <c r="N128" s="204">
        <f t="shared" si="22"/>
        <v>-0.1</v>
      </c>
      <c r="O128" s="205">
        <f t="shared" si="23"/>
        <v>0</v>
      </c>
      <c r="P128" s="206">
        <f t="shared" si="24"/>
        <v>0</v>
      </c>
      <c r="Q128" s="206">
        <f t="shared" si="25"/>
        <v>-0.1</v>
      </c>
      <c r="R12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2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279110</v>
      </c>
      <c r="T12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281500</v>
      </c>
      <c r="U128" s="208">
        <f ca="1">IF(Tabla33610673[[#This Row],[Equity]]&lt;Tabla33610673[[#This Row],[Equity Peak]],(Tabla33610673[[#This Row],[Equity Peak]]-Tabla33610673[[#This Row],[Equity]])/Tabla33610673[[#This Row],[Equity Peak]],"")</f>
        <v>8.4902309058614567E-3</v>
      </c>
      <c r="V128" s="209">
        <f t="shared" si="26"/>
        <v>-0.1</v>
      </c>
      <c r="W128" s="209">
        <f t="shared" si="27"/>
        <v>0</v>
      </c>
      <c r="X128" s="209">
        <f t="shared" si="28"/>
        <v>0</v>
      </c>
      <c r="Y128" s="209">
        <f t="shared" si="29"/>
        <v>0</v>
      </c>
      <c r="Z128" s="209">
        <f t="shared" si="30"/>
        <v>0</v>
      </c>
      <c r="AA128" s="205">
        <f t="shared" si="31"/>
        <v>0</v>
      </c>
      <c r="AB128" s="209">
        <f t="shared" si="32"/>
        <v>0</v>
      </c>
      <c r="AC128" s="205">
        <f t="shared" si="33"/>
        <v>0</v>
      </c>
      <c r="AD128" s="210">
        <f t="shared" si="34"/>
        <v>3.3506944444452529</v>
      </c>
      <c r="AE128" s="210">
        <f t="shared" si="35"/>
        <v>0</v>
      </c>
      <c r="AF128" s="210">
        <f t="shared" si="36"/>
        <v>3.3506944444452529</v>
      </c>
      <c r="AG128" s="210">
        <f t="shared" si="37"/>
        <v>0</v>
      </c>
    </row>
    <row r="129" spans="2:33" ht="15" customHeight="1" x14ac:dyDescent="0.3">
      <c r="B129" s="196" t="s">
        <v>7</v>
      </c>
      <c r="C129" s="197" t="s">
        <v>13</v>
      </c>
      <c r="D129" s="198" t="str">
        <f t="shared" si="19"/>
        <v>C</v>
      </c>
      <c r="E129" s="199">
        <v>43734.666666666664</v>
      </c>
      <c r="F129" s="200" t="s">
        <v>120</v>
      </c>
      <c r="G129" s="201">
        <v>1.6160699999999999</v>
      </c>
      <c r="H129" s="201">
        <v>1.6222099999999999</v>
      </c>
      <c r="I129" s="202">
        <f t="shared" si="20"/>
        <v>6.1400000000000343E-3</v>
      </c>
      <c r="J129" s="201">
        <v>1.55061</v>
      </c>
      <c r="K129" s="199">
        <v>43735.774305555555</v>
      </c>
      <c r="L129" s="201">
        <v>1.6212899999999999</v>
      </c>
      <c r="M129" s="203">
        <f t="shared" si="21"/>
        <v>-5.1999999999999998E-3</v>
      </c>
      <c r="N129" s="204">
        <f t="shared" si="22"/>
        <v>-0.85</v>
      </c>
      <c r="O129" s="205">
        <f t="shared" si="23"/>
        <v>0</v>
      </c>
      <c r="P129" s="206">
        <f t="shared" si="24"/>
        <v>0</v>
      </c>
      <c r="Q129" s="206">
        <f t="shared" si="25"/>
        <v>-0.85</v>
      </c>
      <c r="R12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2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279210</v>
      </c>
      <c r="T12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281500</v>
      </c>
      <c r="U129" s="208">
        <f ca="1">IF(Tabla33610673[[#This Row],[Equity]]&lt;Tabla33610673[[#This Row],[Equity Peak]],(Tabla33610673[[#This Row],[Equity Peak]]-Tabla33610673[[#This Row],[Equity]])/Tabla33610673[[#This Row],[Equity Peak]],"")</f>
        <v>8.1349911190053293E-3</v>
      </c>
      <c r="V129" s="209">
        <f t="shared" si="26"/>
        <v>-0.85</v>
      </c>
      <c r="W129" s="209">
        <f t="shared" si="27"/>
        <v>0</v>
      </c>
      <c r="X129" s="209">
        <f t="shared" si="28"/>
        <v>0</v>
      </c>
      <c r="Y129" s="209">
        <f t="shared" si="29"/>
        <v>0</v>
      </c>
      <c r="Z129" s="209">
        <f t="shared" si="30"/>
        <v>0</v>
      </c>
      <c r="AA129" s="205">
        <f t="shared" si="31"/>
        <v>0</v>
      </c>
      <c r="AB129" s="209">
        <f t="shared" si="32"/>
        <v>0</v>
      </c>
      <c r="AC129" s="205">
        <f t="shared" si="33"/>
        <v>0</v>
      </c>
      <c r="AD129" s="210">
        <f t="shared" si="34"/>
        <v>1.1076388888905058</v>
      </c>
      <c r="AE129" s="210">
        <f t="shared" si="35"/>
        <v>0</v>
      </c>
      <c r="AF129" s="210">
        <f t="shared" si="36"/>
        <v>1.1076388888905058</v>
      </c>
      <c r="AG129" s="210">
        <f t="shared" si="37"/>
        <v>0</v>
      </c>
    </row>
    <row r="130" spans="2:33" ht="15" customHeight="1" x14ac:dyDescent="0.3">
      <c r="B130" s="196" t="s">
        <v>7</v>
      </c>
      <c r="C130" s="197" t="s">
        <v>13</v>
      </c>
      <c r="D130" s="198" t="str">
        <f t="shared" si="19"/>
        <v>C</v>
      </c>
      <c r="E130" s="199">
        <v>43731.5</v>
      </c>
      <c r="F130" s="200" t="s">
        <v>118</v>
      </c>
      <c r="G130" s="201">
        <v>117.851</v>
      </c>
      <c r="H130" s="201">
        <v>118.66500000000001</v>
      </c>
      <c r="I130" s="202">
        <f t="shared" si="20"/>
        <v>0.81400000000000716</v>
      </c>
      <c r="J130" s="201">
        <v>114.593</v>
      </c>
      <c r="K130" s="199">
        <v>43735.601388888892</v>
      </c>
      <c r="L130" s="201">
        <v>118.19499999999999</v>
      </c>
      <c r="M130" s="203">
        <f t="shared" si="21"/>
        <v>-0.34399999999999997</v>
      </c>
      <c r="N130" s="204">
        <f t="shared" si="22"/>
        <v>-0.42</v>
      </c>
      <c r="O130" s="205">
        <f t="shared" si="23"/>
        <v>0</v>
      </c>
      <c r="P130" s="206">
        <f t="shared" si="24"/>
        <v>0</v>
      </c>
      <c r="Q130" s="206">
        <f t="shared" si="25"/>
        <v>-0.42</v>
      </c>
      <c r="R13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3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280060</v>
      </c>
      <c r="T13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281500</v>
      </c>
      <c r="U130" s="208">
        <f ca="1">IF(Tabla33610673[[#This Row],[Equity]]&lt;Tabla33610673[[#This Row],[Equity Peak]],(Tabla33610673[[#This Row],[Equity Peak]]-Tabla33610673[[#This Row],[Equity]])/Tabla33610673[[#This Row],[Equity Peak]],"")</f>
        <v>5.1154529307282414E-3</v>
      </c>
      <c r="V130" s="209">
        <f t="shared" si="26"/>
        <v>-0.42</v>
      </c>
      <c r="W130" s="209">
        <f t="shared" si="27"/>
        <v>0</v>
      </c>
      <c r="X130" s="209">
        <f t="shared" si="28"/>
        <v>0</v>
      </c>
      <c r="Y130" s="209">
        <f t="shared" si="29"/>
        <v>0</v>
      </c>
      <c r="Z130" s="209">
        <f t="shared" si="30"/>
        <v>0</v>
      </c>
      <c r="AA130" s="205">
        <f t="shared" si="31"/>
        <v>0</v>
      </c>
      <c r="AB130" s="209">
        <f t="shared" si="32"/>
        <v>0</v>
      </c>
      <c r="AC130" s="205">
        <f t="shared" si="33"/>
        <v>0</v>
      </c>
      <c r="AD130" s="210">
        <f t="shared" si="34"/>
        <v>4.101388888891961</v>
      </c>
      <c r="AE130" s="210">
        <f t="shared" si="35"/>
        <v>0</v>
      </c>
      <c r="AF130" s="210">
        <f t="shared" si="36"/>
        <v>4.101388888891961</v>
      </c>
      <c r="AG130" s="210">
        <f t="shared" si="37"/>
        <v>0</v>
      </c>
    </row>
    <row r="131" spans="2:33" ht="15" customHeight="1" x14ac:dyDescent="0.3">
      <c r="B131" s="196" t="s">
        <v>19</v>
      </c>
      <c r="C131" s="197" t="s">
        <v>15</v>
      </c>
      <c r="D131" s="198" t="str">
        <f t="shared" si="19"/>
        <v>C</v>
      </c>
      <c r="E131" s="199">
        <v>43731.875</v>
      </c>
      <c r="F131" s="200" t="s">
        <v>89</v>
      </c>
      <c r="G131" s="201">
        <v>18.62</v>
      </c>
      <c r="H131" s="201">
        <v>18.138999999999999</v>
      </c>
      <c r="I131" s="202">
        <f t="shared" si="20"/>
        <v>0.48100000000000165</v>
      </c>
      <c r="J131" s="201">
        <v>20.925999999999998</v>
      </c>
      <c r="K131" s="199">
        <v>43733.789583333331</v>
      </c>
      <c r="L131" s="201">
        <v>18.138999999999999</v>
      </c>
      <c r="M131" s="203">
        <f t="shared" si="21"/>
        <v>-0.48099999999999998</v>
      </c>
      <c r="N131" s="204">
        <f t="shared" si="22"/>
        <v>-1</v>
      </c>
      <c r="O131" s="205">
        <f t="shared" si="23"/>
        <v>0</v>
      </c>
      <c r="P131" s="206">
        <f t="shared" si="24"/>
        <v>0</v>
      </c>
      <c r="Q131" s="206">
        <f t="shared" si="25"/>
        <v>-1</v>
      </c>
      <c r="R13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3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280480</v>
      </c>
      <c r="T13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281500</v>
      </c>
      <c r="U131" s="208">
        <f ca="1">IF(Tabla33610673[[#This Row],[Equity]]&lt;Tabla33610673[[#This Row],[Equity Peak]],(Tabla33610673[[#This Row],[Equity Peak]]-Tabla33610673[[#This Row],[Equity]])/Tabla33610673[[#This Row],[Equity Peak]],"")</f>
        <v>3.6234458259325046E-3</v>
      </c>
      <c r="V131" s="209">
        <f t="shared" si="26"/>
        <v>0</v>
      </c>
      <c r="W131" s="209">
        <f t="shared" si="27"/>
        <v>0</v>
      </c>
      <c r="X131" s="209">
        <f t="shared" si="28"/>
        <v>-1</v>
      </c>
      <c r="Y131" s="209">
        <f t="shared" si="29"/>
        <v>0</v>
      </c>
      <c r="Z131" s="209">
        <f t="shared" si="30"/>
        <v>0</v>
      </c>
      <c r="AA131" s="205">
        <f t="shared" si="31"/>
        <v>0</v>
      </c>
      <c r="AB131" s="209">
        <f t="shared" si="32"/>
        <v>0</v>
      </c>
      <c r="AC131" s="205">
        <f t="shared" si="33"/>
        <v>0</v>
      </c>
      <c r="AD131" s="210">
        <f t="shared" si="34"/>
        <v>1.9145833333313931</v>
      </c>
      <c r="AE131" s="210">
        <f t="shared" si="35"/>
        <v>0</v>
      </c>
      <c r="AF131" s="210">
        <f t="shared" si="36"/>
        <v>1.9145833333313931</v>
      </c>
      <c r="AG131" s="210">
        <f t="shared" si="37"/>
        <v>0</v>
      </c>
    </row>
    <row r="132" spans="2:33" ht="15" customHeight="1" x14ac:dyDescent="0.3">
      <c r="B132" s="196" t="s">
        <v>19</v>
      </c>
      <c r="C132" s="197" t="s">
        <v>15</v>
      </c>
      <c r="D132" s="198" t="str">
        <f t="shared" si="19"/>
        <v>C</v>
      </c>
      <c r="E132" s="199">
        <v>43728.875</v>
      </c>
      <c r="F132" s="200" t="s">
        <v>88</v>
      </c>
      <c r="G132" s="201">
        <v>1510.24</v>
      </c>
      <c r="H132" s="201">
        <v>1491.13</v>
      </c>
      <c r="I132" s="202">
        <f t="shared" si="20"/>
        <v>19.1099999999999</v>
      </c>
      <c r="J132" s="201">
        <v>1632.55</v>
      </c>
      <c r="K132" s="199">
        <v>43733.78402777778</v>
      </c>
      <c r="L132" s="201">
        <v>1517.17</v>
      </c>
      <c r="M132" s="203">
        <f t="shared" si="21"/>
        <v>6.93</v>
      </c>
      <c r="N132" s="204">
        <f t="shared" si="22"/>
        <v>0.36</v>
      </c>
      <c r="O132" s="205">
        <f t="shared" si="23"/>
        <v>0</v>
      </c>
      <c r="P132" s="206">
        <f t="shared" si="24"/>
        <v>0.36</v>
      </c>
      <c r="Q132" s="206">
        <f t="shared" si="25"/>
        <v>0</v>
      </c>
      <c r="R13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3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281480</v>
      </c>
      <c r="T13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281500</v>
      </c>
      <c r="U132" s="208">
        <f ca="1">IF(Tabla33610673[[#This Row],[Equity]]&lt;Tabla33610673[[#This Row],[Equity Peak]],(Tabla33610673[[#This Row],[Equity Peak]]-Tabla33610673[[#This Row],[Equity]])/Tabla33610673[[#This Row],[Equity Peak]],"")</f>
        <v>7.1047957371225576E-5</v>
      </c>
      <c r="V132" s="209">
        <f t="shared" si="26"/>
        <v>0</v>
      </c>
      <c r="W132" s="209">
        <f t="shared" si="27"/>
        <v>0</v>
      </c>
      <c r="X132" s="209">
        <f t="shared" si="28"/>
        <v>0.36</v>
      </c>
      <c r="Y132" s="209">
        <f t="shared" si="29"/>
        <v>0</v>
      </c>
      <c r="Z132" s="209">
        <f t="shared" si="30"/>
        <v>0</v>
      </c>
      <c r="AA132" s="205">
        <f t="shared" si="31"/>
        <v>0</v>
      </c>
      <c r="AB132" s="209">
        <f t="shared" si="32"/>
        <v>0</v>
      </c>
      <c r="AC132" s="205">
        <f t="shared" si="33"/>
        <v>0</v>
      </c>
      <c r="AD132" s="210">
        <f t="shared" si="34"/>
        <v>4.9090277777795563</v>
      </c>
      <c r="AE132" s="210">
        <f t="shared" si="35"/>
        <v>4.9090277777795563</v>
      </c>
      <c r="AF132" s="210">
        <f t="shared" si="36"/>
        <v>0</v>
      </c>
      <c r="AG132" s="210">
        <f t="shared" si="37"/>
        <v>0</v>
      </c>
    </row>
    <row r="133" spans="2:33" ht="15" customHeight="1" x14ac:dyDescent="0.3">
      <c r="B133" s="196" t="s">
        <v>5</v>
      </c>
      <c r="C133" s="197" t="s">
        <v>13</v>
      </c>
      <c r="D133" s="198" t="str">
        <f t="shared" si="19"/>
        <v>C</v>
      </c>
      <c r="E133" s="199">
        <v>43732.833333333336</v>
      </c>
      <c r="F133" s="200" t="s">
        <v>94</v>
      </c>
      <c r="G133" s="201">
        <v>7250</v>
      </c>
      <c r="H133" s="201">
        <v>7320.31</v>
      </c>
      <c r="I133" s="202">
        <f t="shared" si="20"/>
        <v>70.3100000000004</v>
      </c>
      <c r="J133" s="201">
        <v>6898.45</v>
      </c>
      <c r="K133" s="199">
        <v>43733.740277777775</v>
      </c>
      <c r="L133" s="201">
        <v>7270.96</v>
      </c>
      <c r="M133" s="203">
        <f t="shared" si="21"/>
        <v>-20.96</v>
      </c>
      <c r="N133" s="204">
        <f t="shared" si="22"/>
        <v>-0.3</v>
      </c>
      <c r="O133" s="205">
        <f t="shared" si="23"/>
        <v>0</v>
      </c>
      <c r="P133" s="206">
        <f t="shared" si="24"/>
        <v>0</v>
      </c>
      <c r="Q133" s="206">
        <f t="shared" si="25"/>
        <v>-0.3</v>
      </c>
      <c r="R13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3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281120</v>
      </c>
      <c r="T13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281500</v>
      </c>
      <c r="U133" s="208">
        <f ca="1">IF(Tabla33610673[[#This Row],[Equity]]&lt;Tabla33610673[[#This Row],[Equity Peak]],(Tabla33610673[[#This Row],[Equity Peak]]-Tabla33610673[[#This Row],[Equity]])/Tabla33610673[[#This Row],[Equity Peak]],"")</f>
        <v>1.3499111900532859E-3</v>
      </c>
      <c r="V133" s="209">
        <f t="shared" si="26"/>
        <v>0</v>
      </c>
      <c r="W133" s="209">
        <f t="shared" si="27"/>
        <v>0</v>
      </c>
      <c r="X133" s="209">
        <f t="shared" si="28"/>
        <v>0</v>
      </c>
      <c r="Y133" s="209">
        <f t="shared" si="29"/>
        <v>0</v>
      </c>
      <c r="Z133" s="209">
        <f t="shared" si="30"/>
        <v>-0.3</v>
      </c>
      <c r="AA133" s="205">
        <f t="shared" si="31"/>
        <v>0</v>
      </c>
      <c r="AB133" s="209">
        <f t="shared" si="32"/>
        <v>0</v>
      </c>
      <c r="AC133" s="205">
        <f t="shared" si="33"/>
        <v>0</v>
      </c>
      <c r="AD133" s="210">
        <f t="shared" si="34"/>
        <v>0.90694444443943212</v>
      </c>
      <c r="AE133" s="210">
        <f t="shared" si="35"/>
        <v>0</v>
      </c>
      <c r="AF133" s="210">
        <f t="shared" si="36"/>
        <v>0.90694444443943212</v>
      </c>
      <c r="AG133" s="210">
        <f t="shared" si="37"/>
        <v>0</v>
      </c>
    </row>
    <row r="134" spans="2:33" ht="15" customHeight="1" x14ac:dyDescent="0.3">
      <c r="B134" s="196" t="s">
        <v>7</v>
      </c>
      <c r="C134" s="197" t="s">
        <v>13</v>
      </c>
      <c r="D134" s="198" t="str">
        <f t="shared" si="19"/>
        <v>C</v>
      </c>
      <c r="E134" s="199">
        <v>43731.666666666664</v>
      </c>
      <c r="F134" s="200" t="s">
        <v>113</v>
      </c>
      <c r="G134" s="201">
        <v>107.53400000000001</v>
      </c>
      <c r="H134" s="201">
        <v>108.169</v>
      </c>
      <c r="I134" s="202">
        <f t="shared" si="20"/>
        <v>0.63499999999999091</v>
      </c>
      <c r="J134" s="201">
        <v>104.572</v>
      </c>
      <c r="K134" s="199">
        <v>43733.719444444447</v>
      </c>
      <c r="L134" s="201">
        <v>107.584</v>
      </c>
      <c r="M134" s="203">
        <f t="shared" si="21"/>
        <v>-0.05</v>
      </c>
      <c r="N134" s="204">
        <f t="shared" si="22"/>
        <v>-0.08</v>
      </c>
      <c r="O134" s="205">
        <f t="shared" si="23"/>
        <v>0</v>
      </c>
      <c r="P134" s="206">
        <f t="shared" si="24"/>
        <v>0</v>
      </c>
      <c r="Q134" s="206">
        <f t="shared" si="25"/>
        <v>-0.08</v>
      </c>
      <c r="R13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3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281420</v>
      </c>
      <c r="T13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281500</v>
      </c>
      <c r="U134" s="208">
        <f ca="1">IF(Tabla33610673[[#This Row],[Equity]]&lt;Tabla33610673[[#This Row],[Equity Peak]],(Tabla33610673[[#This Row],[Equity Peak]]-Tabla33610673[[#This Row],[Equity]])/Tabla33610673[[#This Row],[Equity Peak]],"")</f>
        <v>2.841918294849023E-4</v>
      </c>
      <c r="V134" s="209">
        <f t="shared" si="26"/>
        <v>-0.08</v>
      </c>
      <c r="W134" s="209">
        <f t="shared" si="27"/>
        <v>0</v>
      </c>
      <c r="X134" s="209">
        <f t="shared" si="28"/>
        <v>0</v>
      </c>
      <c r="Y134" s="209">
        <f t="shared" si="29"/>
        <v>0</v>
      </c>
      <c r="Z134" s="209">
        <f t="shared" si="30"/>
        <v>0</v>
      </c>
      <c r="AA134" s="205">
        <f t="shared" si="31"/>
        <v>0</v>
      </c>
      <c r="AB134" s="209">
        <f t="shared" si="32"/>
        <v>0</v>
      </c>
      <c r="AC134" s="205">
        <f t="shared" si="33"/>
        <v>0</v>
      </c>
      <c r="AD134" s="210">
        <f t="shared" si="34"/>
        <v>2.0527777777824667</v>
      </c>
      <c r="AE134" s="210">
        <f t="shared" si="35"/>
        <v>0</v>
      </c>
      <c r="AF134" s="210">
        <f t="shared" si="36"/>
        <v>2.0527777777824667</v>
      </c>
      <c r="AG134" s="210">
        <f t="shared" si="37"/>
        <v>0</v>
      </c>
    </row>
    <row r="135" spans="2:33" ht="15" customHeight="1" x14ac:dyDescent="0.3">
      <c r="B135" s="196" t="s">
        <v>5</v>
      </c>
      <c r="C135" s="197" t="s">
        <v>15</v>
      </c>
      <c r="D135" s="198" t="str">
        <f t="shared" si="19"/>
        <v>C</v>
      </c>
      <c r="E135" s="199">
        <v>43712.756944444445</v>
      </c>
      <c r="F135" s="200" t="s">
        <v>90</v>
      </c>
      <c r="G135" s="201">
        <v>6563.9</v>
      </c>
      <c r="H135" s="201">
        <v>6525.04</v>
      </c>
      <c r="I135" s="202">
        <f t="shared" si="20"/>
        <v>38.859999999999673</v>
      </c>
      <c r="J135" s="201">
        <v>7082.04</v>
      </c>
      <c r="K135" s="199">
        <v>43732.842361111114</v>
      </c>
      <c r="L135" s="201">
        <v>6673.9</v>
      </c>
      <c r="M135" s="203">
        <f t="shared" si="21"/>
        <v>110</v>
      </c>
      <c r="N135" s="204">
        <f t="shared" si="22"/>
        <v>2.83</v>
      </c>
      <c r="O135" s="205">
        <f t="shared" si="23"/>
        <v>0</v>
      </c>
      <c r="P135" s="206">
        <f t="shared" si="24"/>
        <v>2.83</v>
      </c>
      <c r="Q135" s="206">
        <f t="shared" si="25"/>
        <v>0</v>
      </c>
      <c r="R13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3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281500</v>
      </c>
      <c r="T13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281500</v>
      </c>
      <c r="U135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135" s="209">
        <f t="shared" si="26"/>
        <v>0</v>
      </c>
      <c r="W135" s="209">
        <f t="shared" si="27"/>
        <v>0</v>
      </c>
      <c r="X135" s="209">
        <f t="shared" si="28"/>
        <v>0</v>
      </c>
      <c r="Y135" s="209">
        <f t="shared" si="29"/>
        <v>0</v>
      </c>
      <c r="Z135" s="209">
        <f t="shared" si="30"/>
        <v>2.83</v>
      </c>
      <c r="AA135" s="205">
        <f t="shared" si="31"/>
        <v>0</v>
      </c>
      <c r="AB135" s="209">
        <f t="shared" si="32"/>
        <v>0</v>
      </c>
      <c r="AC135" s="205">
        <f t="shared" si="33"/>
        <v>0</v>
      </c>
      <c r="AD135" s="210">
        <f t="shared" si="34"/>
        <v>20.085416666668607</v>
      </c>
      <c r="AE135" s="210">
        <f t="shared" si="35"/>
        <v>20.085416666668607</v>
      </c>
      <c r="AF135" s="210">
        <f t="shared" si="36"/>
        <v>0</v>
      </c>
      <c r="AG135" s="210">
        <f t="shared" si="37"/>
        <v>0</v>
      </c>
    </row>
    <row r="136" spans="2:33" ht="15" customHeight="1" x14ac:dyDescent="0.3">
      <c r="B136" s="196" t="s">
        <v>5</v>
      </c>
      <c r="C136" s="197" t="s">
        <v>15</v>
      </c>
      <c r="D136" s="198" t="str">
        <f t="shared" si="19"/>
        <v>C</v>
      </c>
      <c r="E136" s="199">
        <v>43713.333333333336</v>
      </c>
      <c r="F136" s="200" t="s">
        <v>93</v>
      </c>
      <c r="G136" s="201">
        <v>2967.15</v>
      </c>
      <c r="H136" s="201">
        <v>2945.25</v>
      </c>
      <c r="I136" s="202">
        <f t="shared" si="20"/>
        <v>21.900000000000091</v>
      </c>
      <c r="J136" s="201">
        <v>3025.54</v>
      </c>
      <c r="K136" s="199">
        <v>43732.772916666669</v>
      </c>
      <c r="L136" s="201">
        <v>2966.81</v>
      </c>
      <c r="M136" s="203">
        <f t="shared" si="21"/>
        <v>-0.34</v>
      </c>
      <c r="N136" s="204">
        <f t="shared" si="22"/>
        <v>-0.02</v>
      </c>
      <c r="O136" s="205">
        <f t="shared" si="23"/>
        <v>0</v>
      </c>
      <c r="P136" s="206">
        <f t="shared" si="24"/>
        <v>0</v>
      </c>
      <c r="Q136" s="206">
        <f t="shared" si="25"/>
        <v>-0.02</v>
      </c>
      <c r="R13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3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278670</v>
      </c>
      <c r="T13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280940</v>
      </c>
      <c r="U136" s="208">
        <f ca="1">IF(Tabla33610673[[#This Row],[Equity]]&lt;Tabla33610673[[#This Row],[Equity Peak]],(Tabla33610673[[#This Row],[Equity Peak]]-Tabla33610673[[#This Row],[Equity]])/Tabla33610673[[#This Row],[Equity Peak]],"")</f>
        <v>8.0800170854986829E-3</v>
      </c>
      <c r="V136" s="209">
        <f t="shared" si="26"/>
        <v>0</v>
      </c>
      <c r="W136" s="209">
        <f t="shared" si="27"/>
        <v>0</v>
      </c>
      <c r="X136" s="209">
        <f t="shared" si="28"/>
        <v>0</v>
      </c>
      <c r="Y136" s="209">
        <f t="shared" si="29"/>
        <v>0</v>
      </c>
      <c r="Z136" s="209">
        <f t="shared" si="30"/>
        <v>-0.02</v>
      </c>
      <c r="AA136" s="205">
        <f t="shared" si="31"/>
        <v>0</v>
      </c>
      <c r="AB136" s="209">
        <f t="shared" si="32"/>
        <v>0</v>
      </c>
      <c r="AC136" s="205">
        <f t="shared" si="33"/>
        <v>0</v>
      </c>
      <c r="AD136" s="210">
        <f t="shared" si="34"/>
        <v>19.439583333332848</v>
      </c>
      <c r="AE136" s="210">
        <f t="shared" si="35"/>
        <v>0</v>
      </c>
      <c r="AF136" s="210">
        <f t="shared" si="36"/>
        <v>19.439583333332848</v>
      </c>
      <c r="AG136" s="210">
        <f t="shared" si="37"/>
        <v>0</v>
      </c>
    </row>
    <row r="137" spans="2:33" ht="15" customHeight="1" x14ac:dyDescent="0.3">
      <c r="B137" s="196" t="s">
        <v>7</v>
      </c>
      <c r="C137" s="197" t="s">
        <v>13</v>
      </c>
      <c r="D137" s="198" t="str">
        <f t="shared" si="19"/>
        <v>C</v>
      </c>
      <c r="E137" s="199">
        <v>43731.017361111109</v>
      </c>
      <c r="F137" s="200" t="s">
        <v>122</v>
      </c>
      <c r="G137" s="201">
        <v>72.944000000000003</v>
      </c>
      <c r="H137" s="201">
        <v>73.316000000000003</v>
      </c>
      <c r="I137" s="202">
        <f t="shared" si="20"/>
        <v>0.37199999999999989</v>
      </c>
      <c r="J137" s="201">
        <v>66.494</v>
      </c>
      <c r="K137" s="199">
        <v>43732.606944444444</v>
      </c>
      <c r="L137" s="201">
        <v>73.271000000000001</v>
      </c>
      <c r="M137" s="203">
        <f t="shared" si="21"/>
        <v>-0.32700000000000001</v>
      </c>
      <c r="N137" s="204">
        <f t="shared" si="22"/>
        <v>-0.88</v>
      </c>
      <c r="O137" s="205">
        <f t="shared" si="23"/>
        <v>0</v>
      </c>
      <c r="P137" s="206">
        <f t="shared" si="24"/>
        <v>0</v>
      </c>
      <c r="Q137" s="206">
        <f t="shared" si="25"/>
        <v>-0.88</v>
      </c>
      <c r="R13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3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278690</v>
      </c>
      <c r="T13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280940</v>
      </c>
      <c r="U137" s="208">
        <f ca="1">IF(Tabla33610673[[#This Row],[Equity]]&lt;Tabla33610673[[#This Row],[Equity Peak]],(Tabla33610673[[#This Row],[Equity Peak]]-Tabla33610673[[#This Row],[Equity]])/Tabla33610673[[#This Row],[Equity Peak]],"")</f>
        <v>8.0088275076528794E-3</v>
      </c>
      <c r="V137" s="209">
        <f t="shared" si="26"/>
        <v>-0.88</v>
      </c>
      <c r="W137" s="209">
        <f t="shared" si="27"/>
        <v>0</v>
      </c>
      <c r="X137" s="209">
        <f t="shared" si="28"/>
        <v>0</v>
      </c>
      <c r="Y137" s="209">
        <f t="shared" si="29"/>
        <v>0</v>
      </c>
      <c r="Z137" s="209">
        <f t="shared" si="30"/>
        <v>0</v>
      </c>
      <c r="AA137" s="205">
        <f t="shared" si="31"/>
        <v>0</v>
      </c>
      <c r="AB137" s="209">
        <f t="shared" si="32"/>
        <v>0</v>
      </c>
      <c r="AC137" s="205">
        <f t="shared" si="33"/>
        <v>0</v>
      </c>
      <c r="AD137" s="210">
        <f t="shared" si="34"/>
        <v>1.5895833333343035</v>
      </c>
      <c r="AE137" s="210">
        <f t="shared" si="35"/>
        <v>0</v>
      </c>
      <c r="AF137" s="210">
        <f t="shared" si="36"/>
        <v>1.5895833333343035</v>
      </c>
      <c r="AG137" s="210">
        <f t="shared" si="37"/>
        <v>0</v>
      </c>
    </row>
    <row r="138" spans="2:33" ht="15" customHeight="1" x14ac:dyDescent="0.3">
      <c r="B138" s="196" t="s">
        <v>19</v>
      </c>
      <c r="C138" s="197" t="s">
        <v>13</v>
      </c>
      <c r="D138" s="198" t="str">
        <f t="shared" si="19"/>
        <v>C</v>
      </c>
      <c r="E138" s="199">
        <v>43721.375</v>
      </c>
      <c r="F138" s="200" t="s">
        <v>89</v>
      </c>
      <c r="G138" s="201">
        <v>18.071000000000002</v>
      </c>
      <c r="H138" s="201">
        <v>18.559999999999999</v>
      </c>
      <c r="I138" s="202">
        <f t="shared" si="20"/>
        <v>0.48899999999999721</v>
      </c>
      <c r="J138" s="201">
        <v>15.726000000000001</v>
      </c>
      <c r="K138" s="199">
        <v>43731.257638888892</v>
      </c>
      <c r="L138" s="201">
        <v>18.248999999999999</v>
      </c>
      <c r="M138" s="203">
        <f t="shared" si="21"/>
        <v>-0.17799999999999999</v>
      </c>
      <c r="N138" s="204">
        <f t="shared" si="22"/>
        <v>-0.36</v>
      </c>
      <c r="O138" s="205">
        <f t="shared" si="23"/>
        <v>0</v>
      </c>
      <c r="P138" s="206">
        <f t="shared" si="24"/>
        <v>0</v>
      </c>
      <c r="Q138" s="206">
        <f t="shared" si="25"/>
        <v>-0.36</v>
      </c>
      <c r="R13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3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279570</v>
      </c>
      <c r="T13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280940</v>
      </c>
      <c r="U138" s="208">
        <f ca="1">IF(Tabla33610673[[#This Row],[Equity]]&lt;Tabla33610673[[#This Row],[Equity Peak]],(Tabla33610673[[#This Row],[Equity Peak]]-Tabla33610673[[#This Row],[Equity]])/Tabla33610673[[#This Row],[Equity Peak]],"")</f>
        <v>4.8764860824375309E-3</v>
      </c>
      <c r="V138" s="209">
        <f t="shared" si="26"/>
        <v>0</v>
      </c>
      <c r="W138" s="209">
        <f t="shared" si="27"/>
        <v>0</v>
      </c>
      <c r="X138" s="209">
        <f t="shared" si="28"/>
        <v>-0.36</v>
      </c>
      <c r="Y138" s="209">
        <f t="shared" si="29"/>
        <v>0</v>
      </c>
      <c r="Z138" s="209">
        <f t="shared" si="30"/>
        <v>0</v>
      </c>
      <c r="AA138" s="205">
        <f t="shared" si="31"/>
        <v>0</v>
      </c>
      <c r="AB138" s="209">
        <f t="shared" si="32"/>
        <v>0</v>
      </c>
      <c r="AC138" s="205">
        <f t="shared" si="33"/>
        <v>0</v>
      </c>
      <c r="AD138" s="210">
        <f t="shared" si="34"/>
        <v>9.882638888891961</v>
      </c>
      <c r="AE138" s="210">
        <f t="shared" si="35"/>
        <v>0</v>
      </c>
      <c r="AF138" s="210">
        <f t="shared" si="36"/>
        <v>9.882638888891961</v>
      </c>
      <c r="AG138" s="210">
        <f t="shared" si="37"/>
        <v>0</v>
      </c>
    </row>
    <row r="139" spans="2:33" ht="15" customHeight="1" x14ac:dyDescent="0.3">
      <c r="B139" s="196" t="s">
        <v>19</v>
      </c>
      <c r="C139" s="197" t="s">
        <v>15</v>
      </c>
      <c r="D139" s="198" t="str">
        <f t="shared" si="19"/>
        <v>C</v>
      </c>
      <c r="E139" s="199">
        <v>43724.291666666664</v>
      </c>
      <c r="F139" s="200" t="s">
        <v>108</v>
      </c>
      <c r="G139" s="201">
        <v>59.494999999999997</v>
      </c>
      <c r="H139" s="201">
        <v>57.963000000000001</v>
      </c>
      <c r="I139" s="202">
        <f t="shared" si="20"/>
        <v>1.5319999999999965</v>
      </c>
      <c r="J139" s="201">
        <v>77.878</v>
      </c>
      <c r="K139" s="199">
        <v>43725.729861111111</v>
      </c>
      <c r="L139" s="201">
        <v>59.222000000000001</v>
      </c>
      <c r="M139" s="203">
        <f t="shared" si="21"/>
        <v>-0.27300000000000002</v>
      </c>
      <c r="N139" s="204">
        <f t="shared" si="22"/>
        <v>-0.18</v>
      </c>
      <c r="O139" s="205">
        <f t="shared" si="23"/>
        <v>0</v>
      </c>
      <c r="P139" s="206">
        <f t="shared" si="24"/>
        <v>0</v>
      </c>
      <c r="Q139" s="206">
        <f t="shared" si="25"/>
        <v>-0.18</v>
      </c>
      <c r="R13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3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279930</v>
      </c>
      <c r="T13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280940</v>
      </c>
      <c r="U139" s="208">
        <f ca="1">IF(Tabla33610673[[#This Row],[Equity]]&lt;Tabla33610673[[#This Row],[Equity Peak]],(Tabla33610673[[#This Row],[Equity Peak]]-Tabla33610673[[#This Row],[Equity]])/Tabla33610673[[#This Row],[Equity Peak]],"")</f>
        <v>3.5950736812130706E-3</v>
      </c>
      <c r="V139" s="209">
        <f t="shared" si="26"/>
        <v>0</v>
      </c>
      <c r="W139" s="209">
        <f t="shared" si="27"/>
        <v>0</v>
      </c>
      <c r="X139" s="209">
        <f t="shared" si="28"/>
        <v>-0.18</v>
      </c>
      <c r="Y139" s="209">
        <f t="shared" si="29"/>
        <v>0</v>
      </c>
      <c r="Z139" s="209">
        <f t="shared" si="30"/>
        <v>0</v>
      </c>
      <c r="AA139" s="205">
        <f t="shared" si="31"/>
        <v>0</v>
      </c>
      <c r="AB139" s="209">
        <f t="shared" si="32"/>
        <v>0</v>
      </c>
      <c r="AC139" s="205">
        <f t="shared" si="33"/>
        <v>0</v>
      </c>
      <c r="AD139" s="210">
        <f t="shared" si="34"/>
        <v>1.4381944444467081</v>
      </c>
      <c r="AE139" s="210">
        <f t="shared" si="35"/>
        <v>0</v>
      </c>
      <c r="AF139" s="210">
        <f t="shared" si="36"/>
        <v>1.4381944444467081</v>
      </c>
      <c r="AG139" s="210">
        <f t="shared" si="37"/>
        <v>0</v>
      </c>
    </row>
    <row r="140" spans="2:33" ht="15" customHeight="1" x14ac:dyDescent="0.3">
      <c r="B140" s="196" t="s">
        <v>7</v>
      </c>
      <c r="C140" s="197" t="s">
        <v>15</v>
      </c>
      <c r="D140" s="198" t="str">
        <f t="shared" si="19"/>
        <v>C</v>
      </c>
      <c r="E140" s="199">
        <v>43721.666666666664</v>
      </c>
      <c r="F140" s="200" t="s">
        <v>116</v>
      </c>
      <c r="G140" s="201">
        <v>1.8119700000000001</v>
      </c>
      <c r="H140" s="201">
        <v>1.79244</v>
      </c>
      <c r="I140" s="202">
        <f t="shared" si="20"/>
        <v>1.9530000000000047E-2</v>
      </c>
      <c r="J140" s="201">
        <v>1.87706</v>
      </c>
      <c r="K140" s="199">
        <v>43724.438888888886</v>
      </c>
      <c r="L140" s="201">
        <v>1.8068599999999999</v>
      </c>
      <c r="M140" s="203">
        <f t="shared" si="21"/>
        <v>-5.1000000000000004E-3</v>
      </c>
      <c r="N140" s="204">
        <f t="shared" si="22"/>
        <v>-0.26</v>
      </c>
      <c r="O140" s="205">
        <f t="shared" si="23"/>
        <v>0</v>
      </c>
      <c r="P140" s="206">
        <f t="shared" si="24"/>
        <v>0</v>
      </c>
      <c r="Q140" s="206">
        <f t="shared" si="25"/>
        <v>-0.26</v>
      </c>
      <c r="R14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4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280110</v>
      </c>
      <c r="T14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280940</v>
      </c>
      <c r="U140" s="208">
        <f ca="1">IF(Tabla33610673[[#This Row],[Equity]]&lt;Tabla33610673[[#This Row],[Equity Peak]],(Tabla33610673[[#This Row],[Equity Peak]]-Tabla33610673[[#This Row],[Equity]])/Tabla33610673[[#This Row],[Equity Peak]],"")</f>
        <v>2.9543674806008402E-3</v>
      </c>
      <c r="V140" s="209">
        <f t="shared" si="26"/>
        <v>-0.26</v>
      </c>
      <c r="W140" s="209">
        <f t="shared" si="27"/>
        <v>0</v>
      </c>
      <c r="X140" s="209">
        <f t="shared" si="28"/>
        <v>0</v>
      </c>
      <c r="Y140" s="209">
        <f t="shared" si="29"/>
        <v>0</v>
      </c>
      <c r="Z140" s="209">
        <f t="shared" si="30"/>
        <v>0</v>
      </c>
      <c r="AA140" s="205">
        <f t="shared" si="31"/>
        <v>0</v>
      </c>
      <c r="AB140" s="209">
        <f t="shared" si="32"/>
        <v>0</v>
      </c>
      <c r="AC140" s="205">
        <f t="shared" si="33"/>
        <v>0</v>
      </c>
      <c r="AD140" s="210">
        <f t="shared" si="34"/>
        <v>2.7722222222218988</v>
      </c>
      <c r="AE140" s="210">
        <f t="shared" si="35"/>
        <v>0</v>
      </c>
      <c r="AF140" s="210">
        <f t="shared" si="36"/>
        <v>2.7722222222218988</v>
      </c>
      <c r="AG140" s="210">
        <f t="shared" si="37"/>
        <v>0</v>
      </c>
    </row>
    <row r="141" spans="2:33" ht="15" customHeight="1" x14ac:dyDescent="0.3">
      <c r="B141" s="196" t="s">
        <v>19</v>
      </c>
      <c r="C141" s="197" t="s">
        <v>13</v>
      </c>
      <c r="D141" s="198" t="str">
        <f t="shared" si="19"/>
        <v>C</v>
      </c>
      <c r="E141" s="199">
        <v>43721.291666666664</v>
      </c>
      <c r="F141" s="200" t="s">
        <v>108</v>
      </c>
      <c r="G141" s="201">
        <v>54.902999999999999</v>
      </c>
      <c r="H141" s="201">
        <v>56.375</v>
      </c>
      <c r="I141" s="202">
        <f t="shared" si="20"/>
        <v>1.4720000000000013</v>
      </c>
      <c r="J141" s="201">
        <v>37.235999999999997</v>
      </c>
      <c r="K141" s="199">
        <v>43724.125</v>
      </c>
      <c r="L141" s="201">
        <v>55.747999999999998</v>
      </c>
      <c r="M141" s="203">
        <f t="shared" si="21"/>
        <v>-0.84499999999999997</v>
      </c>
      <c r="N141" s="204">
        <f t="shared" si="22"/>
        <v>-0.56999999999999995</v>
      </c>
      <c r="O141" s="205">
        <f t="shared" si="23"/>
        <v>0</v>
      </c>
      <c r="P141" s="206">
        <f t="shared" si="24"/>
        <v>0</v>
      </c>
      <c r="Q141" s="206">
        <f t="shared" si="25"/>
        <v>-0.56999999999999995</v>
      </c>
      <c r="R14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4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280370</v>
      </c>
      <c r="T14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280940</v>
      </c>
      <c r="U141" s="208">
        <f ca="1">IF(Tabla33610673[[#This Row],[Equity]]&lt;Tabla33610673[[#This Row],[Equity Peak]],(Tabla33610673[[#This Row],[Equity Peak]]-Tabla33610673[[#This Row],[Equity]])/Tabla33610673[[#This Row],[Equity Peak]],"")</f>
        <v>2.0289029686053964E-3</v>
      </c>
      <c r="V141" s="209">
        <f t="shared" si="26"/>
        <v>0</v>
      </c>
      <c r="W141" s="209">
        <f t="shared" si="27"/>
        <v>0</v>
      </c>
      <c r="X141" s="209">
        <f t="shared" si="28"/>
        <v>-0.56999999999999995</v>
      </c>
      <c r="Y141" s="209">
        <f t="shared" si="29"/>
        <v>0</v>
      </c>
      <c r="Z141" s="209">
        <f t="shared" si="30"/>
        <v>0</v>
      </c>
      <c r="AA141" s="205">
        <f t="shared" si="31"/>
        <v>0</v>
      </c>
      <c r="AB141" s="209">
        <f t="shared" si="32"/>
        <v>0</v>
      </c>
      <c r="AC141" s="205">
        <f t="shared" si="33"/>
        <v>0</v>
      </c>
      <c r="AD141" s="210">
        <f t="shared" si="34"/>
        <v>2.8333333333357587</v>
      </c>
      <c r="AE141" s="210">
        <f t="shared" si="35"/>
        <v>0</v>
      </c>
      <c r="AF141" s="210">
        <f t="shared" si="36"/>
        <v>2.8333333333357587</v>
      </c>
      <c r="AG141" s="210">
        <f t="shared" si="37"/>
        <v>0</v>
      </c>
    </row>
    <row r="142" spans="2:33" ht="15" customHeight="1" x14ac:dyDescent="0.3">
      <c r="B142" s="196" t="s">
        <v>5</v>
      </c>
      <c r="C142" s="197" t="s">
        <v>15</v>
      </c>
      <c r="D142" s="198" t="str">
        <f t="shared" si="19"/>
        <v>C</v>
      </c>
      <c r="E142" s="199">
        <v>43707.017361111109</v>
      </c>
      <c r="F142" s="200" t="s">
        <v>92</v>
      </c>
      <c r="G142" s="201">
        <v>7702.12</v>
      </c>
      <c r="H142" s="201">
        <v>7562.91</v>
      </c>
      <c r="I142" s="202">
        <f t="shared" si="20"/>
        <v>139.21000000000004</v>
      </c>
      <c r="J142" s="201">
        <v>8630.2000000000007</v>
      </c>
      <c r="K142" s="199">
        <v>43724.041666666664</v>
      </c>
      <c r="L142" s="201">
        <v>7854.51</v>
      </c>
      <c r="M142" s="203">
        <f t="shared" si="21"/>
        <v>152.38999999999999</v>
      </c>
      <c r="N142" s="204">
        <f t="shared" si="22"/>
        <v>1.0900000000000001</v>
      </c>
      <c r="O142" s="205">
        <f t="shared" si="23"/>
        <v>0</v>
      </c>
      <c r="P142" s="206">
        <f t="shared" si="24"/>
        <v>1.0900000000000001</v>
      </c>
      <c r="Q142" s="206">
        <f t="shared" si="25"/>
        <v>0</v>
      </c>
      <c r="R14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4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280940</v>
      </c>
      <c r="T14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280940</v>
      </c>
      <c r="U142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142" s="209">
        <f t="shared" si="26"/>
        <v>0</v>
      </c>
      <c r="W142" s="209">
        <f t="shared" si="27"/>
        <v>0</v>
      </c>
      <c r="X142" s="209">
        <f t="shared" si="28"/>
        <v>0</v>
      </c>
      <c r="Y142" s="209">
        <f t="shared" si="29"/>
        <v>0</v>
      </c>
      <c r="Z142" s="209">
        <f t="shared" si="30"/>
        <v>1.0900000000000001</v>
      </c>
      <c r="AA142" s="205">
        <f t="shared" si="31"/>
        <v>0</v>
      </c>
      <c r="AB142" s="209">
        <f t="shared" si="32"/>
        <v>0</v>
      </c>
      <c r="AC142" s="205">
        <f t="shared" si="33"/>
        <v>0</v>
      </c>
      <c r="AD142" s="210">
        <f t="shared" si="34"/>
        <v>17.024305555554747</v>
      </c>
      <c r="AE142" s="210">
        <f t="shared" si="35"/>
        <v>17.024305555554747</v>
      </c>
      <c r="AF142" s="210">
        <f t="shared" si="36"/>
        <v>0</v>
      </c>
      <c r="AG142" s="210">
        <f t="shared" si="37"/>
        <v>0</v>
      </c>
    </row>
    <row r="143" spans="2:33" ht="15" customHeight="1" x14ac:dyDescent="0.3">
      <c r="B143" s="196" t="s">
        <v>7</v>
      </c>
      <c r="C143" s="197" t="s">
        <v>15</v>
      </c>
      <c r="D143" s="198" t="str">
        <f t="shared" si="19"/>
        <v>C</v>
      </c>
      <c r="E143" s="199">
        <v>43713.017361111109</v>
      </c>
      <c r="F143" s="200" t="s">
        <v>122</v>
      </c>
      <c r="G143" s="201">
        <v>72.269000000000005</v>
      </c>
      <c r="H143" s="201">
        <v>71.926000000000002</v>
      </c>
      <c r="I143" s="202">
        <f t="shared" si="20"/>
        <v>0.34300000000000352</v>
      </c>
      <c r="J143" s="201">
        <v>78.213999999999999</v>
      </c>
      <c r="K143" s="199">
        <v>43724</v>
      </c>
      <c r="L143" s="201">
        <v>73.84</v>
      </c>
      <c r="M143" s="203">
        <f t="shared" si="21"/>
        <v>1.571</v>
      </c>
      <c r="N143" s="204">
        <f t="shared" si="22"/>
        <v>4.58</v>
      </c>
      <c r="O143" s="205">
        <f t="shared" si="23"/>
        <v>0</v>
      </c>
      <c r="P143" s="206">
        <f t="shared" si="24"/>
        <v>4.58</v>
      </c>
      <c r="Q143" s="206">
        <f t="shared" si="25"/>
        <v>0</v>
      </c>
      <c r="R14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4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279850</v>
      </c>
      <c r="T14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279850</v>
      </c>
      <c r="U143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143" s="209">
        <f t="shared" si="26"/>
        <v>4.58</v>
      </c>
      <c r="W143" s="209">
        <f t="shared" si="27"/>
        <v>0</v>
      </c>
      <c r="X143" s="209">
        <f t="shared" si="28"/>
        <v>0</v>
      </c>
      <c r="Y143" s="209">
        <f t="shared" si="29"/>
        <v>0</v>
      </c>
      <c r="Z143" s="209">
        <f t="shared" si="30"/>
        <v>0</v>
      </c>
      <c r="AA143" s="205">
        <f t="shared" si="31"/>
        <v>0</v>
      </c>
      <c r="AB143" s="209">
        <f t="shared" si="32"/>
        <v>0</v>
      </c>
      <c r="AC143" s="205">
        <f t="shared" si="33"/>
        <v>0</v>
      </c>
      <c r="AD143" s="210">
        <f t="shared" si="34"/>
        <v>10.982638888890506</v>
      </c>
      <c r="AE143" s="210">
        <f t="shared" si="35"/>
        <v>10.982638888890506</v>
      </c>
      <c r="AF143" s="210">
        <f t="shared" si="36"/>
        <v>0</v>
      </c>
      <c r="AG143" s="210">
        <f t="shared" si="37"/>
        <v>0</v>
      </c>
    </row>
    <row r="144" spans="2:33" ht="15" customHeight="1" x14ac:dyDescent="0.3">
      <c r="B144" s="196" t="s">
        <v>7</v>
      </c>
      <c r="C144" s="197" t="s">
        <v>15</v>
      </c>
      <c r="D144" s="198" t="str">
        <f t="shared" si="19"/>
        <v>C</v>
      </c>
      <c r="E144" s="199">
        <v>43713.833333333336</v>
      </c>
      <c r="F144" s="200" t="s">
        <v>115</v>
      </c>
      <c r="G144" s="201">
        <v>131.71600000000001</v>
      </c>
      <c r="H144" s="201">
        <v>129.923</v>
      </c>
      <c r="I144" s="202">
        <f t="shared" si="20"/>
        <v>1.7930000000000064</v>
      </c>
      <c r="J144" s="201">
        <v>141.75800000000001</v>
      </c>
      <c r="K144" s="199">
        <v>43720.605555555558</v>
      </c>
      <c r="L144" s="201">
        <v>132.31800000000001</v>
      </c>
      <c r="M144" s="203">
        <f t="shared" si="21"/>
        <v>0.60199999999999998</v>
      </c>
      <c r="N144" s="204">
        <f t="shared" si="22"/>
        <v>0.34</v>
      </c>
      <c r="O144" s="205">
        <f t="shared" si="23"/>
        <v>0</v>
      </c>
      <c r="P144" s="206">
        <f t="shared" si="24"/>
        <v>0.34</v>
      </c>
      <c r="Q144" s="206">
        <f t="shared" si="25"/>
        <v>0</v>
      </c>
      <c r="R14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4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275270</v>
      </c>
      <c r="T14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278540</v>
      </c>
      <c r="U144" s="208">
        <f ca="1">IF(Tabla33610673[[#This Row],[Equity]]&lt;Tabla33610673[[#This Row],[Equity Peak]],(Tabla33610673[[#This Row],[Equity Peak]]-Tabla33610673[[#This Row],[Equity]])/Tabla33610673[[#This Row],[Equity Peak]],"")</f>
        <v>1.1739786027141524E-2</v>
      </c>
      <c r="V144" s="209">
        <f t="shared" si="26"/>
        <v>0.34</v>
      </c>
      <c r="W144" s="209">
        <f t="shared" si="27"/>
        <v>0</v>
      </c>
      <c r="X144" s="209">
        <f t="shared" si="28"/>
        <v>0</v>
      </c>
      <c r="Y144" s="209">
        <f t="shared" si="29"/>
        <v>0</v>
      </c>
      <c r="Z144" s="209">
        <f t="shared" si="30"/>
        <v>0</v>
      </c>
      <c r="AA144" s="205">
        <f t="shared" si="31"/>
        <v>0</v>
      </c>
      <c r="AB144" s="209">
        <f t="shared" si="32"/>
        <v>0</v>
      </c>
      <c r="AC144" s="205">
        <f t="shared" si="33"/>
        <v>0</v>
      </c>
      <c r="AD144" s="210">
        <f t="shared" si="34"/>
        <v>6.7722222222218988</v>
      </c>
      <c r="AE144" s="210">
        <f t="shared" si="35"/>
        <v>6.7722222222218988</v>
      </c>
      <c r="AF144" s="210">
        <f t="shared" si="36"/>
        <v>0</v>
      </c>
      <c r="AG144" s="210">
        <f t="shared" si="37"/>
        <v>0</v>
      </c>
    </row>
    <row r="145" spans="2:33" ht="15" customHeight="1" x14ac:dyDescent="0.3">
      <c r="B145" s="196" t="s">
        <v>7</v>
      </c>
      <c r="C145" s="197" t="s">
        <v>13</v>
      </c>
      <c r="D145" s="198" t="str">
        <f t="shared" ref="D145:D208" si="38">IF(E145&lt;&gt;"",IF(K145&lt;&gt;"","C","O"),"")</f>
        <v>C</v>
      </c>
      <c r="E145" s="199">
        <v>43707.833333333336</v>
      </c>
      <c r="F145" s="200" t="s">
        <v>120</v>
      </c>
      <c r="G145" s="201">
        <v>1.6333500000000001</v>
      </c>
      <c r="H145" s="201">
        <v>1.64029</v>
      </c>
      <c r="I145" s="202">
        <f t="shared" ref="I145:I208" si="39">ABS(G145-H145)</f>
        <v>6.9399999999999462E-3</v>
      </c>
      <c r="J145" s="201">
        <v>1.5593600000000001</v>
      </c>
      <c r="K145" s="199">
        <v>43720.538888888892</v>
      </c>
      <c r="L145" s="201">
        <v>1.6078699999999999</v>
      </c>
      <c r="M145" s="203">
        <f t="shared" ref="M145:M208" si="40">ROUND(IF(C145="L",(L145-G145),(G145-L145)),4)</f>
        <v>2.5499999999999998E-2</v>
      </c>
      <c r="N145" s="204">
        <f t="shared" ref="N145:N208" si="41">IFERROR(ROUND((M145/I145),2),"")</f>
        <v>3.67</v>
      </c>
      <c r="O145" s="205">
        <f t="shared" ref="O145:O208" si="42">IF(D145="O",IF(N145&lt;0,N145,0),0)</f>
        <v>0</v>
      </c>
      <c r="P145" s="206">
        <f t="shared" ref="P145:P208" si="43">IF(N145&gt;= 0,N145,0)</f>
        <v>3.67</v>
      </c>
      <c r="Q145" s="206">
        <f t="shared" ref="Q145:Q208" si="44">IF(N145&lt;0,N145,0)</f>
        <v>0</v>
      </c>
      <c r="R14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4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274930</v>
      </c>
      <c r="T14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278540</v>
      </c>
      <c r="U145" s="208">
        <f ca="1">IF(Tabla33610673[[#This Row],[Equity]]&lt;Tabla33610673[[#This Row],[Equity Peak]],(Tabla33610673[[#This Row],[Equity Peak]]-Tabla33610673[[#This Row],[Equity]])/Tabla33610673[[#This Row],[Equity Peak]],"")</f>
        <v>1.2960436562073669E-2</v>
      </c>
      <c r="V145" s="209">
        <f t="shared" ref="V145:V208" si="45">IF(B145="FX",N145,0)</f>
        <v>3.67</v>
      </c>
      <c r="W145" s="209">
        <f t="shared" ref="W145:W208" si="46">IF(D145="O",IF(V145&lt;0,V145,0),0)</f>
        <v>0</v>
      </c>
      <c r="X145" s="209">
        <f t="shared" ref="X145:X208" si="47">IF(B145="COM",N145,0)</f>
        <v>0</v>
      </c>
      <c r="Y145" s="209">
        <f t="shared" ref="Y145:Y208" si="48">IF(D145="O",IF(X145&lt;0,X145,0),0)</f>
        <v>0</v>
      </c>
      <c r="Z145" s="209">
        <f t="shared" ref="Z145:Z208" si="49">IF(B145="IND",N145,0)</f>
        <v>0</v>
      </c>
      <c r="AA145" s="205">
        <f t="shared" ref="AA145:AA208" si="50">IF(D145="O",IF(Z145&lt;0,Z145,0),0)</f>
        <v>0</v>
      </c>
      <c r="AB145" s="209">
        <f t="shared" ref="AB145:AB208" si="51">IF(B145="CRYPTO",N145,0)</f>
        <v>0</v>
      </c>
      <c r="AC145" s="205">
        <f t="shared" ref="AC145:AC208" si="52">IF(D145="O",IF(AB145&lt;0,AB145,0),0)</f>
        <v>0</v>
      </c>
      <c r="AD145" s="210">
        <f t="shared" ref="AD145:AD208" si="53">IF(K145&lt;&gt;"",K145-E145,0)</f>
        <v>12.705555555556202</v>
      </c>
      <c r="AE145" s="210">
        <f t="shared" ref="AE145:AE208" si="54">IF(N145&gt;0,AD145,0)</f>
        <v>12.705555555556202</v>
      </c>
      <c r="AF145" s="210">
        <f t="shared" ref="AF145:AF208" si="55">IF(N145&lt;0,AD145,0)</f>
        <v>0</v>
      </c>
      <c r="AG145" s="210">
        <f t="shared" ref="AG145:AG208" si="56">IF(N145=0,AD145,0)</f>
        <v>0</v>
      </c>
    </row>
    <row r="146" spans="2:33" ht="15" customHeight="1" x14ac:dyDescent="0.3">
      <c r="B146" s="196" t="s">
        <v>5</v>
      </c>
      <c r="C146" s="197" t="s">
        <v>15</v>
      </c>
      <c r="D146" s="198" t="str">
        <f t="shared" si="38"/>
        <v>C</v>
      </c>
      <c r="E146" s="199">
        <v>43718.833333333336</v>
      </c>
      <c r="F146" s="200" t="s">
        <v>94</v>
      </c>
      <c r="G146" s="201">
        <v>7281.85</v>
      </c>
      <c r="H146" s="201">
        <v>7217.3</v>
      </c>
      <c r="I146" s="202">
        <f t="shared" si="39"/>
        <v>64.550000000000182</v>
      </c>
      <c r="J146" s="201">
        <v>7604.61</v>
      </c>
      <c r="K146" s="199">
        <v>43720.512499999997</v>
      </c>
      <c r="L146" s="201">
        <v>7322.21</v>
      </c>
      <c r="M146" s="203">
        <f t="shared" si="40"/>
        <v>40.36</v>
      </c>
      <c r="N146" s="204">
        <f t="shared" si="41"/>
        <v>0.63</v>
      </c>
      <c r="O146" s="205">
        <f t="shared" si="42"/>
        <v>0</v>
      </c>
      <c r="P146" s="206">
        <f t="shared" si="43"/>
        <v>0.63</v>
      </c>
      <c r="Q146" s="206">
        <f t="shared" si="44"/>
        <v>0</v>
      </c>
      <c r="R14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4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271260</v>
      </c>
      <c r="T14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278540</v>
      </c>
      <c r="U146" s="208">
        <f ca="1">IF(Tabla33610673[[#This Row],[Equity]]&lt;Tabla33610673[[#This Row],[Equity Peak]],(Tabla33610673[[#This Row],[Equity Peak]]-Tabla33610673[[#This Row],[Equity]])/Tabla33610673[[#This Row],[Equity Peak]],"")</f>
        <v>2.613628204207654E-2</v>
      </c>
      <c r="V146" s="209">
        <f t="shared" si="45"/>
        <v>0</v>
      </c>
      <c r="W146" s="209">
        <f t="shared" si="46"/>
        <v>0</v>
      </c>
      <c r="X146" s="209">
        <f t="shared" si="47"/>
        <v>0</v>
      </c>
      <c r="Y146" s="209">
        <f t="shared" si="48"/>
        <v>0</v>
      </c>
      <c r="Z146" s="209">
        <f t="shared" si="49"/>
        <v>0.63</v>
      </c>
      <c r="AA146" s="205">
        <f t="shared" si="50"/>
        <v>0</v>
      </c>
      <c r="AB146" s="209">
        <f t="shared" si="51"/>
        <v>0</v>
      </c>
      <c r="AC146" s="205">
        <f t="shared" si="52"/>
        <v>0</v>
      </c>
      <c r="AD146" s="210">
        <f t="shared" si="53"/>
        <v>1.679166666661331</v>
      </c>
      <c r="AE146" s="210">
        <f t="shared" si="54"/>
        <v>1.679166666661331</v>
      </c>
      <c r="AF146" s="210">
        <f t="shared" si="55"/>
        <v>0</v>
      </c>
      <c r="AG146" s="210">
        <f t="shared" si="56"/>
        <v>0</v>
      </c>
    </row>
    <row r="147" spans="2:33" ht="15" customHeight="1" x14ac:dyDescent="0.3">
      <c r="B147" s="196" t="s">
        <v>5</v>
      </c>
      <c r="C147" s="197" t="s">
        <v>15</v>
      </c>
      <c r="D147" s="198" t="str">
        <f t="shared" si="38"/>
        <v>C</v>
      </c>
      <c r="E147" s="199">
        <v>43712.333333333336</v>
      </c>
      <c r="F147" s="200" t="s">
        <v>95</v>
      </c>
      <c r="G147" s="201">
        <v>26277.3</v>
      </c>
      <c r="H147" s="201">
        <v>26099.22</v>
      </c>
      <c r="I147" s="202">
        <f t="shared" si="39"/>
        <v>178.07999999999811</v>
      </c>
      <c r="J147" s="201">
        <v>26989.63</v>
      </c>
      <c r="K147" s="199">
        <v>43719.767361111109</v>
      </c>
      <c r="L147" s="201">
        <v>26989.63</v>
      </c>
      <c r="M147" s="203">
        <f t="shared" si="40"/>
        <v>712.33</v>
      </c>
      <c r="N147" s="204">
        <f t="shared" si="41"/>
        <v>4</v>
      </c>
      <c r="O147" s="205">
        <f t="shared" si="42"/>
        <v>0</v>
      </c>
      <c r="P147" s="206">
        <f t="shared" si="43"/>
        <v>4</v>
      </c>
      <c r="Q147" s="206">
        <f t="shared" si="44"/>
        <v>0</v>
      </c>
      <c r="R14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4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270630</v>
      </c>
      <c r="T14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278540</v>
      </c>
      <c r="U147" s="208">
        <f ca="1">IF(Tabla33610673[[#This Row],[Equity]]&lt;Tabla33610673[[#This Row],[Equity Peak]],(Tabla33610673[[#This Row],[Equity Peak]]-Tabla33610673[[#This Row],[Equity]])/Tabla33610673[[#This Row],[Equity Peak]],"")</f>
        <v>2.8398075680333167E-2</v>
      </c>
      <c r="V147" s="209">
        <f t="shared" si="45"/>
        <v>0</v>
      </c>
      <c r="W147" s="209">
        <f t="shared" si="46"/>
        <v>0</v>
      </c>
      <c r="X147" s="209">
        <f t="shared" si="47"/>
        <v>0</v>
      </c>
      <c r="Y147" s="209">
        <f t="shared" si="48"/>
        <v>0</v>
      </c>
      <c r="Z147" s="209">
        <f t="shared" si="49"/>
        <v>4</v>
      </c>
      <c r="AA147" s="205">
        <f t="shared" si="50"/>
        <v>0</v>
      </c>
      <c r="AB147" s="209">
        <f t="shared" si="51"/>
        <v>0</v>
      </c>
      <c r="AC147" s="205">
        <f t="shared" si="52"/>
        <v>0</v>
      </c>
      <c r="AD147" s="210">
        <f t="shared" si="53"/>
        <v>7.4340277777737356</v>
      </c>
      <c r="AE147" s="210">
        <f t="shared" si="54"/>
        <v>7.4340277777737356</v>
      </c>
      <c r="AF147" s="210">
        <f t="shared" si="55"/>
        <v>0</v>
      </c>
      <c r="AG147" s="210">
        <f t="shared" si="56"/>
        <v>0</v>
      </c>
    </row>
    <row r="148" spans="2:33" ht="15" customHeight="1" x14ac:dyDescent="0.3">
      <c r="B148" s="196" t="s">
        <v>7</v>
      </c>
      <c r="C148" s="197" t="s">
        <v>15</v>
      </c>
      <c r="D148" s="198" t="str">
        <f t="shared" si="38"/>
        <v>C</v>
      </c>
      <c r="E148" s="199">
        <v>43714.166666666664</v>
      </c>
      <c r="F148" s="200" t="s">
        <v>118</v>
      </c>
      <c r="G148" s="201">
        <v>118.075</v>
      </c>
      <c r="H148" s="201">
        <v>117.258</v>
      </c>
      <c r="I148" s="202">
        <f t="shared" si="39"/>
        <v>0.81700000000000728</v>
      </c>
      <c r="J148" s="201">
        <v>121.34399999999999</v>
      </c>
      <c r="K148" s="199">
        <v>43719.579861111109</v>
      </c>
      <c r="L148" s="201">
        <v>118.56100000000001</v>
      </c>
      <c r="M148" s="203">
        <f t="shared" si="40"/>
        <v>0.48599999999999999</v>
      </c>
      <c r="N148" s="204">
        <f t="shared" si="41"/>
        <v>0.59</v>
      </c>
      <c r="O148" s="205">
        <f t="shared" si="42"/>
        <v>0</v>
      </c>
      <c r="P148" s="206">
        <f t="shared" si="43"/>
        <v>0.59</v>
      </c>
      <c r="Q148" s="206">
        <f t="shared" si="44"/>
        <v>0</v>
      </c>
      <c r="R14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4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266630</v>
      </c>
      <c r="T14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278540</v>
      </c>
      <c r="U148" s="208">
        <f ca="1">IF(Tabla33610673[[#This Row],[Equity]]&lt;Tabla33610673[[#This Row],[Equity Peak]],(Tabla33610673[[#This Row],[Equity Peak]]-Tabla33610673[[#This Row],[Equity]])/Tabla33610673[[#This Row],[Equity Peak]],"")</f>
        <v>4.275867020894665E-2</v>
      </c>
      <c r="V148" s="209">
        <f t="shared" si="45"/>
        <v>0.59</v>
      </c>
      <c r="W148" s="209">
        <f t="shared" si="46"/>
        <v>0</v>
      </c>
      <c r="X148" s="209">
        <f t="shared" si="47"/>
        <v>0</v>
      </c>
      <c r="Y148" s="209">
        <f t="shared" si="48"/>
        <v>0</v>
      </c>
      <c r="Z148" s="209">
        <f t="shared" si="49"/>
        <v>0</v>
      </c>
      <c r="AA148" s="205">
        <f t="shared" si="50"/>
        <v>0</v>
      </c>
      <c r="AB148" s="209">
        <f t="shared" si="51"/>
        <v>0</v>
      </c>
      <c r="AC148" s="205">
        <f t="shared" si="52"/>
        <v>0</v>
      </c>
      <c r="AD148" s="210">
        <f t="shared" si="53"/>
        <v>5.4131944444452529</v>
      </c>
      <c r="AE148" s="210">
        <f t="shared" si="54"/>
        <v>5.4131944444452529</v>
      </c>
      <c r="AF148" s="210">
        <f t="shared" si="55"/>
        <v>0</v>
      </c>
      <c r="AG148" s="210">
        <f t="shared" si="56"/>
        <v>0</v>
      </c>
    </row>
    <row r="149" spans="2:33" ht="15" customHeight="1" x14ac:dyDescent="0.3">
      <c r="B149" s="196" t="s">
        <v>5</v>
      </c>
      <c r="C149" s="197" t="s">
        <v>13</v>
      </c>
      <c r="D149" s="198" t="str">
        <f t="shared" si="38"/>
        <v>C</v>
      </c>
      <c r="E149" s="199">
        <v>43718.333333333336</v>
      </c>
      <c r="F149" s="200" t="s">
        <v>94</v>
      </c>
      <c r="G149" s="201">
        <v>7220.71</v>
      </c>
      <c r="H149" s="201">
        <v>7275.62</v>
      </c>
      <c r="I149" s="202">
        <f t="shared" si="39"/>
        <v>54.909999999999854</v>
      </c>
      <c r="J149" s="201">
        <v>6946.15</v>
      </c>
      <c r="K149" s="199">
        <v>43718.742361111108</v>
      </c>
      <c r="L149" s="201">
        <v>7254.12</v>
      </c>
      <c r="M149" s="203">
        <f t="shared" si="40"/>
        <v>-33.409999999999997</v>
      </c>
      <c r="N149" s="204">
        <f t="shared" si="41"/>
        <v>-0.61</v>
      </c>
      <c r="O149" s="205">
        <f t="shared" si="42"/>
        <v>0</v>
      </c>
      <c r="P149" s="206">
        <f t="shared" si="43"/>
        <v>0</v>
      </c>
      <c r="Q149" s="206">
        <f t="shared" si="44"/>
        <v>-0.61</v>
      </c>
      <c r="R14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4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266040</v>
      </c>
      <c r="T14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278540</v>
      </c>
      <c r="U149" s="208">
        <f ca="1">IF(Tabla33610673[[#This Row],[Equity]]&lt;Tabla33610673[[#This Row],[Equity Peak]],(Tabla33610673[[#This Row],[Equity Peak]]-Tabla33610673[[#This Row],[Equity]])/Tabla33610673[[#This Row],[Equity Peak]],"")</f>
        <v>4.4876857901917137E-2</v>
      </c>
      <c r="V149" s="209">
        <f t="shared" si="45"/>
        <v>0</v>
      </c>
      <c r="W149" s="209">
        <f t="shared" si="46"/>
        <v>0</v>
      </c>
      <c r="X149" s="209">
        <f t="shared" si="47"/>
        <v>0</v>
      </c>
      <c r="Y149" s="209">
        <f t="shared" si="48"/>
        <v>0</v>
      </c>
      <c r="Z149" s="209">
        <f t="shared" si="49"/>
        <v>-0.61</v>
      </c>
      <c r="AA149" s="205">
        <f t="shared" si="50"/>
        <v>0</v>
      </c>
      <c r="AB149" s="209">
        <f t="shared" si="51"/>
        <v>0</v>
      </c>
      <c r="AC149" s="205">
        <f t="shared" si="52"/>
        <v>0</v>
      </c>
      <c r="AD149" s="210">
        <f t="shared" si="53"/>
        <v>0.40902777777228039</v>
      </c>
      <c r="AE149" s="210">
        <f t="shared" si="54"/>
        <v>0</v>
      </c>
      <c r="AF149" s="210">
        <f t="shared" si="55"/>
        <v>0.40902777777228039</v>
      </c>
      <c r="AG149" s="210">
        <f t="shared" si="56"/>
        <v>0</v>
      </c>
    </row>
    <row r="150" spans="2:33" ht="15" customHeight="1" x14ac:dyDescent="0.3">
      <c r="B150" s="196" t="s">
        <v>19</v>
      </c>
      <c r="C150" s="197" t="s">
        <v>15</v>
      </c>
      <c r="D150" s="198" t="str">
        <f t="shared" si="38"/>
        <v>C</v>
      </c>
      <c r="E150" s="199">
        <v>43713.291666666664</v>
      </c>
      <c r="F150" s="200" t="s">
        <v>108</v>
      </c>
      <c r="G150" s="201">
        <v>56.125999999999998</v>
      </c>
      <c r="H150" s="201">
        <v>54.668999999999997</v>
      </c>
      <c r="I150" s="202">
        <f t="shared" si="39"/>
        <v>1.4570000000000007</v>
      </c>
      <c r="J150" s="201">
        <v>73.608000000000004</v>
      </c>
      <c r="K150" s="199">
        <v>43714.538888888892</v>
      </c>
      <c r="L150" s="201">
        <v>55.5</v>
      </c>
      <c r="M150" s="203">
        <f t="shared" si="40"/>
        <v>-0.626</v>
      </c>
      <c r="N150" s="204">
        <f t="shared" si="41"/>
        <v>-0.43</v>
      </c>
      <c r="O150" s="205">
        <f t="shared" si="42"/>
        <v>0</v>
      </c>
      <c r="P150" s="206">
        <f t="shared" si="43"/>
        <v>0</v>
      </c>
      <c r="Q150" s="206">
        <f t="shared" si="44"/>
        <v>-0.43</v>
      </c>
      <c r="R15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5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266650</v>
      </c>
      <c r="T15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278540</v>
      </c>
      <c r="U150" s="208">
        <f ca="1">IF(Tabla33610673[[#This Row],[Equity]]&lt;Tabla33610673[[#This Row],[Equity Peak]],(Tabla33610673[[#This Row],[Equity Peak]]-Tabla33610673[[#This Row],[Equity]])/Tabla33610673[[#This Row],[Equity Peak]],"")</f>
        <v>4.2686867236303584E-2</v>
      </c>
      <c r="V150" s="209">
        <f t="shared" si="45"/>
        <v>0</v>
      </c>
      <c r="W150" s="209">
        <f t="shared" si="46"/>
        <v>0</v>
      </c>
      <c r="X150" s="209">
        <f t="shared" si="47"/>
        <v>-0.43</v>
      </c>
      <c r="Y150" s="209">
        <f t="shared" si="48"/>
        <v>0</v>
      </c>
      <c r="Z150" s="209">
        <f t="shared" si="49"/>
        <v>0</v>
      </c>
      <c r="AA150" s="205">
        <f t="shared" si="50"/>
        <v>0</v>
      </c>
      <c r="AB150" s="209">
        <f t="shared" si="51"/>
        <v>0</v>
      </c>
      <c r="AC150" s="205">
        <f t="shared" si="52"/>
        <v>0</v>
      </c>
      <c r="AD150" s="210">
        <f t="shared" si="53"/>
        <v>1.2472222222277196</v>
      </c>
      <c r="AE150" s="210">
        <f t="shared" si="54"/>
        <v>0</v>
      </c>
      <c r="AF150" s="210">
        <f t="shared" si="55"/>
        <v>1.2472222222277196</v>
      </c>
      <c r="AG150" s="210">
        <f t="shared" si="56"/>
        <v>0</v>
      </c>
    </row>
    <row r="151" spans="2:33" ht="15" customHeight="1" x14ac:dyDescent="0.3">
      <c r="B151" s="196" t="s">
        <v>5</v>
      </c>
      <c r="C151" s="197" t="s">
        <v>15</v>
      </c>
      <c r="D151" s="198" t="str">
        <f t="shared" si="38"/>
        <v>C</v>
      </c>
      <c r="E151" s="199">
        <v>43706.833333333336</v>
      </c>
      <c r="F151" s="200" t="s">
        <v>94</v>
      </c>
      <c r="G151" s="201">
        <v>7186.6</v>
      </c>
      <c r="H151" s="201">
        <v>7100.62</v>
      </c>
      <c r="I151" s="202">
        <f t="shared" si="39"/>
        <v>85.980000000000473</v>
      </c>
      <c r="J151" s="201">
        <v>7616.5</v>
      </c>
      <c r="K151" s="199">
        <v>43713.443055555559</v>
      </c>
      <c r="L151" s="201">
        <v>7275.22</v>
      </c>
      <c r="M151" s="203">
        <f t="shared" si="40"/>
        <v>88.62</v>
      </c>
      <c r="N151" s="204">
        <f t="shared" si="41"/>
        <v>1.03</v>
      </c>
      <c r="O151" s="205">
        <f t="shared" si="42"/>
        <v>0</v>
      </c>
      <c r="P151" s="206">
        <f t="shared" si="43"/>
        <v>1.03</v>
      </c>
      <c r="Q151" s="206">
        <f t="shared" si="44"/>
        <v>0</v>
      </c>
      <c r="R15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5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267080</v>
      </c>
      <c r="T15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278540</v>
      </c>
      <c r="U151" s="208">
        <f ca="1">IF(Tabla33610673[[#This Row],[Equity]]&lt;Tabla33610673[[#This Row],[Equity Peak]],(Tabla33610673[[#This Row],[Equity Peak]]-Tabla33610673[[#This Row],[Equity]])/Tabla33610673[[#This Row],[Equity Peak]],"")</f>
        <v>4.1143103324477633E-2</v>
      </c>
      <c r="V151" s="209">
        <f t="shared" si="45"/>
        <v>0</v>
      </c>
      <c r="W151" s="209">
        <f t="shared" si="46"/>
        <v>0</v>
      </c>
      <c r="X151" s="209">
        <f t="shared" si="47"/>
        <v>0</v>
      </c>
      <c r="Y151" s="209">
        <f t="shared" si="48"/>
        <v>0</v>
      </c>
      <c r="Z151" s="209">
        <f t="shared" si="49"/>
        <v>1.03</v>
      </c>
      <c r="AA151" s="205">
        <f t="shared" si="50"/>
        <v>0</v>
      </c>
      <c r="AB151" s="209">
        <f t="shared" si="51"/>
        <v>0</v>
      </c>
      <c r="AC151" s="205">
        <f t="shared" si="52"/>
        <v>0</v>
      </c>
      <c r="AD151" s="210">
        <f t="shared" si="53"/>
        <v>6.609722222223354</v>
      </c>
      <c r="AE151" s="210">
        <f t="shared" si="54"/>
        <v>6.609722222223354</v>
      </c>
      <c r="AF151" s="210">
        <f t="shared" si="55"/>
        <v>0</v>
      </c>
      <c r="AG151" s="210">
        <f t="shared" si="56"/>
        <v>0</v>
      </c>
    </row>
    <row r="152" spans="2:33" ht="15" customHeight="1" x14ac:dyDescent="0.3">
      <c r="B152" s="196" t="s">
        <v>19</v>
      </c>
      <c r="C152" s="197" t="s">
        <v>13</v>
      </c>
      <c r="D152" s="198" t="str">
        <f t="shared" si="38"/>
        <v>C</v>
      </c>
      <c r="E152" s="199">
        <v>43711.017361111109</v>
      </c>
      <c r="F152" s="200" t="s">
        <v>108</v>
      </c>
      <c r="G152" s="201">
        <v>54.783999999999999</v>
      </c>
      <c r="H152" s="201">
        <v>56.218000000000004</v>
      </c>
      <c r="I152" s="202">
        <f t="shared" si="39"/>
        <v>1.4340000000000046</v>
      </c>
      <c r="J152" s="201">
        <v>37.578000000000003</v>
      </c>
      <c r="K152" s="199">
        <v>43712.649305555555</v>
      </c>
      <c r="L152" s="201">
        <v>54.859000000000002</v>
      </c>
      <c r="M152" s="203">
        <f t="shared" si="40"/>
        <v>-7.4999999999999997E-2</v>
      </c>
      <c r="N152" s="204">
        <f t="shared" si="41"/>
        <v>-0.05</v>
      </c>
      <c r="O152" s="205">
        <f t="shared" si="42"/>
        <v>0</v>
      </c>
      <c r="P152" s="206">
        <f t="shared" si="43"/>
        <v>0</v>
      </c>
      <c r="Q152" s="206">
        <f t="shared" si="44"/>
        <v>-0.05</v>
      </c>
      <c r="R15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5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266050</v>
      </c>
      <c r="T15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278540</v>
      </c>
      <c r="U152" s="208">
        <f ca="1">IF(Tabla33610673[[#This Row],[Equity]]&lt;Tabla33610673[[#This Row],[Equity Peak]],(Tabla33610673[[#This Row],[Equity Peak]]-Tabla33610673[[#This Row],[Equity]])/Tabla33610673[[#This Row],[Equity Peak]],"")</f>
        <v>4.4840956415595608E-2</v>
      </c>
      <c r="V152" s="209">
        <f t="shared" si="45"/>
        <v>0</v>
      </c>
      <c r="W152" s="209">
        <f t="shared" si="46"/>
        <v>0</v>
      </c>
      <c r="X152" s="209">
        <f t="shared" si="47"/>
        <v>-0.05</v>
      </c>
      <c r="Y152" s="209">
        <f t="shared" si="48"/>
        <v>0</v>
      </c>
      <c r="Z152" s="209">
        <f t="shared" si="49"/>
        <v>0</v>
      </c>
      <c r="AA152" s="205">
        <f t="shared" si="50"/>
        <v>0</v>
      </c>
      <c r="AB152" s="209">
        <f t="shared" si="51"/>
        <v>0</v>
      </c>
      <c r="AC152" s="205">
        <f t="shared" si="52"/>
        <v>0</v>
      </c>
      <c r="AD152" s="210">
        <f t="shared" si="53"/>
        <v>1.6319444444452529</v>
      </c>
      <c r="AE152" s="210">
        <f t="shared" si="54"/>
        <v>0</v>
      </c>
      <c r="AF152" s="210">
        <f t="shared" si="55"/>
        <v>1.6319444444452529</v>
      </c>
      <c r="AG152" s="210">
        <f t="shared" si="56"/>
        <v>0</v>
      </c>
    </row>
    <row r="153" spans="2:33" ht="15" customHeight="1" x14ac:dyDescent="0.3">
      <c r="B153" s="196" t="s">
        <v>7</v>
      </c>
      <c r="C153" s="197" t="s">
        <v>13</v>
      </c>
      <c r="D153" s="198" t="str">
        <f t="shared" si="38"/>
        <v>C</v>
      </c>
      <c r="E153" s="199">
        <v>43711.017361111109</v>
      </c>
      <c r="F153" s="200" t="s">
        <v>116</v>
      </c>
      <c r="G153" s="201">
        <v>1.7962800000000001</v>
      </c>
      <c r="H153" s="201">
        <v>1.8158799999999999</v>
      </c>
      <c r="I153" s="202">
        <f t="shared" si="39"/>
        <v>1.959999999999984E-2</v>
      </c>
      <c r="J153" s="201">
        <v>1.7309399999999999</v>
      </c>
      <c r="K153" s="199">
        <v>43712.581944444442</v>
      </c>
      <c r="L153" s="201">
        <v>1.79718</v>
      </c>
      <c r="M153" s="203">
        <f t="shared" si="40"/>
        <v>-8.9999999999999998E-4</v>
      </c>
      <c r="N153" s="204">
        <f t="shared" si="41"/>
        <v>-0.05</v>
      </c>
      <c r="O153" s="205">
        <f t="shared" si="42"/>
        <v>0</v>
      </c>
      <c r="P153" s="206">
        <f t="shared" si="43"/>
        <v>0</v>
      </c>
      <c r="Q153" s="206">
        <f t="shared" si="44"/>
        <v>-0.05</v>
      </c>
      <c r="R15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5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266100</v>
      </c>
      <c r="T15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278540</v>
      </c>
      <c r="U153" s="208">
        <f ca="1">IF(Tabla33610673[[#This Row],[Equity]]&lt;Tabla33610673[[#This Row],[Equity Peak]],(Tabla33610673[[#This Row],[Equity Peak]]-Tabla33610673[[#This Row],[Equity]])/Tabla33610673[[#This Row],[Equity Peak]],"")</f>
        <v>4.4661448983987939E-2</v>
      </c>
      <c r="V153" s="209">
        <f t="shared" si="45"/>
        <v>-0.05</v>
      </c>
      <c r="W153" s="209">
        <f t="shared" si="46"/>
        <v>0</v>
      </c>
      <c r="X153" s="209">
        <f t="shared" si="47"/>
        <v>0</v>
      </c>
      <c r="Y153" s="209">
        <f t="shared" si="48"/>
        <v>0</v>
      </c>
      <c r="Z153" s="209">
        <f t="shared" si="49"/>
        <v>0</v>
      </c>
      <c r="AA153" s="205">
        <f t="shared" si="50"/>
        <v>0</v>
      </c>
      <c r="AB153" s="209">
        <f t="shared" si="51"/>
        <v>0</v>
      </c>
      <c r="AC153" s="205">
        <f t="shared" si="52"/>
        <v>0</v>
      </c>
      <c r="AD153" s="210">
        <f t="shared" si="53"/>
        <v>1.5645833333328483</v>
      </c>
      <c r="AE153" s="210">
        <f t="shared" si="54"/>
        <v>0</v>
      </c>
      <c r="AF153" s="210">
        <f t="shared" si="55"/>
        <v>1.5645833333328483</v>
      </c>
      <c r="AG153" s="210">
        <f t="shared" si="56"/>
        <v>0</v>
      </c>
    </row>
    <row r="154" spans="2:33" ht="15" customHeight="1" x14ac:dyDescent="0.3">
      <c r="B154" s="196" t="s">
        <v>5</v>
      </c>
      <c r="C154" s="197" t="s">
        <v>13</v>
      </c>
      <c r="D154" s="198" t="str">
        <f t="shared" si="38"/>
        <v>C</v>
      </c>
      <c r="E154" s="199">
        <v>43711.923611111109</v>
      </c>
      <c r="F154" s="200" t="s">
        <v>90</v>
      </c>
      <c r="G154" s="201">
        <v>6532.8</v>
      </c>
      <c r="H154" s="201">
        <v>6574.3</v>
      </c>
      <c r="I154" s="202">
        <f t="shared" si="39"/>
        <v>41.5</v>
      </c>
      <c r="J154" s="201">
        <v>5979.51</v>
      </c>
      <c r="K154" s="199">
        <v>43712.459722222222</v>
      </c>
      <c r="L154" s="201">
        <v>6574.3</v>
      </c>
      <c r="M154" s="203">
        <f t="shared" si="40"/>
        <v>-41.5</v>
      </c>
      <c r="N154" s="204">
        <f t="shared" si="41"/>
        <v>-1</v>
      </c>
      <c r="O154" s="205">
        <f t="shared" si="42"/>
        <v>0</v>
      </c>
      <c r="P154" s="206">
        <f t="shared" si="43"/>
        <v>0</v>
      </c>
      <c r="Q154" s="206">
        <f t="shared" si="44"/>
        <v>-1</v>
      </c>
      <c r="R15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5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266150</v>
      </c>
      <c r="T15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278540</v>
      </c>
      <c r="U154" s="208">
        <f ca="1">IF(Tabla33610673[[#This Row],[Equity]]&lt;Tabla33610673[[#This Row],[Equity Peak]],(Tabla33610673[[#This Row],[Equity Peak]]-Tabla33610673[[#This Row],[Equity]])/Tabla33610673[[#This Row],[Equity Peak]],"")</f>
        <v>4.4481941552380271E-2</v>
      </c>
      <c r="V154" s="209">
        <f t="shared" si="45"/>
        <v>0</v>
      </c>
      <c r="W154" s="209">
        <f t="shared" si="46"/>
        <v>0</v>
      </c>
      <c r="X154" s="209">
        <f t="shared" si="47"/>
        <v>0</v>
      </c>
      <c r="Y154" s="209">
        <f t="shared" si="48"/>
        <v>0</v>
      </c>
      <c r="Z154" s="209">
        <f t="shared" si="49"/>
        <v>-1</v>
      </c>
      <c r="AA154" s="205">
        <f t="shared" si="50"/>
        <v>0</v>
      </c>
      <c r="AB154" s="209">
        <f t="shared" si="51"/>
        <v>0</v>
      </c>
      <c r="AC154" s="205">
        <f t="shared" si="52"/>
        <v>0</v>
      </c>
      <c r="AD154" s="210">
        <f t="shared" si="53"/>
        <v>0.53611111111240461</v>
      </c>
      <c r="AE154" s="210">
        <f t="shared" si="54"/>
        <v>0</v>
      </c>
      <c r="AF154" s="210">
        <f t="shared" si="55"/>
        <v>0.53611111111240461</v>
      </c>
      <c r="AG154" s="210">
        <f t="shared" si="56"/>
        <v>0</v>
      </c>
    </row>
    <row r="155" spans="2:33" ht="15" customHeight="1" x14ac:dyDescent="0.3">
      <c r="B155" s="196" t="s">
        <v>7</v>
      </c>
      <c r="C155" s="197" t="s">
        <v>13</v>
      </c>
      <c r="D155" s="198" t="str">
        <f t="shared" si="38"/>
        <v>C</v>
      </c>
      <c r="E155" s="199">
        <v>43711.833333333336</v>
      </c>
      <c r="F155" s="200" t="s">
        <v>113</v>
      </c>
      <c r="G155" s="201">
        <v>105.873</v>
      </c>
      <c r="H155" s="201">
        <v>106.59099999999999</v>
      </c>
      <c r="I155" s="202">
        <f t="shared" si="39"/>
        <v>0.71799999999998931</v>
      </c>
      <c r="J155" s="201">
        <v>102.521</v>
      </c>
      <c r="K155" s="199">
        <v>43712.439583333333</v>
      </c>
      <c r="L155" s="201">
        <v>106.23099999999999</v>
      </c>
      <c r="M155" s="203">
        <f t="shared" si="40"/>
        <v>-0.35799999999999998</v>
      </c>
      <c r="N155" s="204">
        <f t="shared" si="41"/>
        <v>-0.5</v>
      </c>
      <c r="O155" s="205">
        <f t="shared" si="42"/>
        <v>0</v>
      </c>
      <c r="P155" s="206">
        <f t="shared" si="43"/>
        <v>0</v>
      </c>
      <c r="Q155" s="206">
        <f t="shared" si="44"/>
        <v>-0.5</v>
      </c>
      <c r="R15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5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267150</v>
      </c>
      <c r="T15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278540</v>
      </c>
      <c r="U155" s="208">
        <f ca="1">IF(Tabla33610673[[#This Row],[Equity]]&lt;Tabla33610673[[#This Row],[Equity Peak]],(Tabla33610673[[#This Row],[Equity Peak]]-Tabla33610673[[#This Row],[Equity]])/Tabla33610673[[#This Row],[Equity Peak]],"")</f>
        <v>4.0891792920226898E-2</v>
      </c>
      <c r="V155" s="209">
        <f t="shared" si="45"/>
        <v>-0.5</v>
      </c>
      <c r="W155" s="209">
        <f t="shared" si="46"/>
        <v>0</v>
      </c>
      <c r="X155" s="209">
        <f t="shared" si="47"/>
        <v>0</v>
      </c>
      <c r="Y155" s="209">
        <f t="shared" si="48"/>
        <v>0</v>
      </c>
      <c r="Z155" s="209">
        <f t="shared" si="49"/>
        <v>0</v>
      </c>
      <c r="AA155" s="205">
        <f t="shared" si="50"/>
        <v>0</v>
      </c>
      <c r="AB155" s="209">
        <f t="shared" si="51"/>
        <v>0</v>
      </c>
      <c r="AC155" s="205">
        <f t="shared" si="52"/>
        <v>0</v>
      </c>
      <c r="AD155" s="210">
        <f t="shared" si="53"/>
        <v>0.60624999999708962</v>
      </c>
      <c r="AE155" s="210">
        <f t="shared" si="54"/>
        <v>0</v>
      </c>
      <c r="AF155" s="210">
        <f t="shared" si="55"/>
        <v>0.60624999999708962</v>
      </c>
      <c r="AG155" s="210">
        <f t="shared" si="56"/>
        <v>0</v>
      </c>
    </row>
    <row r="156" spans="2:33" ht="15" customHeight="1" x14ac:dyDescent="0.3">
      <c r="B156" s="196" t="s">
        <v>7</v>
      </c>
      <c r="C156" s="197" t="s">
        <v>13</v>
      </c>
      <c r="D156" s="198" t="str">
        <f t="shared" si="38"/>
        <v>C</v>
      </c>
      <c r="E156" s="199">
        <v>43710.166666666664</v>
      </c>
      <c r="F156" s="200" t="s">
        <v>114</v>
      </c>
      <c r="G156" s="201">
        <v>1.2148699999999999</v>
      </c>
      <c r="H156" s="201">
        <v>1.2222200000000001</v>
      </c>
      <c r="I156" s="202">
        <f t="shared" si="39"/>
        <v>7.3500000000001897E-3</v>
      </c>
      <c r="J156" s="201">
        <v>1.18546</v>
      </c>
      <c r="K156" s="199">
        <v>43712.414583333331</v>
      </c>
      <c r="L156" s="201">
        <v>1.21445</v>
      </c>
      <c r="M156" s="203">
        <f t="shared" si="40"/>
        <v>4.0000000000000002E-4</v>
      </c>
      <c r="N156" s="204">
        <f t="shared" si="41"/>
        <v>0.05</v>
      </c>
      <c r="O156" s="205">
        <f t="shared" si="42"/>
        <v>0</v>
      </c>
      <c r="P156" s="206">
        <f t="shared" si="43"/>
        <v>0.05</v>
      </c>
      <c r="Q156" s="206">
        <f t="shared" si="44"/>
        <v>0</v>
      </c>
      <c r="R15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5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267650</v>
      </c>
      <c r="T15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278540</v>
      </c>
      <c r="U156" s="208">
        <f ca="1">IF(Tabla33610673[[#This Row],[Equity]]&lt;Tabla33610673[[#This Row],[Equity Peak]],(Tabla33610673[[#This Row],[Equity Peak]]-Tabla33610673[[#This Row],[Equity]])/Tabla33610673[[#This Row],[Equity Peak]],"")</f>
        <v>3.9096718604150212E-2</v>
      </c>
      <c r="V156" s="209">
        <f t="shared" si="45"/>
        <v>0.05</v>
      </c>
      <c r="W156" s="209">
        <f t="shared" si="46"/>
        <v>0</v>
      </c>
      <c r="X156" s="209">
        <f t="shared" si="47"/>
        <v>0</v>
      </c>
      <c r="Y156" s="209">
        <f t="shared" si="48"/>
        <v>0</v>
      </c>
      <c r="Z156" s="209">
        <f t="shared" si="49"/>
        <v>0</v>
      </c>
      <c r="AA156" s="205">
        <f t="shared" si="50"/>
        <v>0</v>
      </c>
      <c r="AB156" s="209">
        <f t="shared" si="51"/>
        <v>0</v>
      </c>
      <c r="AC156" s="205">
        <f t="shared" si="52"/>
        <v>0</v>
      </c>
      <c r="AD156" s="210">
        <f t="shared" si="53"/>
        <v>2.2479166666671517</v>
      </c>
      <c r="AE156" s="210">
        <f t="shared" si="54"/>
        <v>2.2479166666671517</v>
      </c>
      <c r="AF156" s="210">
        <f t="shared" si="55"/>
        <v>0</v>
      </c>
      <c r="AG156" s="210">
        <f t="shared" si="56"/>
        <v>0</v>
      </c>
    </row>
    <row r="157" spans="2:33" ht="15" customHeight="1" x14ac:dyDescent="0.3">
      <c r="B157" s="196" t="s">
        <v>7</v>
      </c>
      <c r="C157" s="197" t="s">
        <v>13</v>
      </c>
      <c r="D157" s="198" t="str">
        <f t="shared" si="38"/>
        <v>C</v>
      </c>
      <c r="E157" s="199">
        <v>43707.833333333336</v>
      </c>
      <c r="F157" s="200" t="s">
        <v>117</v>
      </c>
      <c r="G157" s="201">
        <v>1.0987499999999999</v>
      </c>
      <c r="H157" s="201">
        <v>1.1033299999999999</v>
      </c>
      <c r="I157" s="202">
        <f t="shared" si="39"/>
        <v>4.5800000000000285E-3</v>
      </c>
      <c r="J157" s="201">
        <v>1.06945</v>
      </c>
      <c r="K157" s="199">
        <v>43712.387499999997</v>
      </c>
      <c r="L157" s="201">
        <v>1.09901</v>
      </c>
      <c r="M157" s="203">
        <f t="shared" si="40"/>
        <v>-2.9999999999999997E-4</v>
      </c>
      <c r="N157" s="204">
        <f t="shared" si="41"/>
        <v>-7.0000000000000007E-2</v>
      </c>
      <c r="O157" s="205">
        <f t="shared" si="42"/>
        <v>0</v>
      </c>
      <c r="P157" s="206">
        <f t="shared" si="43"/>
        <v>0</v>
      </c>
      <c r="Q157" s="206">
        <f t="shared" si="44"/>
        <v>-7.0000000000000007E-2</v>
      </c>
      <c r="R15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5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267600</v>
      </c>
      <c r="T15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278540</v>
      </c>
      <c r="U157" s="208">
        <f ca="1">IF(Tabla33610673[[#This Row],[Equity]]&lt;Tabla33610673[[#This Row],[Equity Peak]],(Tabla33610673[[#This Row],[Equity Peak]]-Tabla33610673[[#This Row],[Equity]])/Tabla33610673[[#This Row],[Equity Peak]],"")</f>
        <v>3.927622603575788E-2</v>
      </c>
      <c r="V157" s="209">
        <f t="shared" si="45"/>
        <v>-7.0000000000000007E-2</v>
      </c>
      <c r="W157" s="209">
        <f t="shared" si="46"/>
        <v>0</v>
      </c>
      <c r="X157" s="209">
        <f t="shared" si="47"/>
        <v>0</v>
      </c>
      <c r="Y157" s="209">
        <f t="shared" si="48"/>
        <v>0</v>
      </c>
      <c r="Z157" s="209">
        <f t="shared" si="49"/>
        <v>0</v>
      </c>
      <c r="AA157" s="205">
        <f t="shared" si="50"/>
        <v>0</v>
      </c>
      <c r="AB157" s="209">
        <f t="shared" si="51"/>
        <v>0</v>
      </c>
      <c r="AC157" s="205">
        <f t="shared" si="52"/>
        <v>0</v>
      </c>
      <c r="AD157" s="210">
        <f t="shared" si="53"/>
        <v>4.554166666661331</v>
      </c>
      <c r="AE157" s="210">
        <f t="shared" si="54"/>
        <v>0</v>
      </c>
      <c r="AF157" s="210">
        <f t="shared" si="55"/>
        <v>4.554166666661331</v>
      </c>
      <c r="AG157" s="210">
        <f t="shared" si="56"/>
        <v>0</v>
      </c>
    </row>
    <row r="158" spans="2:33" ht="15" customHeight="1" x14ac:dyDescent="0.3">
      <c r="B158" s="196" t="s">
        <v>5</v>
      </c>
      <c r="C158" s="197" t="s">
        <v>13</v>
      </c>
      <c r="D158" s="198" t="str">
        <f t="shared" si="38"/>
        <v>C</v>
      </c>
      <c r="E158" s="199">
        <v>43711.833333333336</v>
      </c>
      <c r="F158" s="200" t="s">
        <v>95</v>
      </c>
      <c r="G158" s="201">
        <v>26038.55</v>
      </c>
      <c r="H158" s="201">
        <v>26216.58</v>
      </c>
      <c r="I158" s="202">
        <f t="shared" si="39"/>
        <v>178.03000000000247</v>
      </c>
      <c r="J158" s="201">
        <v>25326.43</v>
      </c>
      <c r="K158" s="199">
        <v>43712.216666666667</v>
      </c>
      <c r="L158" s="201">
        <v>26216.58</v>
      </c>
      <c r="M158" s="203">
        <f t="shared" si="40"/>
        <v>-178.03</v>
      </c>
      <c r="N158" s="204">
        <f t="shared" si="41"/>
        <v>-1</v>
      </c>
      <c r="O158" s="205">
        <f t="shared" si="42"/>
        <v>0</v>
      </c>
      <c r="P158" s="206">
        <f t="shared" si="43"/>
        <v>0</v>
      </c>
      <c r="Q158" s="206">
        <f t="shared" si="44"/>
        <v>-1</v>
      </c>
      <c r="R15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5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267670</v>
      </c>
      <c r="T15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278540</v>
      </c>
      <c r="U158" s="208">
        <f ca="1">IF(Tabla33610673[[#This Row],[Equity]]&lt;Tabla33610673[[#This Row],[Equity Peak]],(Tabla33610673[[#This Row],[Equity Peak]]-Tabla33610673[[#This Row],[Equity]])/Tabla33610673[[#This Row],[Equity Peak]],"")</f>
        <v>3.9024915631507145E-2</v>
      </c>
      <c r="V158" s="209">
        <f t="shared" si="45"/>
        <v>0</v>
      </c>
      <c r="W158" s="209">
        <f t="shared" si="46"/>
        <v>0</v>
      </c>
      <c r="X158" s="209">
        <f t="shared" si="47"/>
        <v>0</v>
      </c>
      <c r="Y158" s="209">
        <f t="shared" si="48"/>
        <v>0</v>
      </c>
      <c r="Z158" s="209">
        <f t="shared" si="49"/>
        <v>-1</v>
      </c>
      <c r="AA158" s="205">
        <f t="shared" si="50"/>
        <v>0</v>
      </c>
      <c r="AB158" s="209">
        <f t="shared" si="51"/>
        <v>0</v>
      </c>
      <c r="AC158" s="205">
        <f t="shared" si="52"/>
        <v>0</v>
      </c>
      <c r="AD158" s="210">
        <f t="shared" si="53"/>
        <v>0.38333333333139308</v>
      </c>
      <c r="AE158" s="210">
        <f t="shared" si="54"/>
        <v>0</v>
      </c>
      <c r="AF158" s="210">
        <f t="shared" si="55"/>
        <v>0.38333333333139308</v>
      </c>
      <c r="AG158" s="210">
        <f t="shared" si="56"/>
        <v>0</v>
      </c>
    </row>
    <row r="159" spans="2:33" ht="15" customHeight="1" x14ac:dyDescent="0.3">
      <c r="B159" s="196" t="s">
        <v>5</v>
      </c>
      <c r="C159" s="197" t="s">
        <v>15</v>
      </c>
      <c r="D159" s="198" t="str">
        <f t="shared" si="38"/>
        <v>C</v>
      </c>
      <c r="E159" s="199">
        <v>43711.284722222219</v>
      </c>
      <c r="F159" s="200" t="s">
        <v>90</v>
      </c>
      <c r="G159" s="201">
        <v>6589.1</v>
      </c>
      <c r="H159" s="201">
        <v>6549.9</v>
      </c>
      <c r="I159" s="202">
        <f t="shared" si="39"/>
        <v>39.200000000000728</v>
      </c>
      <c r="J159" s="201">
        <v>7111.81</v>
      </c>
      <c r="K159" s="199">
        <v>43711.46875</v>
      </c>
      <c r="L159" s="201">
        <v>6549.9</v>
      </c>
      <c r="M159" s="203">
        <f t="shared" si="40"/>
        <v>-39.200000000000003</v>
      </c>
      <c r="N159" s="204">
        <f t="shared" si="41"/>
        <v>-1</v>
      </c>
      <c r="O159" s="205">
        <f t="shared" si="42"/>
        <v>0</v>
      </c>
      <c r="P159" s="206">
        <f t="shared" si="43"/>
        <v>0</v>
      </c>
      <c r="Q159" s="206">
        <f t="shared" si="44"/>
        <v>-1</v>
      </c>
      <c r="R15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5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268670</v>
      </c>
      <c r="T15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278540</v>
      </c>
      <c r="U159" s="208">
        <f ca="1">IF(Tabla33610673[[#This Row],[Equity]]&lt;Tabla33610673[[#This Row],[Equity Peak]],(Tabla33610673[[#This Row],[Equity Peak]]-Tabla33610673[[#This Row],[Equity]])/Tabla33610673[[#This Row],[Equity Peak]],"")</f>
        <v>3.5434766999353773E-2</v>
      </c>
      <c r="V159" s="209">
        <f t="shared" si="45"/>
        <v>0</v>
      </c>
      <c r="W159" s="209">
        <f t="shared" si="46"/>
        <v>0</v>
      </c>
      <c r="X159" s="209">
        <f t="shared" si="47"/>
        <v>0</v>
      </c>
      <c r="Y159" s="209">
        <f t="shared" si="48"/>
        <v>0</v>
      </c>
      <c r="Z159" s="209">
        <f t="shared" si="49"/>
        <v>-1</v>
      </c>
      <c r="AA159" s="205">
        <f t="shared" si="50"/>
        <v>0</v>
      </c>
      <c r="AB159" s="209">
        <f t="shared" si="51"/>
        <v>0</v>
      </c>
      <c r="AC159" s="205">
        <f t="shared" si="52"/>
        <v>0</v>
      </c>
      <c r="AD159" s="210">
        <f t="shared" si="53"/>
        <v>0.18402777778101154</v>
      </c>
      <c r="AE159" s="210">
        <f t="shared" si="54"/>
        <v>0</v>
      </c>
      <c r="AF159" s="210">
        <f t="shared" si="55"/>
        <v>0.18402777778101154</v>
      </c>
      <c r="AG159" s="210">
        <f t="shared" si="56"/>
        <v>0</v>
      </c>
    </row>
    <row r="160" spans="2:33" ht="15" customHeight="1" x14ac:dyDescent="0.3">
      <c r="B160" s="196" t="s">
        <v>5</v>
      </c>
      <c r="C160" s="197" t="s">
        <v>15</v>
      </c>
      <c r="D160" s="198" t="str">
        <f t="shared" si="38"/>
        <v>C</v>
      </c>
      <c r="E160" s="199">
        <v>43706.833333333336</v>
      </c>
      <c r="F160" s="200" t="s">
        <v>95</v>
      </c>
      <c r="G160" s="201">
        <v>26384.15</v>
      </c>
      <c r="H160" s="201">
        <v>26206.82</v>
      </c>
      <c r="I160" s="202">
        <f t="shared" si="39"/>
        <v>177.33000000000175</v>
      </c>
      <c r="J160" s="201">
        <v>27093.48</v>
      </c>
      <c r="K160" s="199">
        <v>43710</v>
      </c>
      <c r="L160" s="201">
        <v>26206.82</v>
      </c>
      <c r="M160" s="203">
        <f t="shared" si="40"/>
        <v>-177.33</v>
      </c>
      <c r="N160" s="204">
        <f t="shared" si="41"/>
        <v>-1</v>
      </c>
      <c r="O160" s="205">
        <f t="shared" si="42"/>
        <v>0</v>
      </c>
      <c r="P160" s="206">
        <f t="shared" si="43"/>
        <v>0</v>
      </c>
      <c r="Q160" s="206">
        <f t="shared" si="44"/>
        <v>-1</v>
      </c>
      <c r="R16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6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269670</v>
      </c>
      <c r="T16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278540</v>
      </c>
      <c r="U160" s="208">
        <f ca="1">IF(Tabla33610673[[#This Row],[Equity]]&lt;Tabla33610673[[#This Row],[Equity Peak]],(Tabla33610673[[#This Row],[Equity Peak]]-Tabla33610673[[#This Row],[Equity]])/Tabla33610673[[#This Row],[Equity Peak]],"")</f>
        <v>3.18446183672004E-2</v>
      </c>
      <c r="V160" s="209">
        <f t="shared" si="45"/>
        <v>0</v>
      </c>
      <c r="W160" s="209">
        <f t="shared" si="46"/>
        <v>0</v>
      </c>
      <c r="X160" s="209">
        <f t="shared" si="47"/>
        <v>0</v>
      </c>
      <c r="Y160" s="209">
        <f t="shared" si="48"/>
        <v>0</v>
      </c>
      <c r="Z160" s="209">
        <f t="shared" si="49"/>
        <v>-1</v>
      </c>
      <c r="AA160" s="205">
        <f t="shared" si="50"/>
        <v>0</v>
      </c>
      <c r="AB160" s="209">
        <f t="shared" si="51"/>
        <v>0</v>
      </c>
      <c r="AC160" s="205">
        <f t="shared" si="52"/>
        <v>0</v>
      </c>
      <c r="AD160" s="210">
        <f t="shared" si="53"/>
        <v>3.1666666666642413</v>
      </c>
      <c r="AE160" s="210">
        <f t="shared" si="54"/>
        <v>0</v>
      </c>
      <c r="AF160" s="210">
        <f t="shared" si="55"/>
        <v>3.1666666666642413</v>
      </c>
      <c r="AG160" s="210">
        <f t="shared" si="56"/>
        <v>0</v>
      </c>
    </row>
    <row r="161" spans="2:33" ht="15" customHeight="1" x14ac:dyDescent="0.3">
      <c r="B161" s="196" t="s">
        <v>5</v>
      </c>
      <c r="C161" s="197" t="s">
        <v>15</v>
      </c>
      <c r="D161" s="198" t="str">
        <f t="shared" si="38"/>
        <v>C</v>
      </c>
      <c r="E161" s="199">
        <v>43707.5</v>
      </c>
      <c r="F161" s="200" t="s">
        <v>93</v>
      </c>
      <c r="G161" s="201">
        <v>2940.5</v>
      </c>
      <c r="H161" s="201">
        <v>2918.06</v>
      </c>
      <c r="I161" s="202">
        <f t="shared" si="39"/>
        <v>22.440000000000055</v>
      </c>
      <c r="J161" s="201">
        <v>3000.35</v>
      </c>
      <c r="K161" s="199">
        <v>43707.772222222222</v>
      </c>
      <c r="L161" s="201">
        <v>2918.06</v>
      </c>
      <c r="M161" s="203">
        <f t="shared" si="40"/>
        <v>-22.44</v>
      </c>
      <c r="N161" s="204">
        <f t="shared" si="41"/>
        <v>-1</v>
      </c>
      <c r="O161" s="205">
        <f t="shared" si="42"/>
        <v>0</v>
      </c>
      <c r="P161" s="206">
        <f t="shared" si="43"/>
        <v>0</v>
      </c>
      <c r="Q161" s="206">
        <f t="shared" si="44"/>
        <v>-1</v>
      </c>
      <c r="R16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6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270670</v>
      </c>
      <c r="T16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278540</v>
      </c>
      <c r="U161" s="208">
        <f ca="1">IF(Tabla33610673[[#This Row],[Equity]]&lt;Tabla33610673[[#This Row],[Equity Peak]],(Tabla33610673[[#This Row],[Equity Peak]]-Tabla33610673[[#This Row],[Equity]])/Tabla33610673[[#This Row],[Equity Peak]],"")</f>
        <v>2.8254469735047031E-2</v>
      </c>
      <c r="V161" s="209">
        <f t="shared" si="45"/>
        <v>0</v>
      </c>
      <c r="W161" s="209">
        <f t="shared" si="46"/>
        <v>0</v>
      </c>
      <c r="X161" s="209">
        <f t="shared" si="47"/>
        <v>0</v>
      </c>
      <c r="Y161" s="209">
        <f t="shared" si="48"/>
        <v>0</v>
      </c>
      <c r="Z161" s="209">
        <f t="shared" si="49"/>
        <v>-1</v>
      </c>
      <c r="AA161" s="205">
        <f t="shared" si="50"/>
        <v>0</v>
      </c>
      <c r="AB161" s="209">
        <f t="shared" si="51"/>
        <v>0</v>
      </c>
      <c r="AC161" s="205">
        <f t="shared" si="52"/>
        <v>0</v>
      </c>
      <c r="AD161" s="210">
        <f t="shared" si="53"/>
        <v>0.27222222222189885</v>
      </c>
      <c r="AE161" s="210">
        <f t="shared" si="54"/>
        <v>0</v>
      </c>
      <c r="AF161" s="210">
        <f t="shared" si="55"/>
        <v>0.27222222222189885</v>
      </c>
      <c r="AG161" s="210">
        <f t="shared" si="56"/>
        <v>0</v>
      </c>
    </row>
    <row r="162" spans="2:33" ht="15" customHeight="1" x14ac:dyDescent="0.3">
      <c r="B162" s="196" t="s">
        <v>19</v>
      </c>
      <c r="C162" s="197" t="s">
        <v>15</v>
      </c>
      <c r="D162" s="198" t="str">
        <f t="shared" si="38"/>
        <v>C</v>
      </c>
      <c r="E162" s="199">
        <v>43705.958333333336</v>
      </c>
      <c r="F162" s="200" t="s">
        <v>108</v>
      </c>
      <c r="G162" s="201">
        <v>55.881999999999998</v>
      </c>
      <c r="H162" s="201">
        <v>54.457000000000001</v>
      </c>
      <c r="I162" s="202">
        <f t="shared" si="39"/>
        <v>1.4249999999999972</v>
      </c>
      <c r="J162" s="201">
        <v>72.977999999999994</v>
      </c>
      <c r="K162" s="199">
        <v>43707.56527777778</v>
      </c>
      <c r="L162" s="201">
        <v>55.697000000000003</v>
      </c>
      <c r="M162" s="203">
        <f t="shared" si="40"/>
        <v>-0.185</v>
      </c>
      <c r="N162" s="204">
        <f t="shared" si="41"/>
        <v>-0.13</v>
      </c>
      <c r="O162" s="205">
        <f t="shared" si="42"/>
        <v>0</v>
      </c>
      <c r="P162" s="206">
        <f t="shared" si="43"/>
        <v>0</v>
      </c>
      <c r="Q162" s="206">
        <f t="shared" si="44"/>
        <v>-0.13</v>
      </c>
      <c r="R16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6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271670</v>
      </c>
      <c r="T16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278540</v>
      </c>
      <c r="U162" s="208">
        <f ca="1">IF(Tabla33610673[[#This Row],[Equity]]&lt;Tabla33610673[[#This Row],[Equity Peak]],(Tabla33610673[[#This Row],[Equity Peak]]-Tabla33610673[[#This Row],[Equity]])/Tabla33610673[[#This Row],[Equity Peak]],"")</f>
        <v>2.4664321102893658E-2</v>
      </c>
      <c r="V162" s="209">
        <f t="shared" si="45"/>
        <v>0</v>
      </c>
      <c r="W162" s="209">
        <f t="shared" si="46"/>
        <v>0</v>
      </c>
      <c r="X162" s="209">
        <f t="shared" si="47"/>
        <v>-0.13</v>
      </c>
      <c r="Y162" s="209">
        <f t="shared" si="48"/>
        <v>0</v>
      </c>
      <c r="Z162" s="209">
        <f t="shared" si="49"/>
        <v>0</v>
      </c>
      <c r="AA162" s="205">
        <f t="shared" si="50"/>
        <v>0</v>
      </c>
      <c r="AB162" s="209">
        <f t="shared" si="51"/>
        <v>0</v>
      </c>
      <c r="AC162" s="205">
        <f t="shared" si="52"/>
        <v>0</v>
      </c>
      <c r="AD162" s="210">
        <f t="shared" si="53"/>
        <v>1.6069444444437977</v>
      </c>
      <c r="AE162" s="210">
        <f t="shared" si="54"/>
        <v>0</v>
      </c>
      <c r="AF162" s="210">
        <f t="shared" si="55"/>
        <v>1.6069444444437977</v>
      </c>
      <c r="AG162" s="210">
        <f t="shared" si="56"/>
        <v>0</v>
      </c>
    </row>
    <row r="163" spans="2:33" ht="15" customHeight="1" x14ac:dyDescent="0.3">
      <c r="B163" s="196" t="s">
        <v>5</v>
      </c>
      <c r="C163" s="197" t="s">
        <v>13</v>
      </c>
      <c r="D163" s="198" t="str">
        <f t="shared" si="38"/>
        <v>C</v>
      </c>
      <c r="E163" s="199">
        <v>43703.017361111109</v>
      </c>
      <c r="F163" s="200" t="s">
        <v>92</v>
      </c>
      <c r="G163" s="201">
        <v>7401.28</v>
      </c>
      <c r="H163" s="201">
        <v>7537.36</v>
      </c>
      <c r="I163" s="202">
        <f t="shared" si="39"/>
        <v>136.07999999999993</v>
      </c>
      <c r="J163" s="201">
        <v>6494.08</v>
      </c>
      <c r="K163" s="199">
        <v>43703.451388888891</v>
      </c>
      <c r="L163" s="201">
        <v>7537.36</v>
      </c>
      <c r="M163" s="203">
        <f t="shared" si="40"/>
        <v>-136.08000000000001</v>
      </c>
      <c r="N163" s="204">
        <f t="shared" si="41"/>
        <v>-1</v>
      </c>
      <c r="O163" s="205">
        <f t="shared" si="42"/>
        <v>0</v>
      </c>
      <c r="P163" s="206">
        <f t="shared" si="43"/>
        <v>0</v>
      </c>
      <c r="Q163" s="206">
        <f t="shared" si="44"/>
        <v>-1</v>
      </c>
      <c r="R16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6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271800</v>
      </c>
      <c r="T16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278540</v>
      </c>
      <c r="U163" s="208">
        <f ca="1">IF(Tabla33610673[[#This Row],[Equity]]&lt;Tabla33610673[[#This Row],[Equity Peak]],(Tabla33610673[[#This Row],[Equity Peak]]-Tabla33610673[[#This Row],[Equity]])/Tabla33610673[[#This Row],[Equity Peak]],"")</f>
        <v>2.4197601780713722E-2</v>
      </c>
      <c r="V163" s="209">
        <f t="shared" si="45"/>
        <v>0</v>
      </c>
      <c r="W163" s="209">
        <f t="shared" si="46"/>
        <v>0</v>
      </c>
      <c r="X163" s="209">
        <f t="shared" si="47"/>
        <v>0</v>
      </c>
      <c r="Y163" s="209">
        <f t="shared" si="48"/>
        <v>0</v>
      </c>
      <c r="Z163" s="209">
        <f t="shared" si="49"/>
        <v>-1</v>
      </c>
      <c r="AA163" s="205">
        <f t="shared" si="50"/>
        <v>0</v>
      </c>
      <c r="AB163" s="209">
        <f t="shared" si="51"/>
        <v>0</v>
      </c>
      <c r="AC163" s="205">
        <f t="shared" si="52"/>
        <v>0</v>
      </c>
      <c r="AD163" s="210">
        <f t="shared" si="53"/>
        <v>0.43402777778101154</v>
      </c>
      <c r="AE163" s="210">
        <f t="shared" si="54"/>
        <v>0</v>
      </c>
      <c r="AF163" s="210">
        <f t="shared" si="55"/>
        <v>0.43402777778101154</v>
      </c>
      <c r="AG163" s="210">
        <f t="shared" si="56"/>
        <v>0</v>
      </c>
    </row>
    <row r="164" spans="2:33" ht="15" customHeight="1" x14ac:dyDescent="0.3">
      <c r="B164" s="196" t="s">
        <v>7</v>
      </c>
      <c r="C164" s="197" t="s">
        <v>15</v>
      </c>
      <c r="D164" s="198" t="str">
        <f t="shared" si="38"/>
        <v>C</v>
      </c>
      <c r="E164" s="199">
        <v>43700.666666666664</v>
      </c>
      <c r="F164" s="200" t="s">
        <v>120</v>
      </c>
      <c r="G164" s="201">
        <v>1.6412199999999999</v>
      </c>
      <c r="H164" s="201">
        <v>1.6357900000000001</v>
      </c>
      <c r="I164" s="202">
        <f t="shared" si="39"/>
        <v>5.4299999999998239E-3</v>
      </c>
      <c r="J164" s="201">
        <v>1.6991700000000001</v>
      </c>
      <c r="K164" s="199">
        <v>43703.43472222222</v>
      </c>
      <c r="L164" s="201">
        <v>1.64724</v>
      </c>
      <c r="M164" s="203">
        <f t="shared" si="40"/>
        <v>6.0000000000000001E-3</v>
      </c>
      <c r="N164" s="204">
        <f t="shared" si="41"/>
        <v>1.1000000000000001</v>
      </c>
      <c r="O164" s="205">
        <f t="shared" si="42"/>
        <v>0</v>
      </c>
      <c r="P164" s="206">
        <f t="shared" si="43"/>
        <v>1.1000000000000001</v>
      </c>
      <c r="Q164" s="206">
        <f t="shared" si="44"/>
        <v>0</v>
      </c>
      <c r="R16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6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272800</v>
      </c>
      <c r="T16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278540</v>
      </c>
      <c r="U164" s="208">
        <f ca="1">IF(Tabla33610673[[#This Row],[Equity]]&lt;Tabla33610673[[#This Row],[Equity Peak]],(Tabla33610673[[#This Row],[Equity Peak]]-Tabla33610673[[#This Row],[Equity]])/Tabla33610673[[#This Row],[Equity Peak]],"")</f>
        <v>2.0607453148560349E-2</v>
      </c>
      <c r="V164" s="209">
        <f t="shared" si="45"/>
        <v>1.1000000000000001</v>
      </c>
      <c r="W164" s="209">
        <f t="shared" si="46"/>
        <v>0</v>
      </c>
      <c r="X164" s="209">
        <f t="shared" si="47"/>
        <v>0</v>
      </c>
      <c r="Y164" s="209">
        <f t="shared" si="48"/>
        <v>0</v>
      </c>
      <c r="Z164" s="209">
        <f t="shared" si="49"/>
        <v>0</v>
      </c>
      <c r="AA164" s="205">
        <f t="shared" si="50"/>
        <v>0</v>
      </c>
      <c r="AB164" s="209">
        <f t="shared" si="51"/>
        <v>0</v>
      </c>
      <c r="AC164" s="205">
        <f t="shared" si="52"/>
        <v>0</v>
      </c>
      <c r="AD164" s="210">
        <f t="shared" si="53"/>
        <v>2.7680555555562023</v>
      </c>
      <c r="AE164" s="210">
        <f t="shared" si="54"/>
        <v>2.7680555555562023</v>
      </c>
      <c r="AF164" s="210">
        <f t="shared" si="55"/>
        <v>0</v>
      </c>
      <c r="AG164" s="210">
        <f t="shared" si="56"/>
        <v>0</v>
      </c>
    </row>
    <row r="165" spans="2:33" ht="15" customHeight="1" x14ac:dyDescent="0.3">
      <c r="B165" s="196" t="s">
        <v>5</v>
      </c>
      <c r="C165" s="197" t="s">
        <v>13</v>
      </c>
      <c r="D165" s="198" t="str">
        <f t="shared" si="38"/>
        <v>C</v>
      </c>
      <c r="E165" s="199">
        <v>43703.017361111109</v>
      </c>
      <c r="F165" s="200" t="s">
        <v>93</v>
      </c>
      <c r="G165" s="201">
        <v>2822.78</v>
      </c>
      <c r="H165" s="201">
        <v>2852.24</v>
      </c>
      <c r="I165" s="202">
        <f t="shared" si="39"/>
        <v>29.459999999999582</v>
      </c>
      <c r="J165" s="201">
        <v>2744.22</v>
      </c>
      <c r="K165" s="199">
        <v>43703.427083333336</v>
      </c>
      <c r="L165" s="201">
        <v>2852.24</v>
      </c>
      <c r="M165" s="203">
        <f t="shared" si="40"/>
        <v>-29.46</v>
      </c>
      <c r="N165" s="204">
        <f t="shared" si="41"/>
        <v>-1</v>
      </c>
      <c r="O165" s="205">
        <f t="shared" si="42"/>
        <v>0</v>
      </c>
      <c r="P165" s="206">
        <f t="shared" si="43"/>
        <v>0</v>
      </c>
      <c r="Q165" s="206">
        <f t="shared" si="44"/>
        <v>-1</v>
      </c>
      <c r="R16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6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271700</v>
      </c>
      <c r="T16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278540</v>
      </c>
      <c r="U165" s="208">
        <f ca="1">IF(Tabla33610673[[#This Row],[Equity]]&lt;Tabla33610673[[#This Row],[Equity Peak]],(Tabla33610673[[#This Row],[Equity Peak]]-Tabla33610673[[#This Row],[Equity]])/Tabla33610673[[#This Row],[Equity Peak]],"")</f>
        <v>2.4556616643929059E-2</v>
      </c>
      <c r="V165" s="209">
        <f t="shared" si="45"/>
        <v>0</v>
      </c>
      <c r="W165" s="209">
        <f t="shared" si="46"/>
        <v>0</v>
      </c>
      <c r="X165" s="209">
        <f t="shared" si="47"/>
        <v>0</v>
      </c>
      <c r="Y165" s="209">
        <f t="shared" si="48"/>
        <v>0</v>
      </c>
      <c r="Z165" s="209">
        <f t="shared" si="49"/>
        <v>-1</v>
      </c>
      <c r="AA165" s="205">
        <f t="shared" si="50"/>
        <v>0</v>
      </c>
      <c r="AB165" s="209">
        <f t="shared" si="51"/>
        <v>0</v>
      </c>
      <c r="AC165" s="205">
        <f t="shared" si="52"/>
        <v>0</v>
      </c>
      <c r="AD165" s="210">
        <f t="shared" si="53"/>
        <v>0.40972222222626442</v>
      </c>
      <c r="AE165" s="210">
        <f t="shared" si="54"/>
        <v>0</v>
      </c>
      <c r="AF165" s="210">
        <f t="shared" si="55"/>
        <v>0.40972222222626442</v>
      </c>
      <c r="AG165" s="210">
        <f t="shared" si="56"/>
        <v>0</v>
      </c>
    </row>
    <row r="166" spans="2:33" ht="15" customHeight="1" x14ac:dyDescent="0.3">
      <c r="B166" s="196" t="s">
        <v>19</v>
      </c>
      <c r="C166" s="197" t="s">
        <v>13</v>
      </c>
      <c r="D166" s="198" t="str">
        <f t="shared" si="38"/>
        <v>C</v>
      </c>
      <c r="E166" s="199">
        <v>43700.791666666664</v>
      </c>
      <c r="F166" s="200" t="s">
        <v>108</v>
      </c>
      <c r="G166" s="201">
        <v>53.514000000000003</v>
      </c>
      <c r="H166" s="201">
        <v>54.923000000000002</v>
      </c>
      <c r="I166" s="202">
        <f t="shared" si="39"/>
        <v>1.4089999999999989</v>
      </c>
      <c r="J166" s="201">
        <v>36.603000000000002</v>
      </c>
      <c r="K166" s="199">
        <v>43703.372916666667</v>
      </c>
      <c r="L166" s="201">
        <v>53.957000000000001</v>
      </c>
      <c r="M166" s="203">
        <f t="shared" si="40"/>
        <v>-0.443</v>
      </c>
      <c r="N166" s="204">
        <f t="shared" si="41"/>
        <v>-0.31</v>
      </c>
      <c r="O166" s="205">
        <f t="shared" si="42"/>
        <v>0</v>
      </c>
      <c r="P166" s="206">
        <f t="shared" si="43"/>
        <v>0</v>
      </c>
      <c r="Q166" s="206">
        <f t="shared" si="44"/>
        <v>-0.31</v>
      </c>
      <c r="R16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6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272700</v>
      </c>
      <c r="T16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278540</v>
      </c>
      <c r="U166" s="208">
        <f ca="1">IF(Tabla33610673[[#This Row],[Equity]]&lt;Tabla33610673[[#This Row],[Equity Peak]],(Tabla33610673[[#This Row],[Equity Peak]]-Tabla33610673[[#This Row],[Equity]])/Tabla33610673[[#This Row],[Equity Peak]],"")</f>
        <v>2.0966468011775687E-2</v>
      </c>
      <c r="V166" s="209">
        <f t="shared" si="45"/>
        <v>0</v>
      </c>
      <c r="W166" s="209">
        <f t="shared" si="46"/>
        <v>0</v>
      </c>
      <c r="X166" s="209">
        <f t="shared" si="47"/>
        <v>-0.31</v>
      </c>
      <c r="Y166" s="209">
        <f t="shared" si="48"/>
        <v>0</v>
      </c>
      <c r="Z166" s="209">
        <f t="shared" si="49"/>
        <v>0</v>
      </c>
      <c r="AA166" s="205">
        <f t="shared" si="50"/>
        <v>0</v>
      </c>
      <c r="AB166" s="209">
        <f t="shared" si="51"/>
        <v>0</v>
      </c>
      <c r="AC166" s="205">
        <f t="shared" si="52"/>
        <v>0</v>
      </c>
      <c r="AD166" s="210">
        <f t="shared" si="53"/>
        <v>2.5812500000029104</v>
      </c>
      <c r="AE166" s="210">
        <f t="shared" si="54"/>
        <v>0</v>
      </c>
      <c r="AF166" s="210">
        <f t="shared" si="55"/>
        <v>2.5812500000029104</v>
      </c>
      <c r="AG166" s="210">
        <f t="shared" si="56"/>
        <v>0</v>
      </c>
    </row>
    <row r="167" spans="2:33" ht="15" customHeight="1" x14ac:dyDescent="0.3">
      <c r="B167" s="196" t="s">
        <v>7</v>
      </c>
      <c r="C167" s="197" t="s">
        <v>13</v>
      </c>
      <c r="D167" s="198" t="str">
        <f t="shared" si="38"/>
        <v>C</v>
      </c>
      <c r="E167" s="199">
        <v>43700.833333333336</v>
      </c>
      <c r="F167" s="200" t="s">
        <v>113</v>
      </c>
      <c r="G167" s="201">
        <v>105.407</v>
      </c>
      <c r="H167" s="201">
        <v>106.389</v>
      </c>
      <c r="I167" s="202">
        <f t="shared" si="39"/>
        <v>0.98199999999999932</v>
      </c>
      <c r="J167" s="201">
        <v>100.82299999999999</v>
      </c>
      <c r="K167" s="199">
        <v>43703.254861111112</v>
      </c>
      <c r="L167" s="201">
        <v>105.742</v>
      </c>
      <c r="M167" s="203">
        <f t="shared" si="40"/>
        <v>-0.33500000000000002</v>
      </c>
      <c r="N167" s="204">
        <f t="shared" si="41"/>
        <v>-0.34</v>
      </c>
      <c r="O167" s="205">
        <f t="shared" si="42"/>
        <v>0</v>
      </c>
      <c r="P167" s="206">
        <f t="shared" si="43"/>
        <v>0</v>
      </c>
      <c r="Q167" s="206">
        <f t="shared" si="44"/>
        <v>-0.34</v>
      </c>
      <c r="R16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6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273010</v>
      </c>
      <c r="T16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278540</v>
      </c>
      <c r="U167" s="208">
        <f ca="1">IF(Tabla33610673[[#This Row],[Equity]]&lt;Tabla33610673[[#This Row],[Equity Peak]],(Tabla33610673[[#This Row],[Equity Peak]]-Tabla33610673[[#This Row],[Equity]])/Tabla33610673[[#This Row],[Equity Peak]],"")</f>
        <v>1.9853521935808142E-2</v>
      </c>
      <c r="V167" s="209">
        <f t="shared" si="45"/>
        <v>-0.34</v>
      </c>
      <c r="W167" s="209">
        <f t="shared" si="46"/>
        <v>0</v>
      </c>
      <c r="X167" s="209">
        <f t="shared" si="47"/>
        <v>0</v>
      </c>
      <c r="Y167" s="209">
        <f t="shared" si="48"/>
        <v>0</v>
      </c>
      <c r="Z167" s="209">
        <f t="shared" si="49"/>
        <v>0</v>
      </c>
      <c r="AA167" s="205">
        <f t="shared" si="50"/>
        <v>0</v>
      </c>
      <c r="AB167" s="209">
        <f t="shared" si="51"/>
        <v>0</v>
      </c>
      <c r="AC167" s="205">
        <f t="shared" si="52"/>
        <v>0</v>
      </c>
      <c r="AD167" s="210">
        <f t="shared" si="53"/>
        <v>2.421527777776646</v>
      </c>
      <c r="AE167" s="210">
        <f t="shared" si="54"/>
        <v>0</v>
      </c>
      <c r="AF167" s="210">
        <f t="shared" si="55"/>
        <v>2.421527777776646</v>
      </c>
      <c r="AG167" s="210">
        <f t="shared" si="56"/>
        <v>0</v>
      </c>
    </row>
    <row r="168" spans="2:33" ht="15" customHeight="1" x14ac:dyDescent="0.3">
      <c r="B168" s="196" t="s">
        <v>5</v>
      </c>
      <c r="C168" s="197" t="s">
        <v>15</v>
      </c>
      <c r="D168" s="198" t="str">
        <f t="shared" si="38"/>
        <v>C</v>
      </c>
      <c r="E168" s="199">
        <v>43697.017361111109</v>
      </c>
      <c r="F168" s="200" t="s">
        <v>92</v>
      </c>
      <c r="G168" s="201">
        <v>7713.48</v>
      </c>
      <c r="H168" s="201">
        <v>7576.75</v>
      </c>
      <c r="I168" s="202">
        <f t="shared" si="39"/>
        <v>136.72999999999956</v>
      </c>
      <c r="J168" s="201">
        <v>8625.01</v>
      </c>
      <c r="K168" s="199">
        <v>43700.767361111109</v>
      </c>
      <c r="L168" s="201">
        <v>7576.75</v>
      </c>
      <c r="M168" s="203">
        <f t="shared" si="40"/>
        <v>-136.72999999999999</v>
      </c>
      <c r="N168" s="204">
        <f t="shared" si="41"/>
        <v>-1</v>
      </c>
      <c r="O168" s="205">
        <f t="shared" si="42"/>
        <v>0</v>
      </c>
      <c r="P168" s="206">
        <f t="shared" si="43"/>
        <v>0</v>
      </c>
      <c r="Q168" s="206">
        <f t="shared" si="44"/>
        <v>-1</v>
      </c>
      <c r="R16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6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273350</v>
      </c>
      <c r="T16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278540</v>
      </c>
      <c r="U168" s="208">
        <f ca="1">IF(Tabla33610673[[#This Row],[Equity]]&lt;Tabla33610673[[#This Row],[Equity Peak]],(Tabla33610673[[#This Row],[Equity Peak]]-Tabla33610673[[#This Row],[Equity]])/Tabla33610673[[#This Row],[Equity Peak]],"")</f>
        <v>1.8632871400875998E-2</v>
      </c>
      <c r="V168" s="209">
        <f t="shared" si="45"/>
        <v>0</v>
      </c>
      <c r="W168" s="209">
        <f t="shared" si="46"/>
        <v>0</v>
      </c>
      <c r="X168" s="209">
        <f t="shared" si="47"/>
        <v>0</v>
      </c>
      <c r="Y168" s="209">
        <f t="shared" si="48"/>
        <v>0</v>
      </c>
      <c r="Z168" s="209">
        <f t="shared" si="49"/>
        <v>-1</v>
      </c>
      <c r="AA168" s="205">
        <f t="shared" si="50"/>
        <v>0</v>
      </c>
      <c r="AB168" s="209">
        <f t="shared" si="51"/>
        <v>0</v>
      </c>
      <c r="AC168" s="205">
        <f t="shared" si="52"/>
        <v>0</v>
      </c>
      <c r="AD168" s="210">
        <f t="shared" si="53"/>
        <v>3.75</v>
      </c>
      <c r="AE168" s="210">
        <f t="shared" si="54"/>
        <v>0</v>
      </c>
      <c r="AF168" s="210">
        <f t="shared" si="55"/>
        <v>3.75</v>
      </c>
      <c r="AG168" s="210">
        <f t="shared" si="56"/>
        <v>0</v>
      </c>
    </row>
    <row r="169" spans="2:33" ht="15" customHeight="1" x14ac:dyDescent="0.3">
      <c r="B169" s="196" t="s">
        <v>5</v>
      </c>
      <c r="C169" s="197" t="s">
        <v>13</v>
      </c>
      <c r="D169" s="198" t="str">
        <f t="shared" si="38"/>
        <v>C</v>
      </c>
      <c r="E169" s="199">
        <v>43700.666666666664</v>
      </c>
      <c r="F169" s="200" t="s">
        <v>95</v>
      </c>
      <c r="G169" s="201">
        <v>26135.9</v>
      </c>
      <c r="H169" s="201">
        <v>26306.67</v>
      </c>
      <c r="I169" s="202">
        <f t="shared" si="39"/>
        <v>170.7699999999968</v>
      </c>
      <c r="J169" s="201">
        <v>25452.82</v>
      </c>
      <c r="K169" s="199">
        <v>43700.706250000003</v>
      </c>
      <c r="L169" s="201">
        <v>26306.67</v>
      </c>
      <c r="M169" s="203">
        <f t="shared" si="40"/>
        <v>-170.77</v>
      </c>
      <c r="N169" s="204">
        <f t="shared" si="41"/>
        <v>-1</v>
      </c>
      <c r="O169" s="205">
        <f t="shared" si="42"/>
        <v>0</v>
      </c>
      <c r="P169" s="206">
        <f t="shared" si="43"/>
        <v>0</v>
      </c>
      <c r="Q169" s="206">
        <f t="shared" si="44"/>
        <v>-1</v>
      </c>
      <c r="R16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6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274350</v>
      </c>
      <c r="T16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278540</v>
      </c>
      <c r="U169" s="208">
        <f ca="1">IF(Tabla33610673[[#This Row],[Equity]]&lt;Tabla33610673[[#This Row],[Equity Peak]],(Tabla33610673[[#This Row],[Equity Peak]]-Tabla33610673[[#This Row],[Equity]])/Tabla33610673[[#This Row],[Equity Peak]],"")</f>
        <v>1.5042722768722625E-2</v>
      </c>
      <c r="V169" s="209">
        <f t="shared" si="45"/>
        <v>0</v>
      </c>
      <c r="W169" s="209">
        <f t="shared" si="46"/>
        <v>0</v>
      </c>
      <c r="X169" s="209">
        <f t="shared" si="47"/>
        <v>0</v>
      </c>
      <c r="Y169" s="209">
        <f t="shared" si="48"/>
        <v>0</v>
      </c>
      <c r="Z169" s="209">
        <f t="shared" si="49"/>
        <v>-1</v>
      </c>
      <c r="AA169" s="205">
        <f t="shared" si="50"/>
        <v>0</v>
      </c>
      <c r="AB169" s="209">
        <f t="shared" si="51"/>
        <v>0</v>
      </c>
      <c r="AC169" s="205">
        <f t="shared" si="52"/>
        <v>0</v>
      </c>
      <c r="AD169" s="210">
        <f t="shared" si="53"/>
        <v>3.9583333338669036E-2</v>
      </c>
      <c r="AE169" s="210">
        <f t="shared" si="54"/>
        <v>0</v>
      </c>
      <c r="AF169" s="210">
        <f t="shared" si="55"/>
        <v>3.9583333338669036E-2</v>
      </c>
      <c r="AG169" s="210">
        <f t="shared" si="56"/>
        <v>0</v>
      </c>
    </row>
    <row r="170" spans="2:33" ht="15" customHeight="1" x14ac:dyDescent="0.3">
      <c r="B170" s="196" t="s">
        <v>5</v>
      </c>
      <c r="C170" s="197" t="s">
        <v>15</v>
      </c>
      <c r="D170" s="198" t="str">
        <f t="shared" si="38"/>
        <v>C</v>
      </c>
      <c r="E170" s="199">
        <v>43700.333333333336</v>
      </c>
      <c r="F170" s="200" t="s">
        <v>95</v>
      </c>
      <c r="G170" s="201">
        <v>26314.2</v>
      </c>
      <c r="H170" s="201">
        <v>26143.79</v>
      </c>
      <c r="I170" s="202">
        <f t="shared" si="39"/>
        <v>170.40999999999985</v>
      </c>
      <c r="J170" s="201">
        <v>26995.82</v>
      </c>
      <c r="K170" s="199">
        <v>43700.601388888892</v>
      </c>
      <c r="L170" s="201">
        <v>26143.79</v>
      </c>
      <c r="M170" s="203">
        <f t="shared" si="40"/>
        <v>-170.41</v>
      </c>
      <c r="N170" s="204">
        <f t="shared" si="41"/>
        <v>-1</v>
      </c>
      <c r="O170" s="205">
        <f t="shared" si="42"/>
        <v>0</v>
      </c>
      <c r="P170" s="206">
        <f t="shared" si="43"/>
        <v>0</v>
      </c>
      <c r="Q170" s="206">
        <f t="shared" si="44"/>
        <v>-1</v>
      </c>
      <c r="R17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7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275350</v>
      </c>
      <c r="T17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278540</v>
      </c>
      <c r="U170" s="208">
        <f ca="1">IF(Tabla33610673[[#This Row],[Equity]]&lt;Tabla33610673[[#This Row],[Equity Peak]],(Tabla33610673[[#This Row],[Equity Peak]]-Tabla33610673[[#This Row],[Equity]])/Tabla33610673[[#This Row],[Equity Peak]],"")</f>
        <v>1.1452574136569254E-2</v>
      </c>
      <c r="V170" s="209">
        <f t="shared" si="45"/>
        <v>0</v>
      </c>
      <c r="W170" s="209">
        <f t="shared" si="46"/>
        <v>0</v>
      </c>
      <c r="X170" s="209">
        <f t="shared" si="47"/>
        <v>0</v>
      </c>
      <c r="Y170" s="209">
        <f t="shared" si="48"/>
        <v>0</v>
      </c>
      <c r="Z170" s="209">
        <f t="shared" si="49"/>
        <v>-1</v>
      </c>
      <c r="AA170" s="205">
        <f t="shared" si="50"/>
        <v>0</v>
      </c>
      <c r="AB170" s="209">
        <f t="shared" si="51"/>
        <v>0</v>
      </c>
      <c r="AC170" s="205">
        <f t="shared" si="52"/>
        <v>0</v>
      </c>
      <c r="AD170" s="210">
        <f t="shared" si="53"/>
        <v>0.26805555555620231</v>
      </c>
      <c r="AE170" s="210">
        <f t="shared" si="54"/>
        <v>0</v>
      </c>
      <c r="AF170" s="210">
        <f t="shared" si="55"/>
        <v>0.26805555555620231</v>
      </c>
      <c r="AG170" s="210">
        <f t="shared" si="56"/>
        <v>0</v>
      </c>
    </row>
    <row r="171" spans="2:33" ht="15" customHeight="1" x14ac:dyDescent="0.3">
      <c r="B171" s="196" t="s">
        <v>7</v>
      </c>
      <c r="C171" s="197" t="s">
        <v>15</v>
      </c>
      <c r="D171" s="198" t="str">
        <f t="shared" si="38"/>
        <v>C</v>
      </c>
      <c r="E171" s="199">
        <v>43700.017361111109</v>
      </c>
      <c r="F171" s="200" t="s">
        <v>120</v>
      </c>
      <c r="G171" s="201">
        <v>1.6407799999999999</v>
      </c>
      <c r="H171" s="201">
        <v>1.63601</v>
      </c>
      <c r="I171" s="202">
        <f t="shared" si="39"/>
        <v>4.769999999999941E-3</v>
      </c>
      <c r="J171" s="201">
        <v>1.69163</v>
      </c>
      <c r="K171" s="199">
        <v>43700.538194444445</v>
      </c>
      <c r="L171" s="201">
        <v>1.63601</v>
      </c>
      <c r="M171" s="203">
        <f t="shared" si="40"/>
        <v>-4.7999999999999996E-3</v>
      </c>
      <c r="N171" s="204">
        <f t="shared" si="41"/>
        <v>-1.01</v>
      </c>
      <c r="O171" s="205">
        <f t="shared" si="42"/>
        <v>0</v>
      </c>
      <c r="P171" s="206">
        <f t="shared" si="43"/>
        <v>0</v>
      </c>
      <c r="Q171" s="206">
        <f t="shared" si="44"/>
        <v>-1.01</v>
      </c>
      <c r="R17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7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276350</v>
      </c>
      <c r="T17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278540</v>
      </c>
      <c r="U171" s="208">
        <f ca="1">IF(Tabla33610673[[#This Row],[Equity]]&lt;Tabla33610673[[#This Row],[Equity Peak]],(Tabla33610673[[#This Row],[Equity Peak]]-Tabla33610673[[#This Row],[Equity]])/Tabla33610673[[#This Row],[Equity Peak]],"")</f>
        <v>7.8624255044158833E-3</v>
      </c>
      <c r="V171" s="209">
        <f t="shared" si="45"/>
        <v>-1.01</v>
      </c>
      <c r="W171" s="209">
        <f t="shared" si="46"/>
        <v>0</v>
      </c>
      <c r="X171" s="209">
        <f t="shared" si="47"/>
        <v>0</v>
      </c>
      <c r="Y171" s="209">
        <f t="shared" si="48"/>
        <v>0</v>
      </c>
      <c r="Z171" s="209">
        <f t="shared" si="49"/>
        <v>0</v>
      </c>
      <c r="AA171" s="205">
        <f t="shared" si="50"/>
        <v>0</v>
      </c>
      <c r="AB171" s="209">
        <f t="shared" si="51"/>
        <v>0</v>
      </c>
      <c r="AC171" s="205">
        <f t="shared" si="52"/>
        <v>0</v>
      </c>
      <c r="AD171" s="210">
        <f t="shared" si="53"/>
        <v>0.52083333333575865</v>
      </c>
      <c r="AE171" s="210">
        <f t="shared" si="54"/>
        <v>0</v>
      </c>
      <c r="AF171" s="210">
        <f t="shared" si="55"/>
        <v>0.52083333333575865</v>
      </c>
      <c r="AG171" s="210">
        <f t="shared" si="56"/>
        <v>0</v>
      </c>
    </row>
    <row r="172" spans="2:33" ht="15" customHeight="1" x14ac:dyDescent="0.3">
      <c r="B172" s="196" t="s">
        <v>5</v>
      </c>
      <c r="C172" s="197" t="s">
        <v>15</v>
      </c>
      <c r="D172" s="198" t="str">
        <f t="shared" si="38"/>
        <v>C</v>
      </c>
      <c r="E172" s="199">
        <v>43699.333333333336</v>
      </c>
      <c r="F172" s="200" t="s">
        <v>93</v>
      </c>
      <c r="G172" s="201">
        <v>2927.53</v>
      </c>
      <c r="H172" s="201">
        <v>2910.39</v>
      </c>
      <c r="I172" s="202">
        <f t="shared" si="39"/>
        <v>17.140000000000327</v>
      </c>
      <c r="J172" s="201">
        <v>2973.23</v>
      </c>
      <c r="K172" s="199">
        <v>43699.771527777775</v>
      </c>
      <c r="L172" s="201">
        <v>2910.39</v>
      </c>
      <c r="M172" s="203">
        <f t="shared" si="40"/>
        <v>-17.14</v>
      </c>
      <c r="N172" s="204">
        <f t="shared" si="41"/>
        <v>-1</v>
      </c>
      <c r="O172" s="205">
        <f t="shared" si="42"/>
        <v>0</v>
      </c>
      <c r="P172" s="206">
        <f t="shared" si="43"/>
        <v>0</v>
      </c>
      <c r="Q172" s="206">
        <f t="shared" si="44"/>
        <v>-1</v>
      </c>
      <c r="R17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7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277360</v>
      </c>
      <c r="T17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278540</v>
      </c>
      <c r="U172" s="208">
        <f ca="1">IF(Tabla33610673[[#This Row],[Equity]]&lt;Tabla33610673[[#This Row],[Equity Peak]],(Tabla33610673[[#This Row],[Equity Peak]]-Tabla33610673[[#This Row],[Equity]])/Tabla33610673[[#This Row],[Equity Peak]],"")</f>
        <v>4.2363753859409777E-3</v>
      </c>
      <c r="V172" s="209">
        <f t="shared" si="45"/>
        <v>0</v>
      </c>
      <c r="W172" s="209">
        <f t="shared" si="46"/>
        <v>0</v>
      </c>
      <c r="X172" s="209">
        <f t="shared" si="47"/>
        <v>0</v>
      </c>
      <c r="Y172" s="209">
        <f t="shared" si="48"/>
        <v>0</v>
      </c>
      <c r="Z172" s="209">
        <f t="shared" si="49"/>
        <v>-1</v>
      </c>
      <c r="AA172" s="205">
        <f t="shared" si="50"/>
        <v>0</v>
      </c>
      <c r="AB172" s="209">
        <f t="shared" si="51"/>
        <v>0</v>
      </c>
      <c r="AC172" s="205">
        <f t="shared" si="52"/>
        <v>0</v>
      </c>
      <c r="AD172" s="210">
        <f t="shared" si="53"/>
        <v>0.43819444443943212</v>
      </c>
      <c r="AE172" s="210">
        <f t="shared" si="54"/>
        <v>0</v>
      </c>
      <c r="AF172" s="210">
        <f t="shared" si="55"/>
        <v>0.43819444443943212</v>
      </c>
      <c r="AG172" s="210">
        <f t="shared" si="56"/>
        <v>0</v>
      </c>
    </row>
    <row r="173" spans="2:33" ht="15" customHeight="1" x14ac:dyDescent="0.3">
      <c r="B173" s="196" t="s">
        <v>7</v>
      </c>
      <c r="C173" s="197" t="s">
        <v>13</v>
      </c>
      <c r="D173" s="198" t="str">
        <f t="shared" si="38"/>
        <v>C</v>
      </c>
      <c r="E173" s="199">
        <v>43692.017361111109</v>
      </c>
      <c r="F173" s="200" t="s">
        <v>117</v>
      </c>
      <c r="G173" s="201">
        <v>1.1134299999999999</v>
      </c>
      <c r="H173" s="201">
        <v>1.11921</v>
      </c>
      <c r="I173" s="202">
        <f t="shared" si="39"/>
        <v>5.7800000000001184E-3</v>
      </c>
      <c r="J173" s="201">
        <v>1.0764400000000001</v>
      </c>
      <c r="K173" s="199">
        <v>43699.440972222219</v>
      </c>
      <c r="L173" s="201">
        <v>1.111</v>
      </c>
      <c r="M173" s="203">
        <f t="shared" si="40"/>
        <v>2.3999999999999998E-3</v>
      </c>
      <c r="N173" s="204">
        <f t="shared" si="41"/>
        <v>0.42</v>
      </c>
      <c r="O173" s="205">
        <f t="shared" si="42"/>
        <v>0</v>
      </c>
      <c r="P173" s="206">
        <f t="shared" si="43"/>
        <v>0.42</v>
      </c>
      <c r="Q173" s="206">
        <f t="shared" si="44"/>
        <v>0</v>
      </c>
      <c r="R17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7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278360</v>
      </c>
      <c r="T17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278540</v>
      </c>
      <c r="U173" s="208">
        <f ca="1">IF(Tabla33610673[[#This Row],[Equity]]&lt;Tabla33610673[[#This Row],[Equity Peak]],(Tabla33610673[[#This Row],[Equity Peak]]-Tabla33610673[[#This Row],[Equity]])/Tabla33610673[[#This Row],[Equity Peak]],"")</f>
        <v>6.4622675378760684E-4</v>
      </c>
      <c r="V173" s="209">
        <f t="shared" si="45"/>
        <v>0.42</v>
      </c>
      <c r="W173" s="209">
        <f t="shared" si="46"/>
        <v>0</v>
      </c>
      <c r="X173" s="209">
        <f t="shared" si="47"/>
        <v>0</v>
      </c>
      <c r="Y173" s="209">
        <f t="shared" si="48"/>
        <v>0</v>
      </c>
      <c r="Z173" s="209">
        <f t="shared" si="49"/>
        <v>0</v>
      </c>
      <c r="AA173" s="205">
        <f t="shared" si="50"/>
        <v>0</v>
      </c>
      <c r="AB173" s="209">
        <f t="shared" si="51"/>
        <v>0</v>
      </c>
      <c r="AC173" s="205">
        <f t="shared" si="52"/>
        <v>0</v>
      </c>
      <c r="AD173" s="210">
        <f t="shared" si="53"/>
        <v>7.4236111111094942</v>
      </c>
      <c r="AE173" s="210">
        <f t="shared" si="54"/>
        <v>7.4236111111094942</v>
      </c>
      <c r="AF173" s="210">
        <f t="shared" si="55"/>
        <v>0</v>
      </c>
      <c r="AG173" s="210">
        <f t="shared" si="56"/>
        <v>0</v>
      </c>
    </row>
    <row r="174" spans="2:33" ht="15" customHeight="1" x14ac:dyDescent="0.3">
      <c r="B174" s="196" t="s">
        <v>19</v>
      </c>
      <c r="C174" s="197" t="s">
        <v>15</v>
      </c>
      <c r="D174" s="198" t="str">
        <f t="shared" si="38"/>
        <v>C</v>
      </c>
      <c r="E174" s="199">
        <v>43696.291666666664</v>
      </c>
      <c r="F174" s="200" t="s">
        <v>108</v>
      </c>
      <c r="G174" s="201">
        <v>55.283000000000001</v>
      </c>
      <c r="H174" s="201">
        <v>53.838999999999999</v>
      </c>
      <c r="I174" s="202">
        <f t="shared" si="39"/>
        <v>1.4440000000000026</v>
      </c>
      <c r="J174" s="201">
        <v>72.614999999999995</v>
      </c>
      <c r="K174" s="199">
        <v>43697.732638888891</v>
      </c>
      <c r="L174" s="201">
        <v>55.228999999999999</v>
      </c>
      <c r="M174" s="203">
        <f t="shared" si="40"/>
        <v>-5.3999999999999999E-2</v>
      </c>
      <c r="N174" s="204">
        <f t="shared" si="41"/>
        <v>-0.04</v>
      </c>
      <c r="O174" s="205">
        <f t="shared" si="42"/>
        <v>0</v>
      </c>
      <c r="P174" s="206">
        <f t="shared" si="43"/>
        <v>0</v>
      </c>
      <c r="Q174" s="206">
        <f t="shared" si="44"/>
        <v>-0.04</v>
      </c>
      <c r="R17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7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277940</v>
      </c>
      <c r="T17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278540</v>
      </c>
      <c r="U174" s="208">
        <f ca="1">IF(Tabla33610673[[#This Row],[Equity]]&lt;Tabla33610673[[#This Row],[Equity Peak]],(Tabla33610673[[#This Row],[Equity Peak]]-Tabla33610673[[#This Row],[Equity]])/Tabla33610673[[#This Row],[Equity Peak]],"")</f>
        <v>2.1540891792920227E-3</v>
      </c>
      <c r="V174" s="209">
        <f t="shared" si="45"/>
        <v>0</v>
      </c>
      <c r="W174" s="209">
        <f t="shared" si="46"/>
        <v>0</v>
      </c>
      <c r="X174" s="209">
        <f t="shared" si="47"/>
        <v>-0.04</v>
      </c>
      <c r="Y174" s="209">
        <f t="shared" si="48"/>
        <v>0</v>
      </c>
      <c r="Z174" s="209">
        <f t="shared" si="49"/>
        <v>0</v>
      </c>
      <c r="AA174" s="205">
        <f t="shared" si="50"/>
        <v>0</v>
      </c>
      <c r="AB174" s="209">
        <f t="shared" si="51"/>
        <v>0</v>
      </c>
      <c r="AC174" s="205">
        <f t="shared" si="52"/>
        <v>0</v>
      </c>
      <c r="AD174" s="210">
        <f t="shared" si="53"/>
        <v>1.4409722222262644</v>
      </c>
      <c r="AE174" s="210">
        <f t="shared" si="54"/>
        <v>0</v>
      </c>
      <c r="AF174" s="210">
        <f t="shared" si="55"/>
        <v>1.4409722222262644</v>
      </c>
      <c r="AG174" s="210">
        <f t="shared" si="56"/>
        <v>0</v>
      </c>
    </row>
    <row r="175" spans="2:33" ht="15" customHeight="1" x14ac:dyDescent="0.3">
      <c r="B175" s="196" t="s">
        <v>19</v>
      </c>
      <c r="C175" s="197" t="s">
        <v>13</v>
      </c>
      <c r="D175" s="198" t="str">
        <f t="shared" si="38"/>
        <v>C</v>
      </c>
      <c r="E175" s="199">
        <v>43693.017361111109</v>
      </c>
      <c r="F175" s="200" t="s">
        <v>108</v>
      </c>
      <c r="G175" s="201">
        <v>54.652000000000001</v>
      </c>
      <c r="H175" s="201">
        <v>56.097999999999999</v>
      </c>
      <c r="I175" s="202">
        <f t="shared" si="39"/>
        <v>1.445999999999998</v>
      </c>
      <c r="J175" s="201">
        <v>37.298999999999999</v>
      </c>
      <c r="K175" s="199">
        <v>43693.469444444447</v>
      </c>
      <c r="L175" s="201">
        <v>55.462000000000003</v>
      </c>
      <c r="M175" s="203">
        <f t="shared" si="40"/>
        <v>-0.81</v>
      </c>
      <c r="N175" s="204">
        <f t="shared" si="41"/>
        <v>-0.56000000000000005</v>
      </c>
      <c r="O175" s="205">
        <f t="shared" si="42"/>
        <v>0</v>
      </c>
      <c r="P175" s="206">
        <f t="shared" si="43"/>
        <v>0</v>
      </c>
      <c r="Q175" s="206">
        <f t="shared" si="44"/>
        <v>-0.56000000000000005</v>
      </c>
      <c r="R17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7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277980</v>
      </c>
      <c r="T17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278540</v>
      </c>
      <c r="U175" s="208">
        <f ca="1">IF(Tabla33610673[[#This Row],[Equity]]&lt;Tabla33610673[[#This Row],[Equity Peak]],(Tabla33610673[[#This Row],[Equity Peak]]-Tabla33610673[[#This Row],[Equity]])/Tabla33610673[[#This Row],[Equity Peak]],"")</f>
        <v>2.010483234005888E-3</v>
      </c>
      <c r="V175" s="209">
        <f t="shared" si="45"/>
        <v>0</v>
      </c>
      <c r="W175" s="209">
        <f t="shared" si="46"/>
        <v>0</v>
      </c>
      <c r="X175" s="209">
        <f t="shared" si="47"/>
        <v>-0.56000000000000005</v>
      </c>
      <c r="Y175" s="209">
        <f t="shared" si="48"/>
        <v>0</v>
      </c>
      <c r="Z175" s="209">
        <f t="shared" si="49"/>
        <v>0</v>
      </c>
      <c r="AA175" s="205">
        <f t="shared" si="50"/>
        <v>0</v>
      </c>
      <c r="AB175" s="209">
        <f t="shared" si="51"/>
        <v>0</v>
      </c>
      <c r="AC175" s="205">
        <f t="shared" si="52"/>
        <v>0</v>
      </c>
      <c r="AD175" s="210">
        <f t="shared" si="53"/>
        <v>0.45208333333721384</v>
      </c>
      <c r="AE175" s="210">
        <f t="shared" si="54"/>
        <v>0</v>
      </c>
      <c r="AF175" s="210">
        <f t="shared" si="55"/>
        <v>0.45208333333721384</v>
      </c>
      <c r="AG175" s="210">
        <f t="shared" si="56"/>
        <v>0</v>
      </c>
    </row>
    <row r="176" spans="2:33" ht="15" customHeight="1" x14ac:dyDescent="0.3">
      <c r="B176" s="196" t="s">
        <v>5</v>
      </c>
      <c r="C176" s="197" t="s">
        <v>13</v>
      </c>
      <c r="D176" s="198" t="str">
        <f t="shared" si="38"/>
        <v>C</v>
      </c>
      <c r="E176" s="199">
        <v>43676.833333333336</v>
      </c>
      <c r="F176" s="200" t="s">
        <v>91</v>
      </c>
      <c r="G176" s="201">
        <v>12104.61</v>
      </c>
      <c r="H176" s="201">
        <v>12306.42</v>
      </c>
      <c r="I176" s="202">
        <f t="shared" si="39"/>
        <v>201.80999999999949</v>
      </c>
      <c r="J176" s="201">
        <v>11297.37</v>
      </c>
      <c r="K176" s="199">
        <v>43692.606944444444</v>
      </c>
      <c r="L176" s="201">
        <v>11297.37</v>
      </c>
      <c r="M176" s="203">
        <f t="shared" si="40"/>
        <v>807.24</v>
      </c>
      <c r="N176" s="204">
        <f t="shared" si="41"/>
        <v>4</v>
      </c>
      <c r="O176" s="205">
        <f t="shared" si="42"/>
        <v>0</v>
      </c>
      <c r="P176" s="206">
        <f t="shared" si="43"/>
        <v>4</v>
      </c>
      <c r="Q176" s="206">
        <f t="shared" si="44"/>
        <v>0</v>
      </c>
      <c r="R17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7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278540</v>
      </c>
      <c r="T17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278540</v>
      </c>
      <c r="U176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176" s="209">
        <f t="shared" si="45"/>
        <v>0</v>
      </c>
      <c r="W176" s="209">
        <f t="shared" si="46"/>
        <v>0</v>
      </c>
      <c r="X176" s="209">
        <f t="shared" si="47"/>
        <v>0</v>
      </c>
      <c r="Y176" s="209">
        <f t="shared" si="48"/>
        <v>0</v>
      </c>
      <c r="Z176" s="209">
        <f t="shared" si="49"/>
        <v>4</v>
      </c>
      <c r="AA176" s="205">
        <f t="shared" si="50"/>
        <v>0</v>
      </c>
      <c r="AB176" s="209">
        <f t="shared" si="51"/>
        <v>0</v>
      </c>
      <c r="AC176" s="205">
        <f t="shared" si="52"/>
        <v>0</v>
      </c>
      <c r="AD176" s="210">
        <f t="shared" si="53"/>
        <v>15.773611111108039</v>
      </c>
      <c r="AE176" s="210">
        <f t="shared" si="54"/>
        <v>15.773611111108039</v>
      </c>
      <c r="AF176" s="210">
        <f t="shared" si="55"/>
        <v>0</v>
      </c>
      <c r="AG176" s="210">
        <f t="shared" si="56"/>
        <v>0</v>
      </c>
    </row>
    <row r="177" spans="2:33" ht="15" customHeight="1" x14ac:dyDescent="0.3">
      <c r="B177" s="196" t="s">
        <v>19</v>
      </c>
      <c r="C177" s="197" t="s">
        <v>15</v>
      </c>
      <c r="D177" s="198" t="str">
        <f t="shared" si="38"/>
        <v>C</v>
      </c>
      <c r="E177" s="199">
        <v>43690.958333333336</v>
      </c>
      <c r="F177" s="200" t="s">
        <v>108</v>
      </c>
      <c r="G177" s="201">
        <v>57.091999999999999</v>
      </c>
      <c r="H177" s="201">
        <v>55.664999999999999</v>
      </c>
      <c r="I177" s="202">
        <f t="shared" si="39"/>
        <v>1.4269999999999996</v>
      </c>
      <c r="J177" s="201">
        <v>74.215999999999994</v>
      </c>
      <c r="K177" s="199">
        <v>43691.507638888892</v>
      </c>
      <c r="L177" s="201">
        <v>56.204999999999998</v>
      </c>
      <c r="M177" s="203">
        <f t="shared" si="40"/>
        <v>-0.88700000000000001</v>
      </c>
      <c r="N177" s="204">
        <f t="shared" si="41"/>
        <v>-0.62</v>
      </c>
      <c r="O177" s="205">
        <f t="shared" si="42"/>
        <v>0</v>
      </c>
      <c r="P177" s="206">
        <f t="shared" si="43"/>
        <v>0</v>
      </c>
      <c r="Q177" s="206">
        <f t="shared" si="44"/>
        <v>-0.62</v>
      </c>
      <c r="R17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7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274540</v>
      </c>
      <c r="T17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275160</v>
      </c>
      <c r="U177" s="208">
        <f ca="1">IF(Tabla33610673[[#This Row],[Equity]]&lt;Tabla33610673[[#This Row],[Equity Peak]],(Tabla33610673[[#This Row],[Equity Peak]]-Tabla33610673[[#This Row],[Equity]])/Tabla33610673[[#This Row],[Equity Peak]],"")</f>
        <v>2.2532344817560693E-3</v>
      </c>
      <c r="V177" s="209">
        <f t="shared" si="45"/>
        <v>0</v>
      </c>
      <c r="W177" s="209">
        <f t="shared" si="46"/>
        <v>0</v>
      </c>
      <c r="X177" s="209">
        <f t="shared" si="47"/>
        <v>-0.62</v>
      </c>
      <c r="Y177" s="209">
        <f t="shared" si="48"/>
        <v>0</v>
      </c>
      <c r="Z177" s="209">
        <f t="shared" si="49"/>
        <v>0</v>
      </c>
      <c r="AA177" s="205">
        <f t="shared" si="50"/>
        <v>0</v>
      </c>
      <c r="AB177" s="209">
        <f t="shared" si="51"/>
        <v>0</v>
      </c>
      <c r="AC177" s="205">
        <f t="shared" si="52"/>
        <v>0</v>
      </c>
      <c r="AD177" s="210">
        <f t="shared" si="53"/>
        <v>0.54930555555620231</v>
      </c>
      <c r="AE177" s="210">
        <f t="shared" si="54"/>
        <v>0</v>
      </c>
      <c r="AF177" s="210">
        <f t="shared" si="55"/>
        <v>0.54930555555620231</v>
      </c>
      <c r="AG177" s="210">
        <f t="shared" si="56"/>
        <v>0</v>
      </c>
    </row>
    <row r="178" spans="2:33" ht="15" customHeight="1" x14ac:dyDescent="0.3">
      <c r="B178" s="196" t="s">
        <v>19</v>
      </c>
      <c r="C178" s="197" t="s">
        <v>15</v>
      </c>
      <c r="D178" s="198" t="str">
        <f t="shared" si="38"/>
        <v>C</v>
      </c>
      <c r="E178" s="199">
        <v>43679.041666666664</v>
      </c>
      <c r="F178" s="200" t="s">
        <v>88</v>
      </c>
      <c r="G178" s="201">
        <v>1444.81</v>
      </c>
      <c r="H178" s="201">
        <v>1422.02</v>
      </c>
      <c r="I178" s="202">
        <f t="shared" si="39"/>
        <v>22.789999999999964</v>
      </c>
      <c r="J178" s="201">
        <v>1590.7</v>
      </c>
      <c r="K178" s="199">
        <v>43690.59652777778</v>
      </c>
      <c r="L178" s="201">
        <v>1515.19</v>
      </c>
      <c r="M178" s="203">
        <f t="shared" si="40"/>
        <v>70.38</v>
      </c>
      <c r="N178" s="204">
        <f t="shared" si="41"/>
        <v>3.09</v>
      </c>
      <c r="O178" s="205">
        <f t="shared" si="42"/>
        <v>0</v>
      </c>
      <c r="P178" s="206">
        <f t="shared" si="43"/>
        <v>3.09</v>
      </c>
      <c r="Q178" s="206">
        <f t="shared" si="44"/>
        <v>0</v>
      </c>
      <c r="R17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7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275160</v>
      </c>
      <c r="T17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275160</v>
      </c>
      <c r="U178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178" s="209">
        <f t="shared" si="45"/>
        <v>0</v>
      </c>
      <c r="W178" s="209">
        <f t="shared" si="46"/>
        <v>0</v>
      </c>
      <c r="X178" s="209">
        <f t="shared" si="47"/>
        <v>3.09</v>
      </c>
      <c r="Y178" s="209">
        <f t="shared" si="48"/>
        <v>0</v>
      </c>
      <c r="Z178" s="209">
        <f t="shared" si="49"/>
        <v>0</v>
      </c>
      <c r="AA178" s="205">
        <f t="shared" si="50"/>
        <v>0</v>
      </c>
      <c r="AB178" s="209">
        <f t="shared" si="51"/>
        <v>0</v>
      </c>
      <c r="AC178" s="205">
        <f t="shared" si="52"/>
        <v>0</v>
      </c>
      <c r="AD178" s="210">
        <f t="shared" si="53"/>
        <v>11.554861111115315</v>
      </c>
      <c r="AE178" s="210">
        <f t="shared" si="54"/>
        <v>11.554861111115315</v>
      </c>
      <c r="AF178" s="210">
        <f t="shared" si="55"/>
        <v>0</v>
      </c>
      <c r="AG178" s="210">
        <f t="shared" si="56"/>
        <v>0</v>
      </c>
    </row>
    <row r="179" spans="2:33" ht="15" customHeight="1" x14ac:dyDescent="0.3">
      <c r="B179" s="196" t="s">
        <v>19</v>
      </c>
      <c r="C179" s="197" t="s">
        <v>15</v>
      </c>
      <c r="D179" s="198" t="str">
        <f t="shared" si="38"/>
        <v>C</v>
      </c>
      <c r="E179" s="199">
        <v>43684.375</v>
      </c>
      <c r="F179" s="200" t="s">
        <v>89</v>
      </c>
      <c r="G179" s="201">
        <v>16.713999999999999</v>
      </c>
      <c r="H179" s="201">
        <v>16.413</v>
      </c>
      <c r="I179" s="202">
        <f t="shared" si="39"/>
        <v>0.30099999999999838</v>
      </c>
      <c r="J179" s="201">
        <v>18.161000000000001</v>
      </c>
      <c r="K179" s="199">
        <v>43690.59375</v>
      </c>
      <c r="L179" s="201">
        <v>17.23</v>
      </c>
      <c r="M179" s="203">
        <f t="shared" si="40"/>
        <v>0.51600000000000001</v>
      </c>
      <c r="N179" s="204">
        <f t="shared" si="41"/>
        <v>1.71</v>
      </c>
      <c r="O179" s="205">
        <f t="shared" si="42"/>
        <v>0</v>
      </c>
      <c r="P179" s="206">
        <f t="shared" si="43"/>
        <v>1.71</v>
      </c>
      <c r="Q179" s="206">
        <f t="shared" si="44"/>
        <v>0</v>
      </c>
      <c r="R17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7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272070</v>
      </c>
      <c r="T17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272070</v>
      </c>
      <c r="U179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179" s="209">
        <f t="shared" si="45"/>
        <v>0</v>
      </c>
      <c r="W179" s="209">
        <f t="shared" si="46"/>
        <v>0</v>
      </c>
      <c r="X179" s="209">
        <f t="shared" si="47"/>
        <v>1.71</v>
      </c>
      <c r="Y179" s="209">
        <f t="shared" si="48"/>
        <v>0</v>
      </c>
      <c r="Z179" s="209">
        <f t="shared" si="49"/>
        <v>0</v>
      </c>
      <c r="AA179" s="205">
        <f t="shared" si="50"/>
        <v>0</v>
      </c>
      <c r="AB179" s="209">
        <f t="shared" si="51"/>
        <v>0</v>
      </c>
      <c r="AC179" s="205">
        <f t="shared" si="52"/>
        <v>0</v>
      </c>
      <c r="AD179" s="210">
        <f t="shared" si="53"/>
        <v>6.21875</v>
      </c>
      <c r="AE179" s="210">
        <f t="shared" si="54"/>
        <v>6.21875</v>
      </c>
      <c r="AF179" s="210">
        <f t="shared" si="55"/>
        <v>0</v>
      </c>
      <c r="AG179" s="210">
        <f t="shared" si="56"/>
        <v>0</v>
      </c>
    </row>
    <row r="180" spans="2:33" ht="15" customHeight="1" x14ac:dyDescent="0.3">
      <c r="B180" s="196" t="s">
        <v>7</v>
      </c>
      <c r="C180" s="197" t="s">
        <v>13</v>
      </c>
      <c r="D180" s="198" t="str">
        <f t="shared" si="38"/>
        <v>C</v>
      </c>
      <c r="E180" s="199">
        <v>43686.833333333336</v>
      </c>
      <c r="F180" s="200" t="s">
        <v>116</v>
      </c>
      <c r="G180" s="201">
        <v>1.77695</v>
      </c>
      <c r="H180" s="201">
        <v>1.79433</v>
      </c>
      <c r="I180" s="202">
        <f t="shared" si="39"/>
        <v>1.7379999999999951E-2</v>
      </c>
      <c r="J180" s="201">
        <v>1.7190300000000001</v>
      </c>
      <c r="K180" s="199">
        <v>43689.415972222225</v>
      </c>
      <c r="L180" s="201">
        <v>1.78091</v>
      </c>
      <c r="M180" s="203">
        <f t="shared" si="40"/>
        <v>-4.0000000000000001E-3</v>
      </c>
      <c r="N180" s="204">
        <f t="shared" si="41"/>
        <v>-0.23</v>
      </c>
      <c r="O180" s="205">
        <f t="shared" si="42"/>
        <v>0</v>
      </c>
      <c r="P180" s="206">
        <f t="shared" si="43"/>
        <v>0</v>
      </c>
      <c r="Q180" s="206">
        <f t="shared" si="44"/>
        <v>-0.23</v>
      </c>
      <c r="R18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8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270360</v>
      </c>
      <c r="T18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270590</v>
      </c>
      <c r="U180" s="208">
        <f ca="1">IF(Tabla33610673[[#This Row],[Equity]]&lt;Tabla33610673[[#This Row],[Equity Peak]],(Tabla33610673[[#This Row],[Equity Peak]]-Tabla33610673[[#This Row],[Equity]])/Tabla33610673[[#This Row],[Equity Peak]],"")</f>
        <v>8.4999445655789204E-4</v>
      </c>
      <c r="V180" s="209">
        <f t="shared" si="45"/>
        <v>-0.23</v>
      </c>
      <c r="W180" s="209">
        <f t="shared" si="46"/>
        <v>0</v>
      </c>
      <c r="X180" s="209">
        <f t="shared" si="47"/>
        <v>0</v>
      </c>
      <c r="Y180" s="209">
        <f t="shared" si="48"/>
        <v>0</v>
      </c>
      <c r="Z180" s="209">
        <f t="shared" si="49"/>
        <v>0</v>
      </c>
      <c r="AA180" s="205">
        <f t="shared" si="50"/>
        <v>0</v>
      </c>
      <c r="AB180" s="209">
        <f t="shared" si="51"/>
        <v>0</v>
      </c>
      <c r="AC180" s="205">
        <f t="shared" si="52"/>
        <v>0</v>
      </c>
      <c r="AD180" s="210">
        <f t="shared" si="53"/>
        <v>2.5826388888890506</v>
      </c>
      <c r="AE180" s="210">
        <f t="shared" si="54"/>
        <v>0</v>
      </c>
      <c r="AF180" s="210">
        <f t="shared" si="55"/>
        <v>2.5826388888890506</v>
      </c>
      <c r="AG180" s="210">
        <f t="shared" si="56"/>
        <v>0</v>
      </c>
    </row>
    <row r="181" spans="2:33" ht="15" customHeight="1" x14ac:dyDescent="0.3">
      <c r="B181" s="196" t="s">
        <v>7</v>
      </c>
      <c r="C181" s="197" t="s">
        <v>13</v>
      </c>
      <c r="D181" s="198" t="str">
        <f t="shared" si="38"/>
        <v>C</v>
      </c>
      <c r="E181" s="199">
        <v>43675.666666666664</v>
      </c>
      <c r="F181" s="200" t="s">
        <v>115</v>
      </c>
      <c r="G181" s="201">
        <v>133.05000000000001</v>
      </c>
      <c r="H181" s="201">
        <v>134.01900000000001</v>
      </c>
      <c r="I181" s="202">
        <f t="shared" si="39"/>
        <v>0.96899999999999409</v>
      </c>
      <c r="J181" s="201">
        <v>127.626</v>
      </c>
      <c r="K181" s="199">
        <v>43686.604861111111</v>
      </c>
      <c r="L181" s="201">
        <v>127.626</v>
      </c>
      <c r="M181" s="203">
        <f t="shared" si="40"/>
        <v>5.4240000000000004</v>
      </c>
      <c r="N181" s="204">
        <f t="shared" si="41"/>
        <v>5.6</v>
      </c>
      <c r="O181" s="205">
        <f t="shared" si="42"/>
        <v>0</v>
      </c>
      <c r="P181" s="206">
        <f t="shared" si="43"/>
        <v>5.6</v>
      </c>
      <c r="Q181" s="206">
        <f t="shared" si="44"/>
        <v>0</v>
      </c>
      <c r="R18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8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270590</v>
      </c>
      <c r="T18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270590</v>
      </c>
      <c r="U181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181" s="209">
        <f t="shared" si="45"/>
        <v>5.6</v>
      </c>
      <c r="W181" s="209">
        <f t="shared" si="46"/>
        <v>0</v>
      </c>
      <c r="X181" s="209">
        <f t="shared" si="47"/>
        <v>0</v>
      </c>
      <c r="Y181" s="209">
        <f t="shared" si="48"/>
        <v>0</v>
      </c>
      <c r="Z181" s="209">
        <f t="shared" si="49"/>
        <v>0</v>
      </c>
      <c r="AA181" s="205">
        <f t="shared" si="50"/>
        <v>0</v>
      </c>
      <c r="AB181" s="209">
        <f t="shared" si="51"/>
        <v>0</v>
      </c>
      <c r="AC181" s="205">
        <f t="shared" si="52"/>
        <v>0</v>
      </c>
      <c r="AD181" s="210">
        <f t="shared" si="53"/>
        <v>10.938194444446708</v>
      </c>
      <c r="AE181" s="210">
        <f t="shared" si="54"/>
        <v>10.938194444446708</v>
      </c>
      <c r="AF181" s="210">
        <f t="shared" si="55"/>
        <v>0</v>
      </c>
      <c r="AG181" s="210">
        <f t="shared" si="56"/>
        <v>0</v>
      </c>
    </row>
    <row r="182" spans="2:33" ht="15" customHeight="1" x14ac:dyDescent="0.3">
      <c r="B182" s="196" t="s">
        <v>19</v>
      </c>
      <c r="C182" s="197" t="s">
        <v>13</v>
      </c>
      <c r="D182" s="198" t="str">
        <f t="shared" si="38"/>
        <v>C</v>
      </c>
      <c r="E182" s="199">
        <v>43684.625</v>
      </c>
      <c r="F182" s="200" t="s">
        <v>108</v>
      </c>
      <c r="G182" s="201">
        <v>53.213000000000001</v>
      </c>
      <c r="H182" s="201">
        <v>54.610999999999997</v>
      </c>
      <c r="I182" s="202">
        <f t="shared" si="39"/>
        <v>1.3979999999999961</v>
      </c>
      <c r="J182" s="201">
        <v>36.435000000000002</v>
      </c>
      <c r="K182" s="199">
        <v>43686.5625</v>
      </c>
      <c r="L182" s="201">
        <v>53.215000000000003</v>
      </c>
      <c r="M182" s="203">
        <f t="shared" si="40"/>
        <v>-2E-3</v>
      </c>
      <c r="N182" s="204">
        <f t="shared" si="41"/>
        <v>0</v>
      </c>
      <c r="O182" s="205">
        <f t="shared" si="42"/>
        <v>0</v>
      </c>
      <c r="P182" s="206">
        <f t="shared" si="43"/>
        <v>0</v>
      </c>
      <c r="Q182" s="206">
        <f t="shared" si="44"/>
        <v>0</v>
      </c>
      <c r="R18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8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264990</v>
      </c>
      <c r="T18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267080</v>
      </c>
      <c r="U182" s="208">
        <f ca="1">IF(Tabla33610673[[#This Row],[Equity]]&lt;Tabla33610673[[#This Row],[Equity Peak]],(Tabla33610673[[#This Row],[Equity Peak]]-Tabla33610673[[#This Row],[Equity]])/Tabla33610673[[#This Row],[Equity Peak]],"")</f>
        <v>7.8253706754530476E-3</v>
      </c>
      <c r="V182" s="209">
        <f t="shared" si="45"/>
        <v>0</v>
      </c>
      <c r="W182" s="209">
        <f t="shared" si="46"/>
        <v>0</v>
      </c>
      <c r="X182" s="209">
        <f t="shared" si="47"/>
        <v>0</v>
      </c>
      <c r="Y182" s="209">
        <f t="shared" si="48"/>
        <v>0</v>
      </c>
      <c r="Z182" s="209">
        <f t="shared" si="49"/>
        <v>0</v>
      </c>
      <c r="AA182" s="205">
        <f t="shared" si="50"/>
        <v>0</v>
      </c>
      <c r="AB182" s="209">
        <f t="shared" si="51"/>
        <v>0</v>
      </c>
      <c r="AC182" s="205">
        <f t="shared" si="52"/>
        <v>0</v>
      </c>
      <c r="AD182" s="210">
        <f t="shared" si="53"/>
        <v>1.9375</v>
      </c>
      <c r="AE182" s="210">
        <f t="shared" si="54"/>
        <v>0</v>
      </c>
      <c r="AF182" s="210">
        <f t="shared" si="55"/>
        <v>0</v>
      </c>
      <c r="AG182" s="210">
        <f t="shared" si="56"/>
        <v>1.9375</v>
      </c>
    </row>
    <row r="183" spans="2:33" ht="15" customHeight="1" x14ac:dyDescent="0.3">
      <c r="B183" s="196" t="s">
        <v>5</v>
      </c>
      <c r="C183" s="197" t="s">
        <v>13</v>
      </c>
      <c r="D183" s="198" t="str">
        <f t="shared" si="38"/>
        <v>C</v>
      </c>
      <c r="E183" s="199">
        <v>43683.284722222219</v>
      </c>
      <c r="F183" s="200" t="s">
        <v>90</v>
      </c>
      <c r="G183" s="201">
        <v>6495.3</v>
      </c>
      <c r="H183" s="201">
        <v>6563.6</v>
      </c>
      <c r="I183" s="202">
        <f t="shared" si="39"/>
        <v>68.300000000000182</v>
      </c>
      <c r="J183" s="201">
        <v>5584.59</v>
      </c>
      <c r="K183" s="199">
        <v>43684.53402777778</v>
      </c>
      <c r="L183" s="201">
        <v>6551.17</v>
      </c>
      <c r="M183" s="203">
        <f t="shared" si="40"/>
        <v>-55.87</v>
      </c>
      <c r="N183" s="204">
        <f t="shared" si="41"/>
        <v>-0.82</v>
      </c>
      <c r="O183" s="205">
        <f t="shared" si="42"/>
        <v>0</v>
      </c>
      <c r="P183" s="206">
        <f t="shared" si="43"/>
        <v>0</v>
      </c>
      <c r="Q183" s="206">
        <f t="shared" si="44"/>
        <v>-0.82</v>
      </c>
      <c r="R18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8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264990</v>
      </c>
      <c r="T18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267080</v>
      </c>
      <c r="U183" s="208">
        <f ca="1">IF(Tabla33610673[[#This Row],[Equity]]&lt;Tabla33610673[[#This Row],[Equity Peak]],(Tabla33610673[[#This Row],[Equity Peak]]-Tabla33610673[[#This Row],[Equity]])/Tabla33610673[[#This Row],[Equity Peak]],"")</f>
        <v>7.8253706754530476E-3</v>
      </c>
      <c r="V183" s="209">
        <f t="shared" si="45"/>
        <v>0</v>
      </c>
      <c r="W183" s="209">
        <f t="shared" si="46"/>
        <v>0</v>
      </c>
      <c r="X183" s="209">
        <f t="shared" si="47"/>
        <v>0</v>
      </c>
      <c r="Y183" s="209">
        <f t="shared" si="48"/>
        <v>0</v>
      </c>
      <c r="Z183" s="209">
        <f t="shared" si="49"/>
        <v>-0.82</v>
      </c>
      <c r="AA183" s="205">
        <f t="shared" si="50"/>
        <v>0</v>
      </c>
      <c r="AB183" s="209">
        <f t="shared" si="51"/>
        <v>0</v>
      </c>
      <c r="AC183" s="205">
        <f t="shared" si="52"/>
        <v>0</v>
      </c>
      <c r="AD183" s="210">
        <f t="shared" si="53"/>
        <v>1.2493055555605679</v>
      </c>
      <c r="AE183" s="210">
        <f t="shared" si="54"/>
        <v>0</v>
      </c>
      <c r="AF183" s="210">
        <f t="shared" si="55"/>
        <v>1.2493055555605679</v>
      </c>
      <c r="AG183" s="210">
        <f t="shared" si="56"/>
        <v>0</v>
      </c>
    </row>
    <row r="184" spans="2:33" ht="15" customHeight="1" x14ac:dyDescent="0.3">
      <c r="B184" s="196" t="s">
        <v>7</v>
      </c>
      <c r="C184" s="197" t="s">
        <v>15</v>
      </c>
      <c r="D184" s="198" t="str">
        <f t="shared" si="38"/>
        <v>C</v>
      </c>
      <c r="E184" s="199">
        <v>43684.333333333336</v>
      </c>
      <c r="F184" s="200" t="s">
        <v>120</v>
      </c>
      <c r="G184" s="201">
        <v>1.67411</v>
      </c>
      <c r="H184" s="201">
        <v>1.66187</v>
      </c>
      <c r="I184" s="202">
        <f t="shared" si="39"/>
        <v>1.2240000000000029E-2</v>
      </c>
      <c r="J184" s="201">
        <v>1.8047200000000001</v>
      </c>
      <c r="K184" s="199">
        <v>43684.506944444445</v>
      </c>
      <c r="L184" s="201">
        <v>1.66187</v>
      </c>
      <c r="M184" s="203">
        <f t="shared" si="40"/>
        <v>-1.2200000000000001E-2</v>
      </c>
      <c r="N184" s="204">
        <f t="shared" si="41"/>
        <v>-1</v>
      </c>
      <c r="O184" s="205">
        <f t="shared" si="42"/>
        <v>0</v>
      </c>
      <c r="P184" s="206">
        <f t="shared" si="43"/>
        <v>0</v>
      </c>
      <c r="Q184" s="206">
        <f t="shared" si="44"/>
        <v>-1</v>
      </c>
      <c r="R18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8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265810</v>
      </c>
      <c r="T18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267080</v>
      </c>
      <c r="U184" s="208">
        <f ca="1">IF(Tabla33610673[[#This Row],[Equity]]&lt;Tabla33610673[[#This Row],[Equity Peak]],(Tabla33610673[[#This Row],[Equity Peak]]-Tabla33610673[[#This Row],[Equity]])/Tabla33610673[[#This Row],[Equity Peak]],"")</f>
        <v>4.7551295491987423E-3</v>
      </c>
      <c r="V184" s="209">
        <f t="shared" si="45"/>
        <v>-1</v>
      </c>
      <c r="W184" s="209">
        <f t="shared" si="46"/>
        <v>0</v>
      </c>
      <c r="X184" s="209">
        <f t="shared" si="47"/>
        <v>0</v>
      </c>
      <c r="Y184" s="209">
        <f t="shared" si="48"/>
        <v>0</v>
      </c>
      <c r="Z184" s="209">
        <f t="shared" si="49"/>
        <v>0</v>
      </c>
      <c r="AA184" s="205">
        <f t="shared" si="50"/>
        <v>0</v>
      </c>
      <c r="AB184" s="209">
        <f t="shared" si="51"/>
        <v>0</v>
      </c>
      <c r="AC184" s="205">
        <f t="shared" si="52"/>
        <v>0</v>
      </c>
      <c r="AD184" s="210">
        <f t="shared" si="53"/>
        <v>0.17361111110949423</v>
      </c>
      <c r="AE184" s="210">
        <f t="shared" si="54"/>
        <v>0</v>
      </c>
      <c r="AF184" s="210">
        <f t="shared" si="55"/>
        <v>0.17361111110949423</v>
      </c>
      <c r="AG184" s="210">
        <f t="shared" si="56"/>
        <v>0</v>
      </c>
    </row>
    <row r="185" spans="2:33" ht="15" customHeight="1" x14ac:dyDescent="0.3">
      <c r="B185" s="196" t="s">
        <v>7</v>
      </c>
      <c r="C185" s="197" t="s">
        <v>15</v>
      </c>
      <c r="D185" s="198" t="str">
        <f t="shared" si="38"/>
        <v>C</v>
      </c>
      <c r="E185" s="199">
        <v>43682.5</v>
      </c>
      <c r="F185" s="200" t="s">
        <v>120</v>
      </c>
      <c r="G185" s="201">
        <v>1.65</v>
      </c>
      <c r="H185" s="201">
        <v>1.63984</v>
      </c>
      <c r="I185" s="202">
        <f t="shared" si="39"/>
        <v>1.0159999999999947E-2</v>
      </c>
      <c r="J185" s="201">
        <v>1.7584</v>
      </c>
      <c r="K185" s="199">
        <v>43683.603472222225</v>
      </c>
      <c r="L185" s="201">
        <v>1.6473100000000001</v>
      </c>
      <c r="M185" s="203">
        <f t="shared" si="40"/>
        <v>-2.7000000000000001E-3</v>
      </c>
      <c r="N185" s="204">
        <f t="shared" si="41"/>
        <v>-0.27</v>
      </c>
      <c r="O185" s="205">
        <f t="shared" si="42"/>
        <v>0</v>
      </c>
      <c r="P185" s="206">
        <f t="shared" si="43"/>
        <v>0</v>
      </c>
      <c r="Q185" s="206">
        <f t="shared" si="44"/>
        <v>-0.27</v>
      </c>
      <c r="R18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8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266810</v>
      </c>
      <c r="T18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267080</v>
      </c>
      <c r="U185" s="208">
        <f ca="1">IF(Tabla33610673[[#This Row],[Equity]]&lt;Tabla33610673[[#This Row],[Equity Peak]],(Tabla33610673[[#This Row],[Equity Peak]]-Tabla33610673[[#This Row],[Equity]])/Tabla33610673[[#This Row],[Equity Peak]],"")</f>
        <v>1.0109330537666616E-3</v>
      </c>
      <c r="V185" s="209">
        <f t="shared" si="45"/>
        <v>-0.27</v>
      </c>
      <c r="W185" s="209">
        <f t="shared" si="46"/>
        <v>0</v>
      </c>
      <c r="X185" s="209">
        <f t="shared" si="47"/>
        <v>0</v>
      </c>
      <c r="Y185" s="209">
        <f t="shared" si="48"/>
        <v>0</v>
      </c>
      <c r="Z185" s="209">
        <f t="shared" si="49"/>
        <v>0</v>
      </c>
      <c r="AA185" s="205">
        <f t="shared" si="50"/>
        <v>0</v>
      </c>
      <c r="AB185" s="209">
        <f t="shared" si="51"/>
        <v>0</v>
      </c>
      <c r="AC185" s="205">
        <f t="shared" si="52"/>
        <v>0</v>
      </c>
      <c r="AD185" s="210">
        <f t="shared" si="53"/>
        <v>1.1034722222248092</v>
      </c>
      <c r="AE185" s="210">
        <f t="shared" si="54"/>
        <v>0</v>
      </c>
      <c r="AF185" s="210">
        <f t="shared" si="55"/>
        <v>1.1034722222248092</v>
      </c>
      <c r="AG185" s="210">
        <f t="shared" si="56"/>
        <v>0</v>
      </c>
    </row>
    <row r="186" spans="2:33" ht="15" customHeight="1" x14ac:dyDescent="0.3">
      <c r="B186" s="196" t="s">
        <v>7</v>
      </c>
      <c r="C186" s="197" t="s">
        <v>13</v>
      </c>
      <c r="D186" s="198" t="str">
        <f t="shared" si="38"/>
        <v>C</v>
      </c>
      <c r="E186" s="199">
        <v>43670.666666666664</v>
      </c>
      <c r="F186" s="200" t="s">
        <v>122</v>
      </c>
      <c r="G186" s="201">
        <v>75.409000000000006</v>
      </c>
      <c r="H186" s="201">
        <v>75.67</v>
      </c>
      <c r="I186" s="202">
        <f t="shared" si="39"/>
        <v>0.26099999999999568</v>
      </c>
      <c r="J186" s="201">
        <v>70.887</v>
      </c>
      <c r="K186" s="199">
        <v>43683.277083333334</v>
      </c>
      <c r="L186" s="201">
        <v>72.712999999999994</v>
      </c>
      <c r="M186" s="203">
        <f t="shared" si="40"/>
        <v>2.6960000000000002</v>
      </c>
      <c r="N186" s="204">
        <f t="shared" si="41"/>
        <v>10.33</v>
      </c>
      <c r="O186" s="205">
        <f t="shared" si="42"/>
        <v>0</v>
      </c>
      <c r="P186" s="206">
        <f t="shared" si="43"/>
        <v>10.33</v>
      </c>
      <c r="Q186" s="206">
        <f t="shared" si="44"/>
        <v>0</v>
      </c>
      <c r="R18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8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267080</v>
      </c>
      <c r="T18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267080</v>
      </c>
      <c r="U186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186" s="209">
        <f t="shared" si="45"/>
        <v>10.33</v>
      </c>
      <c r="W186" s="209">
        <f t="shared" si="46"/>
        <v>0</v>
      </c>
      <c r="X186" s="209">
        <f t="shared" si="47"/>
        <v>0</v>
      </c>
      <c r="Y186" s="209">
        <f t="shared" si="48"/>
        <v>0</v>
      </c>
      <c r="Z186" s="209">
        <f t="shared" si="49"/>
        <v>0</v>
      </c>
      <c r="AA186" s="205">
        <f t="shared" si="50"/>
        <v>0</v>
      </c>
      <c r="AB186" s="209">
        <f t="shared" si="51"/>
        <v>0</v>
      </c>
      <c r="AC186" s="205">
        <f t="shared" si="52"/>
        <v>0</v>
      </c>
      <c r="AD186" s="210">
        <f t="shared" si="53"/>
        <v>12.610416666670062</v>
      </c>
      <c r="AE186" s="210">
        <f t="shared" si="54"/>
        <v>12.610416666670062</v>
      </c>
      <c r="AF186" s="210">
        <f t="shared" si="55"/>
        <v>0</v>
      </c>
      <c r="AG186" s="210">
        <f t="shared" si="56"/>
        <v>0</v>
      </c>
    </row>
    <row r="187" spans="2:33" ht="15" customHeight="1" x14ac:dyDescent="0.3">
      <c r="B187" s="196" t="s">
        <v>7</v>
      </c>
      <c r="C187" s="197" t="s">
        <v>13</v>
      </c>
      <c r="D187" s="198" t="str">
        <f t="shared" si="38"/>
        <v>C</v>
      </c>
      <c r="E187" s="199">
        <v>43679.166666666664</v>
      </c>
      <c r="F187" s="200" t="s">
        <v>113</v>
      </c>
      <c r="G187" s="201">
        <v>107.123</v>
      </c>
      <c r="H187" s="201">
        <v>108.39100000000001</v>
      </c>
      <c r="I187" s="202">
        <f t="shared" si="39"/>
        <v>1.2680000000000007</v>
      </c>
      <c r="J187" s="201">
        <v>101.20699999999999</v>
      </c>
      <c r="K187" s="199">
        <v>43683.247916666667</v>
      </c>
      <c r="L187" s="201">
        <v>106.688</v>
      </c>
      <c r="M187" s="203">
        <f t="shared" si="40"/>
        <v>0.435</v>
      </c>
      <c r="N187" s="204">
        <f t="shared" si="41"/>
        <v>0.34</v>
      </c>
      <c r="O187" s="205">
        <f t="shared" si="42"/>
        <v>0</v>
      </c>
      <c r="P187" s="206">
        <f t="shared" si="43"/>
        <v>0.34</v>
      </c>
      <c r="Q187" s="206">
        <f t="shared" si="44"/>
        <v>0</v>
      </c>
      <c r="R18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8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256750</v>
      </c>
      <c r="T18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256750</v>
      </c>
      <c r="U187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187" s="209">
        <f t="shared" si="45"/>
        <v>0.34</v>
      </c>
      <c r="W187" s="209">
        <f t="shared" si="46"/>
        <v>0</v>
      </c>
      <c r="X187" s="209">
        <f t="shared" si="47"/>
        <v>0</v>
      </c>
      <c r="Y187" s="209">
        <f t="shared" si="48"/>
        <v>0</v>
      </c>
      <c r="Z187" s="209">
        <f t="shared" si="49"/>
        <v>0</v>
      </c>
      <c r="AA187" s="205">
        <f t="shared" si="50"/>
        <v>0</v>
      </c>
      <c r="AB187" s="209">
        <f t="shared" si="51"/>
        <v>0</v>
      </c>
      <c r="AC187" s="205">
        <f t="shared" si="52"/>
        <v>0</v>
      </c>
      <c r="AD187" s="210">
        <f t="shared" si="53"/>
        <v>4.0812500000029104</v>
      </c>
      <c r="AE187" s="210">
        <f t="shared" si="54"/>
        <v>4.0812500000029104</v>
      </c>
      <c r="AF187" s="210">
        <f t="shared" si="55"/>
        <v>0</v>
      </c>
      <c r="AG187" s="210">
        <f t="shared" si="56"/>
        <v>0</v>
      </c>
    </row>
    <row r="188" spans="2:33" ht="15" customHeight="1" x14ac:dyDescent="0.3">
      <c r="B188" s="196" t="s">
        <v>5</v>
      </c>
      <c r="C188" s="197" t="s">
        <v>13</v>
      </c>
      <c r="D188" s="198" t="str">
        <f t="shared" si="38"/>
        <v>C</v>
      </c>
      <c r="E188" s="199">
        <v>43679.017361111109</v>
      </c>
      <c r="F188" s="200" t="s">
        <v>94</v>
      </c>
      <c r="G188" s="201">
        <v>7501.71</v>
      </c>
      <c r="H188" s="201">
        <v>7584.71</v>
      </c>
      <c r="I188" s="202">
        <f t="shared" si="39"/>
        <v>83</v>
      </c>
      <c r="J188" s="201">
        <v>7086.7</v>
      </c>
      <c r="K188" s="199">
        <v>43683.102777777778</v>
      </c>
      <c r="L188" s="201">
        <v>7086.7</v>
      </c>
      <c r="M188" s="203">
        <f t="shared" si="40"/>
        <v>415.01</v>
      </c>
      <c r="N188" s="204">
        <f t="shared" si="41"/>
        <v>5</v>
      </c>
      <c r="O188" s="205">
        <f t="shared" si="42"/>
        <v>0</v>
      </c>
      <c r="P188" s="206">
        <f t="shared" si="43"/>
        <v>5</v>
      </c>
      <c r="Q188" s="206">
        <f t="shared" si="44"/>
        <v>0</v>
      </c>
      <c r="R18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8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256410</v>
      </c>
      <c r="T18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256410</v>
      </c>
      <c r="U188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188" s="209">
        <f t="shared" si="45"/>
        <v>0</v>
      </c>
      <c r="W188" s="209">
        <f t="shared" si="46"/>
        <v>0</v>
      </c>
      <c r="X188" s="209">
        <f t="shared" si="47"/>
        <v>0</v>
      </c>
      <c r="Y188" s="209">
        <f t="shared" si="48"/>
        <v>0</v>
      </c>
      <c r="Z188" s="209">
        <f t="shared" si="49"/>
        <v>5</v>
      </c>
      <c r="AA188" s="205">
        <f t="shared" si="50"/>
        <v>0</v>
      </c>
      <c r="AB188" s="209">
        <f t="shared" si="51"/>
        <v>0</v>
      </c>
      <c r="AC188" s="205">
        <f t="shared" si="52"/>
        <v>0</v>
      </c>
      <c r="AD188" s="210">
        <f t="shared" si="53"/>
        <v>4.0854166666686069</v>
      </c>
      <c r="AE188" s="210">
        <f t="shared" si="54"/>
        <v>4.0854166666686069</v>
      </c>
      <c r="AF188" s="210">
        <f t="shared" si="55"/>
        <v>0</v>
      </c>
      <c r="AG188" s="210">
        <f t="shared" si="56"/>
        <v>0</v>
      </c>
    </row>
    <row r="189" spans="2:33" ht="15" customHeight="1" x14ac:dyDescent="0.3">
      <c r="B189" s="196" t="s">
        <v>5</v>
      </c>
      <c r="C189" s="197" t="s">
        <v>13</v>
      </c>
      <c r="D189" s="198" t="str">
        <f t="shared" si="38"/>
        <v>C</v>
      </c>
      <c r="E189" s="199">
        <v>43682.208333333336</v>
      </c>
      <c r="F189" s="200" t="s">
        <v>93</v>
      </c>
      <c r="G189" s="201">
        <v>2912.23</v>
      </c>
      <c r="H189" s="201">
        <v>2945.07</v>
      </c>
      <c r="I189" s="202">
        <f t="shared" si="39"/>
        <v>32.840000000000146</v>
      </c>
      <c r="J189" s="201">
        <v>2824.66</v>
      </c>
      <c r="K189" s="199">
        <v>43682.956250000003</v>
      </c>
      <c r="L189" s="201">
        <v>2824.66</v>
      </c>
      <c r="M189" s="203">
        <f t="shared" si="40"/>
        <v>87.57</v>
      </c>
      <c r="N189" s="204">
        <f t="shared" si="41"/>
        <v>2.67</v>
      </c>
      <c r="O189" s="205">
        <f t="shared" si="42"/>
        <v>0</v>
      </c>
      <c r="P189" s="206">
        <f t="shared" si="43"/>
        <v>2.67</v>
      </c>
      <c r="Q189" s="206">
        <f t="shared" si="44"/>
        <v>0</v>
      </c>
      <c r="R18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8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251410</v>
      </c>
      <c r="T18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251410</v>
      </c>
      <c r="U189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189" s="209">
        <f t="shared" si="45"/>
        <v>0</v>
      </c>
      <c r="W189" s="209">
        <f t="shared" si="46"/>
        <v>0</v>
      </c>
      <c r="X189" s="209">
        <f t="shared" si="47"/>
        <v>0</v>
      </c>
      <c r="Y189" s="209">
        <f t="shared" si="48"/>
        <v>0</v>
      </c>
      <c r="Z189" s="209">
        <f t="shared" si="49"/>
        <v>2.67</v>
      </c>
      <c r="AA189" s="205">
        <f t="shared" si="50"/>
        <v>0</v>
      </c>
      <c r="AB189" s="209">
        <f t="shared" si="51"/>
        <v>0</v>
      </c>
      <c r="AC189" s="205">
        <f t="shared" si="52"/>
        <v>0</v>
      </c>
      <c r="AD189" s="210">
        <f t="shared" si="53"/>
        <v>0.74791666666715173</v>
      </c>
      <c r="AE189" s="210">
        <f t="shared" si="54"/>
        <v>0.74791666666715173</v>
      </c>
      <c r="AF189" s="210">
        <f t="shared" si="55"/>
        <v>0</v>
      </c>
      <c r="AG189" s="210">
        <f t="shared" si="56"/>
        <v>0</v>
      </c>
    </row>
    <row r="190" spans="2:33" ht="15" customHeight="1" x14ac:dyDescent="0.3">
      <c r="B190" s="196" t="s">
        <v>5</v>
      </c>
      <c r="C190" s="197" t="s">
        <v>13</v>
      </c>
      <c r="D190" s="198" t="str">
        <f t="shared" si="38"/>
        <v>C</v>
      </c>
      <c r="E190" s="199">
        <v>43682.375</v>
      </c>
      <c r="F190" s="200" t="s">
        <v>95</v>
      </c>
      <c r="G190" s="201">
        <v>26233.78</v>
      </c>
      <c r="H190" s="201">
        <v>26390.77</v>
      </c>
      <c r="I190" s="202">
        <f t="shared" si="39"/>
        <v>156.9900000000016</v>
      </c>
      <c r="J190" s="201">
        <v>25605.83</v>
      </c>
      <c r="K190" s="199">
        <v>43682.95</v>
      </c>
      <c r="L190" s="201">
        <v>25605.83</v>
      </c>
      <c r="M190" s="203">
        <f t="shared" si="40"/>
        <v>627.95000000000005</v>
      </c>
      <c r="N190" s="204">
        <f t="shared" si="41"/>
        <v>4</v>
      </c>
      <c r="O190" s="205">
        <f t="shared" si="42"/>
        <v>0</v>
      </c>
      <c r="P190" s="206">
        <f t="shared" si="43"/>
        <v>4</v>
      </c>
      <c r="Q190" s="206">
        <f t="shared" si="44"/>
        <v>0</v>
      </c>
      <c r="R19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9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248740</v>
      </c>
      <c r="T19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248740</v>
      </c>
      <c r="U190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190" s="209">
        <f t="shared" si="45"/>
        <v>0</v>
      </c>
      <c r="W190" s="209">
        <f t="shared" si="46"/>
        <v>0</v>
      </c>
      <c r="X190" s="209">
        <f t="shared" si="47"/>
        <v>0</v>
      </c>
      <c r="Y190" s="209">
        <f t="shared" si="48"/>
        <v>0</v>
      </c>
      <c r="Z190" s="209">
        <f t="shared" si="49"/>
        <v>4</v>
      </c>
      <c r="AA190" s="205">
        <f t="shared" si="50"/>
        <v>0</v>
      </c>
      <c r="AB190" s="209">
        <f t="shared" si="51"/>
        <v>0</v>
      </c>
      <c r="AC190" s="205">
        <f t="shared" si="52"/>
        <v>0</v>
      </c>
      <c r="AD190" s="210">
        <f t="shared" si="53"/>
        <v>0.57499999999708962</v>
      </c>
      <c r="AE190" s="210">
        <f t="shared" si="54"/>
        <v>0.57499999999708962</v>
      </c>
      <c r="AF190" s="210">
        <f t="shared" si="55"/>
        <v>0</v>
      </c>
      <c r="AG190" s="210">
        <f t="shared" si="56"/>
        <v>0</v>
      </c>
    </row>
    <row r="191" spans="2:33" ht="15" customHeight="1" x14ac:dyDescent="0.3">
      <c r="B191" s="196" t="s">
        <v>7</v>
      </c>
      <c r="C191" s="197" t="s">
        <v>13</v>
      </c>
      <c r="D191" s="198" t="str">
        <f t="shared" si="38"/>
        <v>C</v>
      </c>
      <c r="E191" s="199">
        <v>43678.666666666664</v>
      </c>
      <c r="F191" s="200" t="s">
        <v>118</v>
      </c>
      <c r="G191" s="201">
        <v>119.831</v>
      </c>
      <c r="H191" s="201">
        <v>120.504</v>
      </c>
      <c r="I191" s="202">
        <f t="shared" si="39"/>
        <v>0.67300000000000182</v>
      </c>
      <c r="J191" s="201">
        <v>117.14</v>
      </c>
      <c r="K191" s="199">
        <v>43682.777083333334</v>
      </c>
      <c r="L191" s="201">
        <v>118.85299999999999</v>
      </c>
      <c r="M191" s="203">
        <f t="shared" si="40"/>
        <v>0.97799999999999998</v>
      </c>
      <c r="N191" s="204">
        <f t="shared" si="41"/>
        <v>1.45</v>
      </c>
      <c r="O191" s="205">
        <f t="shared" si="42"/>
        <v>0</v>
      </c>
      <c r="P191" s="206">
        <f t="shared" si="43"/>
        <v>1.45</v>
      </c>
      <c r="Q191" s="206">
        <f t="shared" si="44"/>
        <v>0</v>
      </c>
      <c r="R19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9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244740</v>
      </c>
      <c r="T19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244740</v>
      </c>
      <c r="U191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191" s="209">
        <f t="shared" si="45"/>
        <v>1.45</v>
      </c>
      <c r="W191" s="209">
        <f t="shared" si="46"/>
        <v>0</v>
      </c>
      <c r="X191" s="209">
        <f t="shared" si="47"/>
        <v>0</v>
      </c>
      <c r="Y191" s="209">
        <f t="shared" si="48"/>
        <v>0</v>
      </c>
      <c r="Z191" s="209">
        <f t="shared" si="49"/>
        <v>0</v>
      </c>
      <c r="AA191" s="205">
        <f t="shared" si="50"/>
        <v>0</v>
      </c>
      <c r="AB191" s="209">
        <f t="shared" si="51"/>
        <v>0</v>
      </c>
      <c r="AC191" s="205">
        <f t="shared" si="52"/>
        <v>0</v>
      </c>
      <c r="AD191" s="210">
        <f t="shared" si="53"/>
        <v>4.1104166666700621</v>
      </c>
      <c r="AE191" s="210">
        <f t="shared" si="54"/>
        <v>4.1104166666700621</v>
      </c>
      <c r="AF191" s="210">
        <f t="shared" si="55"/>
        <v>0</v>
      </c>
      <c r="AG191" s="210">
        <f t="shared" si="56"/>
        <v>0</v>
      </c>
    </row>
    <row r="192" spans="2:33" ht="15" customHeight="1" x14ac:dyDescent="0.3">
      <c r="B192" s="196" t="s">
        <v>19</v>
      </c>
      <c r="C192" s="197" t="s">
        <v>13</v>
      </c>
      <c r="D192" s="198" t="str">
        <f t="shared" si="38"/>
        <v>C</v>
      </c>
      <c r="E192" s="199">
        <v>43678.958333333336</v>
      </c>
      <c r="F192" s="200" t="s">
        <v>108</v>
      </c>
      <c r="G192" s="201">
        <v>54.518000000000001</v>
      </c>
      <c r="H192" s="201">
        <v>55.932000000000002</v>
      </c>
      <c r="I192" s="202">
        <f t="shared" si="39"/>
        <v>1.4140000000000015</v>
      </c>
      <c r="J192" s="201">
        <v>37.546999999999997</v>
      </c>
      <c r="K192" s="199">
        <v>43679.23541666667</v>
      </c>
      <c r="L192" s="201">
        <v>55.296999999999997</v>
      </c>
      <c r="M192" s="203">
        <f t="shared" si="40"/>
        <v>-0.77900000000000003</v>
      </c>
      <c r="N192" s="204">
        <f t="shared" si="41"/>
        <v>-0.55000000000000004</v>
      </c>
      <c r="O192" s="205">
        <f t="shared" si="42"/>
        <v>0</v>
      </c>
      <c r="P192" s="206">
        <f t="shared" si="43"/>
        <v>0</v>
      </c>
      <c r="Q192" s="206">
        <f t="shared" si="44"/>
        <v>-0.55000000000000004</v>
      </c>
      <c r="R19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9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243290</v>
      </c>
      <c r="T19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244090</v>
      </c>
      <c r="U192" s="208">
        <f ca="1">IF(Tabla33610673[[#This Row],[Equity]]&lt;Tabla33610673[[#This Row],[Equity Peak]],(Tabla33610673[[#This Row],[Equity Peak]]-Tabla33610673[[#This Row],[Equity]])/Tabla33610673[[#This Row],[Equity Peak]],"")</f>
        <v>3.2774796181736245E-3</v>
      </c>
      <c r="V192" s="209">
        <f t="shared" si="45"/>
        <v>0</v>
      </c>
      <c r="W192" s="209">
        <f t="shared" si="46"/>
        <v>0</v>
      </c>
      <c r="X192" s="209">
        <f t="shared" si="47"/>
        <v>-0.55000000000000004</v>
      </c>
      <c r="Y192" s="209">
        <f t="shared" si="48"/>
        <v>0</v>
      </c>
      <c r="Z192" s="209">
        <f t="shared" si="49"/>
        <v>0</v>
      </c>
      <c r="AA192" s="205">
        <f t="shared" si="50"/>
        <v>0</v>
      </c>
      <c r="AB192" s="209">
        <f t="shared" si="51"/>
        <v>0</v>
      </c>
      <c r="AC192" s="205">
        <f t="shared" si="52"/>
        <v>0</v>
      </c>
      <c r="AD192" s="210">
        <f t="shared" si="53"/>
        <v>0.27708333333430346</v>
      </c>
      <c r="AE192" s="210">
        <f t="shared" si="54"/>
        <v>0</v>
      </c>
      <c r="AF192" s="210">
        <f t="shared" si="55"/>
        <v>0.27708333333430346</v>
      </c>
      <c r="AG192" s="210">
        <f t="shared" si="56"/>
        <v>0</v>
      </c>
    </row>
    <row r="193" spans="2:33" ht="15" customHeight="1" x14ac:dyDescent="0.3">
      <c r="B193" s="196" t="s">
        <v>7</v>
      </c>
      <c r="C193" s="197" t="s">
        <v>13</v>
      </c>
      <c r="D193" s="198" t="str">
        <f t="shared" si="38"/>
        <v>C</v>
      </c>
      <c r="E193" s="199">
        <v>43678.017361111109</v>
      </c>
      <c r="F193" s="200" t="s">
        <v>117</v>
      </c>
      <c r="G193" s="201">
        <v>1.1075600000000001</v>
      </c>
      <c r="H193" s="201">
        <v>1.1124400000000001</v>
      </c>
      <c r="I193" s="202">
        <f t="shared" si="39"/>
        <v>4.8799999999999955E-3</v>
      </c>
      <c r="J193" s="201">
        <v>1.0763100000000001</v>
      </c>
      <c r="K193" s="199">
        <v>43678.93472222222</v>
      </c>
      <c r="L193" s="201">
        <v>1.1088</v>
      </c>
      <c r="M193" s="203">
        <f t="shared" si="40"/>
        <v>-1.1999999999999999E-3</v>
      </c>
      <c r="N193" s="204">
        <f t="shared" si="41"/>
        <v>-0.25</v>
      </c>
      <c r="O193" s="205">
        <f t="shared" si="42"/>
        <v>0</v>
      </c>
      <c r="P193" s="206">
        <f t="shared" si="43"/>
        <v>0</v>
      </c>
      <c r="Q193" s="206">
        <f t="shared" si="44"/>
        <v>-0.25</v>
      </c>
      <c r="R19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9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243840</v>
      </c>
      <c r="T19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244090</v>
      </c>
      <c r="U193" s="208">
        <f ca="1">IF(Tabla33610673[[#This Row],[Equity]]&lt;Tabla33610673[[#This Row],[Equity Peak]],(Tabla33610673[[#This Row],[Equity Peak]]-Tabla33610673[[#This Row],[Equity]])/Tabla33610673[[#This Row],[Equity Peak]],"")</f>
        <v>1.0242123806792577E-3</v>
      </c>
      <c r="V193" s="209">
        <f t="shared" si="45"/>
        <v>-0.25</v>
      </c>
      <c r="W193" s="209">
        <f t="shared" si="46"/>
        <v>0</v>
      </c>
      <c r="X193" s="209">
        <f t="shared" si="47"/>
        <v>0</v>
      </c>
      <c r="Y193" s="209">
        <f t="shared" si="48"/>
        <v>0</v>
      </c>
      <c r="Z193" s="209">
        <f t="shared" si="49"/>
        <v>0</v>
      </c>
      <c r="AA193" s="205">
        <f t="shared" si="50"/>
        <v>0</v>
      </c>
      <c r="AB193" s="209">
        <f t="shared" si="51"/>
        <v>0</v>
      </c>
      <c r="AC193" s="205">
        <f t="shared" si="52"/>
        <v>0</v>
      </c>
      <c r="AD193" s="210">
        <f t="shared" si="53"/>
        <v>0.91736111111094942</v>
      </c>
      <c r="AE193" s="210">
        <f t="shared" si="54"/>
        <v>0</v>
      </c>
      <c r="AF193" s="210">
        <f t="shared" si="55"/>
        <v>0.91736111111094942</v>
      </c>
      <c r="AG193" s="210">
        <f t="shared" si="56"/>
        <v>0</v>
      </c>
    </row>
    <row r="194" spans="2:33" ht="15" customHeight="1" x14ac:dyDescent="0.3">
      <c r="B194" s="196" t="s">
        <v>7</v>
      </c>
      <c r="C194" s="197" t="s">
        <v>13</v>
      </c>
      <c r="D194" s="198" t="str">
        <f t="shared" si="38"/>
        <v>C</v>
      </c>
      <c r="E194" s="199">
        <v>43675.333333333336</v>
      </c>
      <c r="F194" s="200" t="s">
        <v>114</v>
      </c>
      <c r="G194" s="201">
        <v>1.2365900000000001</v>
      </c>
      <c r="H194" s="201">
        <v>1.2432700000000001</v>
      </c>
      <c r="I194" s="202">
        <f t="shared" si="39"/>
        <v>6.6800000000000193E-3</v>
      </c>
      <c r="J194" s="201">
        <v>1.2098800000000001</v>
      </c>
      <c r="K194" s="199">
        <v>43678.600694444445</v>
      </c>
      <c r="L194" s="201">
        <v>1.2098800000000001</v>
      </c>
      <c r="M194" s="203">
        <f t="shared" si="40"/>
        <v>2.6700000000000002E-2</v>
      </c>
      <c r="N194" s="204">
        <f t="shared" si="41"/>
        <v>4</v>
      </c>
      <c r="O194" s="205">
        <f t="shared" si="42"/>
        <v>0</v>
      </c>
      <c r="P194" s="206">
        <f t="shared" si="43"/>
        <v>4</v>
      </c>
      <c r="Q194" s="206">
        <f t="shared" si="44"/>
        <v>0</v>
      </c>
      <c r="R19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9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244090</v>
      </c>
      <c r="T19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244090</v>
      </c>
      <c r="U194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194" s="209">
        <f t="shared" si="45"/>
        <v>4</v>
      </c>
      <c r="W194" s="209">
        <f t="shared" si="46"/>
        <v>0</v>
      </c>
      <c r="X194" s="209">
        <f t="shared" si="47"/>
        <v>0</v>
      </c>
      <c r="Y194" s="209">
        <f t="shared" si="48"/>
        <v>0</v>
      </c>
      <c r="Z194" s="209">
        <f t="shared" si="49"/>
        <v>0</v>
      </c>
      <c r="AA194" s="205">
        <f t="shared" si="50"/>
        <v>0</v>
      </c>
      <c r="AB194" s="209">
        <f t="shared" si="51"/>
        <v>0</v>
      </c>
      <c r="AC194" s="205">
        <f t="shared" si="52"/>
        <v>0</v>
      </c>
      <c r="AD194" s="210">
        <f t="shared" si="53"/>
        <v>3.2673611111094942</v>
      </c>
      <c r="AE194" s="210">
        <f t="shared" si="54"/>
        <v>3.2673611111094942</v>
      </c>
      <c r="AF194" s="210">
        <f t="shared" si="55"/>
        <v>0</v>
      </c>
      <c r="AG194" s="210">
        <f t="shared" si="56"/>
        <v>0</v>
      </c>
    </row>
    <row r="195" spans="2:33" ht="15" customHeight="1" x14ac:dyDescent="0.3">
      <c r="B195" s="196" t="s">
        <v>19</v>
      </c>
      <c r="C195" s="197" t="s">
        <v>15</v>
      </c>
      <c r="D195" s="198" t="str">
        <f t="shared" si="38"/>
        <v>C</v>
      </c>
      <c r="E195" s="199">
        <v>43676.958333333336</v>
      </c>
      <c r="F195" s="200" t="s">
        <v>108</v>
      </c>
      <c r="G195" s="201">
        <v>58.244</v>
      </c>
      <c r="H195" s="201">
        <v>56.838000000000001</v>
      </c>
      <c r="I195" s="202">
        <f t="shared" si="39"/>
        <v>1.4059999999999988</v>
      </c>
      <c r="J195" s="201">
        <v>75.117000000000004</v>
      </c>
      <c r="K195" s="199">
        <v>43678</v>
      </c>
      <c r="L195" s="201">
        <v>57.69</v>
      </c>
      <c r="M195" s="203">
        <f t="shared" si="40"/>
        <v>-0.55400000000000005</v>
      </c>
      <c r="N195" s="204">
        <f t="shared" si="41"/>
        <v>-0.39</v>
      </c>
      <c r="O195" s="205">
        <f t="shared" si="42"/>
        <v>0</v>
      </c>
      <c r="P195" s="206">
        <f t="shared" si="43"/>
        <v>0</v>
      </c>
      <c r="Q195" s="206">
        <f t="shared" si="44"/>
        <v>-0.39</v>
      </c>
      <c r="R19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9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240090</v>
      </c>
      <c r="T19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240680</v>
      </c>
      <c r="U195" s="208">
        <f ca="1">IF(Tabla33610673[[#This Row],[Equity]]&lt;Tabla33610673[[#This Row],[Equity Peak]],(Tabla33610673[[#This Row],[Equity Peak]]-Tabla33610673[[#This Row],[Equity]])/Tabla33610673[[#This Row],[Equity Peak]],"")</f>
        <v>2.4513877347515371E-3</v>
      </c>
      <c r="V195" s="209">
        <f t="shared" si="45"/>
        <v>0</v>
      </c>
      <c r="W195" s="209">
        <f t="shared" si="46"/>
        <v>0</v>
      </c>
      <c r="X195" s="209">
        <f t="shared" si="47"/>
        <v>-0.39</v>
      </c>
      <c r="Y195" s="209">
        <f t="shared" si="48"/>
        <v>0</v>
      </c>
      <c r="Z195" s="209">
        <f t="shared" si="49"/>
        <v>0</v>
      </c>
      <c r="AA195" s="205">
        <f t="shared" si="50"/>
        <v>0</v>
      </c>
      <c r="AB195" s="209">
        <f t="shared" si="51"/>
        <v>0</v>
      </c>
      <c r="AC195" s="205">
        <f t="shared" si="52"/>
        <v>0</v>
      </c>
      <c r="AD195" s="210">
        <f t="shared" si="53"/>
        <v>1.0416666666642413</v>
      </c>
      <c r="AE195" s="210">
        <f t="shared" si="54"/>
        <v>0</v>
      </c>
      <c r="AF195" s="210">
        <f t="shared" si="55"/>
        <v>1.0416666666642413</v>
      </c>
      <c r="AG195" s="210">
        <f t="shared" si="56"/>
        <v>0</v>
      </c>
    </row>
    <row r="196" spans="2:33" ht="15" customHeight="1" x14ac:dyDescent="0.3">
      <c r="B196" s="196" t="s">
        <v>19</v>
      </c>
      <c r="C196" s="197" t="s">
        <v>15</v>
      </c>
      <c r="D196" s="198" t="str">
        <f t="shared" si="38"/>
        <v>C</v>
      </c>
      <c r="E196" s="199">
        <v>43675.208333333336</v>
      </c>
      <c r="F196" s="200" t="s">
        <v>88</v>
      </c>
      <c r="G196" s="201">
        <v>1422.96</v>
      </c>
      <c r="H196" s="201">
        <v>1406.57</v>
      </c>
      <c r="I196" s="202">
        <f t="shared" si="39"/>
        <v>16.3900000000001</v>
      </c>
      <c r="J196" s="201">
        <v>1527.86</v>
      </c>
      <c r="K196" s="199">
        <v>43677.954861111109</v>
      </c>
      <c r="L196" s="201">
        <v>1419.64</v>
      </c>
      <c r="M196" s="203">
        <f t="shared" si="40"/>
        <v>-3.32</v>
      </c>
      <c r="N196" s="204">
        <f t="shared" si="41"/>
        <v>-0.2</v>
      </c>
      <c r="O196" s="205">
        <f t="shared" si="42"/>
        <v>0</v>
      </c>
      <c r="P196" s="206">
        <f t="shared" si="43"/>
        <v>0</v>
      </c>
      <c r="Q196" s="206">
        <f t="shared" si="44"/>
        <v>-0.2</v>
      </c>
      <c r="R19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9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240480</v>
      </c>
      <c r="T19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240680</v>
      </c>
      <c r="U196" s="208">
        <f ca="1">IF(Tabla33610673[[#This Row],[Equity]]&lt;Tabla33610673[[#This Row],[Equity Peak]],(Tabla33610673[[#This Row],[Equity Peak]]-Tabla33610673[[#This Row],[Equity]])/Tabla33610673[[#This Row],[Equity Peak]],"")</f>
        <v>8.3097889313611434E-4</v>
      </c>
      <c r="V196" s="209">
        <f t="shared" si="45"/>
        <v>0</v>
      </c>
      <c r="W196" s="209">
        <f t="shared" si="46"/>
        <v>0</v>
      </c>
      <c r="X196" s="209">
        <f t="shared" si="47"/>
        <v>-0.2</v>
      </c>
      <c r="Y196" s="209">
        <f t="shared" si="48"/>
        <v>0</v>
      </c>
      <c r="Z196" s="209">
        <f t="shared" si="49"/>
        <v>0</v>
      </c>
      <c r="AA196" s="205">
        <f t="shared" si="50"/>
        <v>0</v>
      </c>
      <c r="AB196" s="209">
        <f t="shared" si="51"/>
        <v>0</v>
      </c>
      <c r="AC196" s="205">
        <f t="shared" si="52"/>
        <v>0</v>
      </c>
      <c r="AD196" s="210">
        <f t="shared" si="53"/>
        <v>2.7465277777737356</v>
      </c>
      <c r="AE196" s="210">
        <f t="shared" si="54"/>
        <v>0</v>
      </c>
      <c r="AF196" s="210">
        <f t="shared" si="55"/>
        <v>2.7465277777737356</v>
      </c>
      <c r="AG196" s="210">
        <f t="shared" si="56"/>
        <v>0</v>
      </c>
    </row>
    <row r="197" spans="2:33" ht="15" customHeight="1" x14ac:dyDescent="0.3">
      <c r="B197" s="196" t="s">
        <v>7</v>
      </c>
      <c r="C197" s="197" t="s">
        <v>13</v>
      </c>
      <c r="D197" s="198" t="str">
        <f t="shared" si="38"/>
        <v>C</v>
      </c>
      <c r="E197" s="199">
        <v>43670.666666666664</v>
      </c>
      <c r="F197" s="200" t="s">
        <v>121</v>
      </c>
      <c r="G197" s="201">
        <v>0.69799999999999995</v>
      </c>
      <c r="H197" s="201">
        <v>0.70025999999999999</v>
      </c>
      <c r="I197" s="202">
        <f t="shared" si="39"/>
        <v>2.2600000000000398E-3</v>
      </c>
      <c r="J197" s="201">
        <v>0.68594999999999995</v>
      </c>
      <c r="K197" s="199">
        <v>43677.912499999999</v>
      </c>
      <c r="L197" s="201">
        <v>0.68594999999999995</v>
      </c>
      <c r="M197" s="203">
        <f t="shared" si="40"/>
        <v>1.21E-2</v>
      </c>
      <c r="N197" s="204">
        <f t="shared" si="41"/>
        <v>5.35</v>
      </c>
      <c r="O197" s="205">
        <f t="shared" si="42"/>
        <v>0</v>
      </c>
      <c r="P197" s="206">
        <f t="shared" si="43"/>
        <v>5.35</v>
      </c>
      <c r="Q197" s="206">
        <f t="shared" si="44"/>
        <v>0</v>
      </c>
      <c r="R19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9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240680</v>
      </c>
      <c r="T19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240680</v>
      </c>
      <c r="U197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197" s="209">
        <f t="shared" si="45"/>
        <v>5.35</v>
      </c>
      <c r="W197" s="209">
        <f t="shared" si="46"/>
        <v>0</v>
      </c>
      <c r="X197" s="209">
        <f t="shared" si="47"/>
        <v>0</v>
      </c>
      <c r="Y197" s="209">
        <f t="shared" si="48"/>
        <v>0</v>
      </c>
      <c r="Z197" s="209">
        <f t="shared" si="49"/>
        <v>0</v>
      </c>
      <c r="AA197" s="205">
        <f t="shared" si="50"/>
        <v>0</v>
      </c>
      <c r="AB197" s="209">
        <f t="shared" si="51"/>
        <v>0</v>
      </c>
      <c r="AC197" s="205">
        <f t="shared" si="52"/>
        <v>0</v>
      </c>
      <c r="AD197" s="210">
        <f t="shared" si="53"/>
        <v>7.2458333333343035</v>
      </c>
      <c r="AE197" s="210">
        <f t="shared" si="54"/>
        <v>7.2458333333343035</v>
      </c>
      <c r="AF197" s="210">
        <f t="shared" si="55"/>
        <v>0</v>
      </c>
      <c r="AG197" s="210">
        <f t="shared" si="56"/>
        <v>0</v>
      </c>
    </row>
    <row r="198" spans="2:33" ht="15" customHeight="1" x14ac:dyDescent="0.3">
      <c r="B198" s="196" t="s">
        <v>5</v>
      </c>
      <c r="C198" s="197" t="s">
        <v>15</v>
      </c>
      <c r="D198" s="198" t="str">
        <f t="shared" si="38"/>
        <v>C</v>
      </c>
      <c r="E198" s="199">
        <v>43671.017361111109</v>
      </c>
      <c r="F198" s="200" t="s">
        <v>92</v>
      </c>
      <c r="G198" s="201">
        <v>7985.06</v>
      </c>
      <c r="H198" s="201">
        <v>7859.77</v>
      </c>
      <c r="I198" s="202">
        <f t="shared" si="39"/>
        <v>125.28999999999996</v>
      </c>
      <c r="J198" s="201">
        <v>8820.36</v>
      </c>
      <c r="K198" s="199">
        <v>43677.912499999999</v>
      </c>
      <c r="L198" s="201">
        <v>7859.77</v>
      </c>
      <c r="M198" s="203">
        <f t="shared" si="40"/>
        <v>-125.29</v>
      </c>
      <c r="N198" s="204">
        <f t="shared" si="41"/>
        <v>-1</v>
      </c>
      <c r="O198" s="205">
        <f t="shared" si="42"/>
        <v>0</v>
      </c>
      <c r="P198" s="206">
        <f t="shared" si="43"/>
        <v>0</v>
      </c>
      <c r="Q198" s="206">
        <f t="shared" si="44"/>
        <v>-1</v>
      </c>
      <c r="R19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9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235330</v>
      </c>
      <c r="T19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236330</v>
      </c>
      <c r="U198" s="208">
        <f ca="1">IF(Tabla33610673[[#This Row],[Equity]]&lt;Tabla33610673[[#This Row],[Equity Peak]],(Tabla33610673[[#This Row],[Equity Peak]]-Tabla33610673[[#This Row],[Equity]])/Tabla33610673[[#This Row],[Equity Peak]],"")</f>
        <v>4.2313713874666779E-3</v>
      </c>
      <c r="V198" s="209">
        <f t="shared" si="45"/>
        <v>0</v>
      </c>
      <c r="W198" s="209">
        <f t="shared" si="46"/>
        <v>0</v>
      </c>
      <c r="X198" s="209">
        <f t="shared" si="47"/>
        <v>0</v>
      </c>
      <c r="Y198" s="209">
        <f t="shared" si="48"/>
        <v>0</v>
      </c>
      <c r="Z198" s="209">
        <f t="shared" si="49"/>
        <v>-1</v>
      </c>
      <c r="AA198" s="205">
        <f t="shared" si="50"/>
        <v>0</v>
      </c>
      <c r="AB198" s="209">
        <f t="shared" si="51"/>
        <v>0</v>
      </c>
      <c r="AC198" s="205">
        <f t="shared" si="52"/>
        <v>0</v>
      </c>
      <c r="AD198" s="210">
        <f t="shared" si="53"/>
        <v>6.8951388888890506</v>
      </c>
      <c r="AE198" s="210">
        <f t="shared" si="54"/>
        <v>0</v>
      </c>
      <c r="AF198" s="210">
        <f t="shared" si="55"/>
        <v>6.8951388888890506</v>
      </c>
      <c r="AG198" s="210">
        <f t="shared" si="56"/>
        <v>0</v>
      </c>
    </row>
    <row r="199" spans="2:33" ht="15" customHeight="1" x14ac:dyDescent="0.3">
      <c r="B199" s="196" t="s">
        <v>5</v>
      </c>
      <c r="C199" s="197" t="s">
        <v>15</v>
      </c>
      <c r="D199" s="198" t="str">
        <f t="shared" si="38"/>
        <v>C</v>
      </c>
      <c r="E199" s="199">
        <v>43670.284722222219</v>
      </c>
      <c r="F199" s="200" t="s">
        <v>90</v>
      </c>
      <c r="G199" s="201">
        <v>6776.1</v>
      </c>
      <c r="H199" s="201">
        <v>6745.66</v>
      </c>
      <c r="I199" s="202">
        <f t="shared" si="39"/>
        <v>30.440000000000509</v>
      </c>
      <c r="J199" s="201">
        <v>7181.96</v>
      </c>
      <c r="K199" s="199">
        <v>43677.829861111109</v>
      </c>
      <c r="L199" s="201">
        <v>6799.23</v>
      </c>
      <c r="M199" s="203">
        <f t="shared" si="40"/>
        <v>23.13</v>
      </c>
      <c r="N199" s="204">
        <f t="shared" si="41"/>
        <v>0.76</v>
      </c>
      <c r="O199" s="205">
        <f t="shared" si="42"/>
        <v>0</v>
      </c>
      <c r="P199" s="206">
        <f t="shared" si="43"/>
        <v>0.76</v>
      </c>
      <c r="Q199" s="206">
        <f t="shared" si="44"/>
        <v>0</v>
      </c>
      <c r="R19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19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236330</v>
      </c>
      <c r="T19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236330</v>
      </c>
      <c r="U199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199" s="209">
        <f t="shared" si="45"/>
        <v>0</v>
      </c>
      <c r="W199" s="209">
        <f t="shared" si="46"/>
        <v>0</v>
      </c>
      <c r="X199" s="209">
        <f t="shared" si="47"/>
        <v>0</v>
      </c>
      <c r="Y199" s="209">
        <f t="shared" si="48"/>
        <v>0</v>
      </c>
      <c r="Z199" s="209">
        <f t="shared" si="49"/>
        <v>0.76</v>
      </c>
      <c r="AA199" s="205">
        <f t="shared" si="50"/>
        <v>0</v>
      </c>
      <c r="AB199" s="209">
        <f t="shared" si="51"/>
        <v>0</v>
      </c>
      <c r="AC199" s="205">
        <f t="shared" si="52"/>
        <v>0</v>
      </c>
      <c r="AD199" s="210">
        <f t="shared" si="53"/>
        <v>7.5451388888905058</v>
      </c>
      <c r="AE199" s="210">
        <f t="shared" si="54"/>
        <v>7.5451388888905058</v>
      </c>
      <c r="AF199" s="210">
        <f t="shared" si="55"/>
        <v>0</v>
      </c>
      <c r="AG199" s="210">
        <f t="shared" si="56"/>
        <v>0</v>
      </c>
    </row>
    <row r="200" spans="2:33" ht="15" customHeight="1" x14ac:dyDescent="0.3">
      <c r="B200" s="196" t="s">
        <v>7</v>
      </c>
      <c r="C200" s="197" t="s">
        <v>13</v>
      </c>
      <c r="D200" s="198" t="str">
        <f t="shared" si="38"/>
        <v>C</v>
      </c>
      <c r="E200" s="199">
        <v>43676.166666666664</v>
      </c>
      <c r="F200" s="200" t="s">
        <v>116</v>
      </c>
      <c r="G200" s="201">
        <v>1.76874</v>
      </c>
      <c r="H200" s="201">
        <v>1.7815000000000001</v>
      </c>
      <c r="I200" s="202">
        <f t="shared" si="39"/>
        <v>1.2760000000000105E-2</v>
      </c>
      <c r="J200" s="201">
        <v>1.72621</v>
      </c>
      <c r="K200" s="199">
        <v>43676.776388888888</v>
      </c>
      <c r="L200" s="201">
        <v>1.77244</v>
      </c>
      <c r="M200" s="203">
        <f t="shared" si="40"/>
        <v>-3.7000000000000002E-3</v>
      </c>
      <c r="N200" s="204">
        <f t="shared" si="41"/>
        <v>-0.28999999999999998</v>
      </c>
      <c r="O200" s="205">
        <f t="shared" si="42"/>
        <v>0</v>
      </c>
      <c r="P200" s="206">
        <f t="shared" si="43"/>
        <v>0</v>
      </c>
      <c r="Q200" s="206">
        <f t="shared" si="44"/>
        <v>-0.28999999999999998</v>
      </c>
      <c r="R20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0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235570</v>
      </c>
      <c r="T20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235860</v>
      </c>
      <c r="U200" s="208">
        <f ca="1">IF(Tabla33610673[[#This Row],[Equity]]&lt;Tabla33610673[[#This Row],[Equity Peak]],(Tabla33610673[[#This Row],[Equity Peak]]-Tabla33610673[[#This Row],[Equity]])/Tabla33610673[[#This Row],[Equity Peak]],"")</f>
        <v>1.2295429492071568E-3</v>
      </c>
      <c r="V200" s="209">
        <f t="shared" si="45"/>
        <v>-0.28999999999999998</v>
      </c>
      <c r="W200" s="209">
        <f t="shared" si="46"/>
        <v>0</v>
      </c>
      <c r="X200" s="209">
        <f t="shared" si="47"/>
        <v>0</v>
      </c>
      <c r="Y200" s="209">
        <f t="shared" si="48"/>
        <v>0</v>
      </c>
      <c r="Z200" s="209">
        <f t="shared" si="49"/>
        <v>0</v>
      </c>
      <c r="AA200" s="205">
        <f t="shared" si="50"/>
        <v>0</v>
      </c>
      <c r="AB200" s="209">
        <f t="shared" si="51"/>
        <v>0</v>
      </c>
      <c r="AC200" s="205">
        <f t="shared" si="52"/>
        <v>0</v>
      </c>
      <c r="AD200" s="210">
        <f t="shared" si="53"/>
        <v>0.60972222222335404</v>
      </c>
      <c r="AE200" s="210">
        <f t="shared" si="54"/>
        <v>0</v>
      </c>
      <c r="AF200" s="210">
        <f t="shared" si="55"/>
        <v>0.60972222222335404</v>
      </c>
      <c r="AG200" s="210">
        <f t="shared" si="56"/>
        <v>0</v>
      </c>
    </row>
    <row r="201" spans="2:33" ht="15" customHeight="1" x14ac:dyDescent="0.3">
      <c r="B201" s="196" t="s">
        <v>5</v>
      </c>
      <c r="C201" s="197" t="s">
        <v>15</v>
      </c>
      <c r="D201" s="198" t="str">
        <f t="shared" si="38"/>
        <v>C</v>
      </c>
      <c r="E201" s="199">
        <v>43672.833333333336</v>
      </c>
      <c r="F201" s="200" t="s">
        <v>94</v>
      </c>
      <c r="G201" s="201">
        <v>7555.19</v>
      </c>
      <c r="H201" s="201">
        <v>7503.07</v>
      </c>
      <c r="I201" s="202">
        <f t="shared" si="39"/>
        <v>52.119999999999891</v>
      </c>
      <c r="J201" s="201">
        <v>7815.78</v>
      </c>
      <c r="K201" s="199">
        <v>43676.71875</v>
      </c>
      <c r="L201" s="201">
        <v>7659.26</v>
      </c>
      <c r="M201" s="203">
        <f t="shared" si="40"/>
        <v>104.07</v>
      </c>
      <c r="N201" s="204">
        <f t="shared" si="41"/>
        <v>2</v>
      </c>
      <c r="O201" s="205">
        <f t="shared" si="42"/>
        <v>0</v>
      </c>
      <c r="P201" s="206">
        <f t="shared" si="43"/>
        <v>2</v>
      </c>
      <c r="Q201" s="206">
        <f t="shared" si="44"/>
        <v>0</v>
      </c>
      <c r="R20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0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235860</v>
      </c>
      <c r="T20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235860</v>
      </c>
      <c r="U201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201" s="209">
        <f t="shared" si="45"/>
        <v>0</v>
      </c>
      <c r="W201" s="209">
        <f t="shared" si="46"/>
        <v>0</v>
      </c>
      <c r="X201" s="209">
        <f t="shared" si="47"/>
        <v>0</v>
      </c>
      <c r="Y201" s="209">
        <f t="shared" si="48"/>
        <v>0</v>
      </c>
      <c r="Z201" s="209">
        <f t="shared" si="49"/>
        <v>2</v>
      </c>
      <c r="AA201" s="205">
        <f t="shared" si="50"/>
        <v>0</v>
      </c>
      <c r="AB201" s="209">
        <f t="shared" si="51"/>
        <v>0</v>
      </c>
      <c r="AC201" s="205">
        <f t="shared" si="52"/>
        <v>0</v>
      </c>
      <c r="AD201" s="210">
        <f t="shared" si="53"/>
        <v>3.8854166666642413</v>
      </c>
      <c r="AE201" s="210">
        <f t="shared" si="54"/>
        <v>3.8854166666642413</v>
      </c>
      <c r="AF201" s="210">
        <f t="shared" si="55"/>
        <v>0</v>
      </c>
      <c r="AG201" s="210">
        <f t="shared" si="56"/>
        <v>0</v>
      </c>
    </row>
    <row r="202" spans="2:33" ht="15" customHeight="1" x14ac:dyDescent="0.3">
      <c r="B202" s="196" t="s">
        <v>7</v>
      </c>
      <c r="C202" s="197" t="s">
        <v>15</v>
      </c>
      <c r="D202" s="198" t="str">
        <f t="shared" si="38"/>
        <v>C</v>
      </c>
      <c r="E202" s="199">
        <v>43675.666666666664</v>
      </c>
      <c r="F202" s="200" t="s">
        <v>119</v>
      </c>
      <c r="G202" s="201">
        <v>0.90839000000000003</v>
      </c>
      <c r="H202" s="201">
        <v>0.90490000000000004</v>
      </c>
      <c r="I202" s="202">
        <f t="shared" si="39"/>
        <v>3.4899999999999931E-3</v>
      </c>
      <c r="J202" s="201">
        <v>0.91769000000000001</v>
      </c>
      <c r="K202" s="199">
        <v>43676.270138888889</v>
      </c>
      <c r="L202" s="201">
        <v>0.91769000000000001</v>
      </c>
      <c r="M202" s="203">
        <f t="shared" si="40"/>
        <v>9.2999999999999992E-3</v>
      </c>
      <c r="N202" s="204">
        <f t="shared" si="41"/>
        <v>2.66</v>
      </c>
      <c r="O202" s="205">
        <f t="shared" si="42"/>
        <v>0</v>
      </c>
      <c r="P202" s="206">
        <f t="shared" si="43"/>
        <v>2.66</v>
      </c>
      <c r="Q202" s="206">
        <f t="shared" si="44"/>
        <v>0</v>
      </c>
      <c r="R20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0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233860</v>
      </c>
      <c r="T20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233860</v>
      </c>
      <c r="U202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202" s="209">
        <f t="shared" si="45"/>
        <v>2.66</v>
      </c>
      <c r="W202" s="209">
        <f t="shared" si="46"/>
        <v>0</v>
      </c>
      <c r="X202" s="209">
        <f t="shared" si="47"/>
        <v>0</v>
      </c>
      <c r="Y202" s="209">
        <f t="shared" si="48"/>
        <v>0</v>
      </c>
      <c r="Z202" s="209">
        <f t="shared" si="49"/>
        <v>0</v>
      </c>
      <c r="AA202" s="205">
        <f t="shared" si="50"/>
        <v>0</v>
      </c>
      <c r="AB202" s="209">
        <f t="shared" si="51"/>
        <v>0</v>
      </c>
      <c r="AC202" s="205">
        <f t="shared" si="52"/>
        <v>0</v>
      </c>
      <c r="AD202" s="210">
        <f t="shared" si="53"/>
        <v>0.60347222222480923</v>
      </c>
      <c r="AE202" s="210">
        <f t="shared" si="54"/>
        <v>0.60347222222480923</v>
      </c>
      <c r="AF202" s="210">
        <f t="shared" si="55"/>
        <v>0</v>
      </c>
      <c r="AG202" s="210">
        <f t="shared" si="56"/>
        <v>0</v>
      </c>
    </row>
    <row r="203" spans="2:33" ht="15" customHeight="1" x14ac:dyDescent="0.3">
      <c r="B203" s="196" t="s">
        <v>5</v>
      </c>
      <c r="C203" s="197" t="s">
        <v>15</v>
      </c>
      <c r="D203" s="198" t="str">
        <f t="shared" si="38"/>
        <v>C</v>
      </c>
      <c r="E203" s="199">
        <v>43670.017361111109</v>
      </c>
      <c r="F203" s="200" t="s">
        <v>91</v>
      </c>
      <c r="G203" s="201">
        <v>12519.94</v>
      </c>
      <c r="H203" s="201">
        <v>12338.11</v>
      </c>
      <c r="I203" s="202">
        <f t="shared" si="39"/>
        <v>181.82999999999993</v>
      </c>
      <c r="J203" s="201">
        <v>13247.27</v>
      </c>
      <c r="K203" s="199">
        <v>43671.744444444441</v>
      </c>
      <c r="L203" s="201">
        <v>12374.49</v>
      </c>
      <c r="M203" s="203">
        <f t="shared" si="40"/>
        <v>-145.44999999999999</v>
      </c>
      <c r="N203" s="204">
        <f t="shared" si="41"/>
        <v>-0.8</v>
      </c>
      <c r="O203" s="205">
        <f t="shared" si="42"/>
        <v>0</v>
      </c>
      <c r="P203" s="206">
        <f t="shared" si="43"/>
        <v>0</v>
      </c>
      <c r="Q203" s="206">
        <f t="shared" si="44"/>
        <v>-0.8</v>
      </c>
      <c r="R20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0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231200</v>
      </c>
      <c r="T20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233740</v>
      </c>
      <c r="U203" s="208">
        <f ca="1">IF(Tabla33610673[[#This Row],[Equity]]&lt;Tabla33610673[[#This Row],[Equity Peak]],(Tabla33610673[[#This Row],[Equity Peak]]-Tabla33610673[[#This Row],[Equity]])/Tabla33610673[[#This Row],[Equity Peak]],"")</f>
        <v>1.0866775049199966E-2</v>
      </c>
      <c r="V203" s="209">
        <f t="shared" si="45"/>
        <v>0</v>
      </c>
      <c r="W203" s="209">
        <f t="shared" si="46"/>
        <v>0</v>
      </c>
      <c r="X203" s="209">
        <f t="shared" si="47"/>
        <v>0</v>
      </c>
      <c r="Y203" s="209">
        <f t="shared" si="48"/>
        <v>0</v>
      </c>
      <c r="Z203" s="209">
        <f t="shared" si="49"/>
        <v>-0.8</v>
      </c>
      <c r="AA203" s="205">
        <f t="shared" si="50"/>
        <v>0</v>
      </c>
      <c r="AB203" s="209">
        <f t="shared" si="51"/>
        <v>0</v>
      </c>
      <c r="AC203" s="205">
        <f t="shared" si="52"/>
        <v>0</v>
      </c>
      <c r="AD203" s="210">
        <f t="shared" si="53"/>
        <v>1.7270833333313931</v>
      </c>
      <c r="AE203" s="210">
        <f t="shared" si="54"/>
        <v>0</v>
      </c>
      <c r="AF203" s="210">
        <f t="shared" si="55"/>
        <v>1.7270833333313931</v>
      </c>
      <c r="AG203" s="210">
        <f t="shared" si="56"/>
        <v>0</v>
      </c>
    </row>
    <row r="204" spans="2:33" ht="15" customHeight="1" x14ac:dyDescent="0.3">
      <c r="B204" s="196" t="s">
        <v>5</v>
      </c>
      <c r="C204" s="197" t="s">
        <v>15</v>
      </c>
      <c r="D204" s="198" t="str">
        <f t="shared" si="38"/>
        <v>C</v>
      </c>
      <c r="E204" s="199">
        <v>43671.333333333336</v>
      </c>
      <c r="F204" s="200" t="s">
        <v>93</v>
      </c>
      <c r="G204" s="201">
        <v>3021.31</v>
      </c>
      <c r="H204" s="201">
        <v>3010.11</v>
      </c>
      <c r="I204" s="202">
        <f t="shared" si="39"/>
        <v>11.199999999999818</v>
      </c>
      <c r="J204" s="201">
        <v>3051.17</v>
      </c>
      <c r="K204" s="199">
        <v>43671.712500000001</v>
      </c>
      <c r="L204" s="201">
        <v>3010.11</v>
      </c>
      <c r="M204" s="203">
        <f t="shared" si="40"/>
        <v>-11.2</v>
      </c>
      <c r="N204" s="204">
        <f t="shared" si="41"/>
        <v>-1</v>
      </c>
      <c r="O204" s="205">
        <f t="shared" si="42"/>
        <v>0</v>
      </c>
      <c r="P204" s="206">
        <f t="shared" si="43"/>
        <v>0</v>
      </c>
      <c r="Q204" s="206">
        <f t="shared" si="44"/>
        <v>-1</v>
      </c>
      <c r="R20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0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232000</v>
      </c>
      <c r="T20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233740</v>
      </c>
      <c r="U204" s="208">
        <f ca="1">IF(Tabla33610673[[#This Row],[Equity]]&lt;Tabla33610673[[#This Row],[Equity Peak]],(Tabla33610673[[#This Row],[Equity Peak]]-Tabla33610673[[#This Row],[Equity]])/Tabla33610673[[#This Row],[Equity Peak]],"")</f>
        <v>7.4441687344913151E-3</v>
      </c>
      <c r="V204" s="209">
        <f t="shared" si="45"/>
        <v>0</v>
      </c>
      <c r="W204" s="209">
        <f t="shared" si="46"/>
        <v>0</v>
      </c>
      <c r="X204" s="209">
        <f t="shared" si="47"/>
        <v>0</v>
      </c>
      <c r="Y204" s="209">
        <f t="shared" si="48"/>
        <v>0</v>
      </c>
      <c r="Z204" s="209">
        <f t="shared" si="49"/>
        <v>-1</v>
      </c>
      <c r="AA204" s="205">
        <f t="shared" si="50"/>
        <v>0</v>
      </c>
      <c r="AB204" s="209">
        <f t="shared" si="51"/>
        <v>0</v>
      </c>
      <c r="AC204" s="205">
        <f t="shared" si="52"/>
        <v>0</v>
      </c>
      <c r="AD204" s="210">
        <f t="shared" si="53"/>
        <v>0.37916666666569654</v>
      </c>
      <c r="AE204" s="210">
        <f t="shared" si="54"/>
        <v>0</v>
      </c>
      <c r="AF204" s="210">
        <f t="shared" si="55"/>
        <v>0.37916666666569654</v>
      </c>
      <c r="AG204" s="210">
        <f t="shared" si="56"/>
        <v>0</v>
      </c>
    </row>
    <row r="205" spans="2:33" ht="15" customHeight="1" x14ac:dyDescent="0.3">
      <c r="B205" s="196" t="s">
        <v>5</v>
      </c>
      <c r="C205" s="197" t="s">
        <v>13</v>
      </c>
      <c r="D205" s="198" t="str">
        <f t="shared" si="38"/>
        <v>C</v>
      </c>
      <c r="E205" s="199">
        <v>43670.666666666664</v>
      </c>
      <c r="F205" s="200" t="s">
        <v>94</v>
      </c>
      <c r="G205" s="201">
        <v>7495.63</v>
      </c>
      <c r="H205" s="201">
        <v>7556.31</v>
      </c>
      <c r="I205" s="202">
        <f t="shared" si="39"/>
        <v>60.680000000000291</v>
      </c>
      <c r="J205" s="201">
        <v>7192.22</v>
      </c>
      <c r="K205" s="199">
        <v>43671.606944444444</v>
      </c>
      <c r="L205" s="201">
        <v>7540.64</v>
      </c>
      <c r="M205" s="203">
        <f t="shared" si="40"/>
        <v>-45.01</v>
      </c>
      <c r="N205" s="204">
        <f t="shared" si="41"/>
        <v>-0.74</v>
      </c>
      <c r="O205" s="205">
        <f t="shared" si="42"/>
        <v>0</v>
      </c>
      <c r="P205" s="206">
        <f t="shared" si="43"/>
        <v>0</v>
      </c>
      <c r="Q205" s="206">
        <f t="shared" si="44"/>
        <v>-0.74</v>
      </c>
      <c r="R20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0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233000</v>
      </c>
      <c r="T20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233740</v>
      </c>
      <c r="U205" s="208">
        <f ca="1">IF(Tabla33610673[[#This Row],[Equity]]&lt;Tabla33610673[[#This Row],[Equity Peak]],(Tabla33610673[[#This Row],[Equity Peak]]-Tabla33610673[[#This Row],[Equity]])/Tabla33610673[[#This Row],[Equity Peak]],"")</f>
        <v>3.1659108411055017E-3</v>
      </c>
      <c r="V205" s="209">
        <f t="shared" si="45"/>
        <v>0</v>
      </c>
      <c r="W205" s="209">
        <f t="shared" si="46"/>
        <v>0</v>
      </c>
      <c r="X205" s="209">
        <f t="shared" si="47"/>
        <v>0</v>
      </c>
      <c r="Y205" s="209">
        <f t="shared" si="48"/>
        <v>0</v>
      </c>
      <c r="Z205" s="209">
        <f t="shared" si="49"/>
        <v>-0.74</v>
      </c>
      <c r="AA205" s="205">
        <f t="shared" si="50"/>
        <v>0</v>
      </c>
      <c r="AB205" s="209">
        <f t="shared" si="51"/>
        <v>0</v>
      </c>
      <c r="AC205" s="205">
        <f t="shared" si="52"/>
        <v>0</v>
      </c>
      <c r="AD205" s="210">
        <f t="shared" si="53"/>
        <v>0.94027777777955635</v>
      </c>
      <c r="AE205" s="210">
        <f t="shared" si="54"/>
        <v>0</v>
      </c>
      <c r="AF205" s="210">
        <f t="shared" si="55"/>
        <v>0.94027777777955635</v>
      </c>
      <c r="AG205" s="210">
        <f t="shared" si="56"/>
        <v>0</v>
      </c>
    </row>
    <row r="206" spans="2:33" ht="15" customHeight="1" x14ac:dyDescent="0.3">
      <c r="B206" s="196" t="s">
        <v>7</v>
      </c>
      <c r="C206" s="197" t="s">
        <v>13</v>
      </c>
      <c r="D206" s="198" t="str">
        <f t="shared" si="38"/>
        <v>C</v>
      </c>
      <c r="E206" s="199">
        <v>43658.666666666664</v>
      </c>
      <c r="F206" s="200" t="s">
        <v>118</v>
      </c>
      <c r="G206" s="201">
        <v>121.761</v>
      </c>
      <c r="H206" s="201">
        <v>122.32</v>
      </c>
      <c r="I206" s="202">
        <f t="shared" si="39"/>
        <v>0.5589999999999975</v>
      </c>
      <c r="J206" s="201">
        <v>119.52500000000001</v>
      </c>
      <c r="K206" s="199">
        <v>43671.606249999997</v>
      </c>
      <c r="L206" s="201">
        <v>120.66500000000001</v>
      </c>
      <c r="M206" s="203">
        <f t="shared" si="40"/>
        <v>1.0960000000000001</v>
      </c>
      <c r="N206" s="204">
        <f t="shared" si="41"/>
        <v>1.96</v>
      </c>
      <c r="O206" s="205">
        <f t="shared" si="42"/>
        <v>0</v>
      </c>
      <c r="P206" s="206">
        <f t="shared" si="43"/>
        <v>1.96</v>
      </c>
      <c r="Q206" s="206">
        <f t="shared" si="44"/>
        <v>0</v>
      </c>
      <c r="R20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0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233740</v>
      </c>
      <c r="T20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233740</v>
      </c>
      <c r="U206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206" s="209">
        <f t="shared" si="45"/>
        <v>1.96</v>
      </c>
      <c r="W206" s="209">
        <f t="shared" si="46"/>
        <v>0</v>
      </c>
      <c r="X206" s="209">
        <f t="shared" si="47"/>
        <v>0</v>
      </c>
      <c r="Y206" s="209">
        <f t="shared" si="48"/>
        <v>0</v>
      </c>
      <c r="Z206" s="209">
        <f t="shared" si="49"/>
        <v>0</v>
      </c>
      <c r="AA206" s="205">
        <f t="shared" si="50"/>
        <v>0</v>
      </c>
      <c r="AB206" s="209">
        <f t="shared" si="51"/>
        <v>0</v>
      </c>
      <c r="AC206" s="205">
        <f t="shared" si="52"/>
        <v>0</v>
      </c>
      <c r="AD206" s="210">
        <f t="shared" si="53"/>
        <v>12.939583333332848</v>
      </c>
      <c r="AE206" s="210">
        <f t="shared" si="54"/>
        <v>12.939583333332848</v>
      </c>
      <c r="AF206" s="210">
        <f t="shared" si="55"/>
        <v>0</v>
      </c>
      <c r="AG206" s="210">
        <f t="shared" si="56"/>
        <v>0</v>
      </c>
    </row>
    <row r="207" spans="2:33" ht="15" customHeight="1" x14ac:dyDescent="0.3">
      <c r="B207" s="196" t="s">
        <v>19</v>
      </c>
      <c r="C207" s="197" t="s">
        <v>13</v>
      </c>
      <c r="D207" s="198" t="str">
        <f t="shared" si="38"/>
        <v>C</v>
      </c>
      <c r="E207" s="199">
        <v>43663.791666666664</v>
      </c>
      <c r="F207" s="200" t="s">
        <v>108</v>
      </c>
      <c r="G207" s="201">
        <v>57.374000000000002</v>
      </c>
      <c r="H207" s="201">
        <v>58.9</v>
      </c>
      <c r="I207" s="202">
        <f t="shared" si="39"/>
        <v>1.5259999999999962</v>
      </c>
      <c r="J207" s="201">
        <v>39.067</v>
      </c>
      <c r="K207" s="199">
        <v>43670.638194444444</v>
      </c>
      <c r="L207" s="201">
        <v>57.526000000000003</v>
      </c>
      <c r="M207" s="203">
        <f t="shared" si="40"/>
        <v>-0.152</v>
      </c>
      <c r="N207" s="204">
        <f t="shared" si="41"/>
        <v>-0.1</v>
      </c>
      <c r="O207" s="205">
        <f t="shared" si="42"/>
        <v>0</v>
      </c>
      <c r="P207" s="206">
        <f t="shared" si="43"/>
        <v>0</v>
      </c>
      <c r="Q207" s="206">
        <f t="shared" si="44"/>
        <v>-0.1</v>
      </c>
      <c r="R20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0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231780</v>
      </c>
      <c r="T20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232010</v>
      </c>
      <c r="U207" s="208">
        <f ca="1">IF(Tabla33610673[[#This Row],[Equity]]&lt;Tabla33610673[[#This Row],[Equity Peak]],(Tabla33610673[[#This Row],[Equity Peak]]-Tabla33610673[[#This Row],[Equity]])/Tabla33610673[[#This Row],[Equity Peak]],"")</f>
        <v>9.913365803198139E-4</v>
      </c>
      <c r="V207" s="209">
        <f t="shared" si="45"/>
        <v>0</v>
      </c>
      <c r="W207" s="209">
        <f t="shared" si="46"/>
        <v>0</v>
      </c>
      <c r="X207" s="209">
        <f t="shared" si="47"/>
        <v>-0.1</v>
      </c>
      <c r="Y207" s="209">
        <f t="shared" si="48"/>
        <v>0</v>
      </c>
      <c r="Z207" s="209">
        <f t="shared" si="49"/>
        <v>0</v>
      </c>
      <c r="AA207" s="205">
        <f t="shared" si="50"/>
        <v>0</v>
      </c>
      <c r="AB207" s="209">
        <f t="shared" si="51"/>
        <v>0</v>
      </c>
      <c r="AC207" s="205">
        <f t="shared" si="52"/>
        <v>0</v>
      </c>
      <c r="AD207" s="210">
        <f t="shared" si="53"/>
        <v>6.8465277777795563</v>
      </c>
      <c r="AE207" s="210">
        <f t="shared" si="54"/>
        <v>0</v>
      </c>
      <c r="AF207" s="210">
        <f t="shared" si="55"/>
        <v>6.8465277777795563</v>
      </c>
      <c r="AG207" s="210">
        <f t="shared" si="56"/>
        <v>0</v>
      </c>
    </row>
    <row r="208" spans="2:33" ht="15" customHeight="1" x14ac:dyDescent="0.3">
      <c r="B208" s="196" t="s">
        <v>5</v>
      </c>
      <c r="C208" s="197" t="s">
        <v>15</v>
      </c>
      <c r="D208" s="198" t="str">
        <f t="shared" si="38"/>
        <v>C</v>
      </c>
      <c r="E208" s="199">
        <v>43669.333333333336</v>
      </c>
      <c r="F208" s="200" t="s">
        <v>94</v>
      </c>
      <c r="G208" s="201">
        <v>7542.79</v>
      </c>
      <c r="H208" s="201">
        <v>7488.65</v>
      </c>
      <c r="I208" s="202">
        <f t="shared" si="39"/>
        <v>54.140000000000327</v>
      </c>
      <c r="J208" s="201">
        <v>7813.5</v>
      </c>
      <c r="K208" s="199">
        <v>43670.387499999997</v>
      </c>
      <c r="L208" s="201">
        <v>7535.58</v>
      </c>
      <c r="M208" s="203">
        <f t="shared" si="40"/>
        <v>-7.21</v>
      </c>
      <c r="N208" s="204">
        <f t="shared" si="41"/>
        <v>-0.13</v>
      </c>
      <c r="O208" s="205">
        <f t="shared" si="42"/>
        <v>0</v>
      </c>
      <c r="P208" s="206">
        <f t="shared" si="43"/>
        <v>0</v>
      </c>
      <c r="Q208" s="206">
        <f t="shared" si="44"/>
        <v>-0.13</v>
      </c>
      <c r="R20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0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231880</v>
      </c>
      <c r="T20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232010</v>
      </c>
      <c r="U208" s="208">
        <f ca="1">IF(Tabla33610673[[#This Row],[Equity]]&lt;Tabla33610673[[#This Row],[Equity Peak]],(Tabla33610673[[#This Row],[Equity Peak]]-Tabla33610673[[#This Row],[Equity]])/Tabla33610673[[#This Row],[Equity Peak]],"")</f>
        <v>5.6032067583293823E-4</v>
      </c>
      <c r="V208" s="209">
        <f t="shared" si="45"/>
        <v>0</v>
      </c>
      <c r="W208" s="209">
        <f t="shared" si="46"/>
        <v>0</v>
      </c>
      <c r="X208" s="209">
        <f t="shared" si="47"/>
        <v>0</v>
      </c>
      <c r="Y208" s="209">
        <f t="shared" si="48"/>
        <v>0</v>
      </c>
      <c r="Z208" s="209">
        <f t="shared" si="49"/>
        <v>-0.13</v>
      </c>
      <c r="AA208" s="205">
        <f t="shared" si="50"/>
        <v>0</v>
      </c>
      <c r="AB208" s="209">
        <f t="shared" si="51"/>
        <v>0</v>
      </c>
      <c r="AC208" s="205">
        <f t="shared" si="52"/>
        <v>0</v>
      </c>
      <c r="AD208" s="210">
        <f t="shared" si="53"/>
        <v>1.054166666661331</v>
      </c>
      <c r="AE208" s="210">
        <f t="shared" si="54"/>
        <v>0</v>
      </c>
      <c r="AF208" s="210">
        <f t="shared" si="55"/>
        <v>1.054166666661331</v>
      </c>
      <c r="AG208" s="210">
        <f t="shared" si="56"/>
        <v>0</v>
      </c>
    </row>
    <row r="209" spans="2:33" ht="15" customHeight="1" x14ac:dyDescent="0.3">
      <c r="B209" s="196" t="s">
        <v>19</v>
      </c>
      <c r="C209" s="197" t="s">
        <v>15</v>
      </c>
      <c r="D209" s="198" t="str">
        <f t="shared" ref="D209:D272" si="57">IF(E209&lt;&gt;"",IF(K209&lt;&gt;"","C","O"),"")</f>
        <v>C</v>
      </c>
      <c r="E209" s="199">
        <v>43663.708333333336</v>
      </c>
      <c r="F209" s="200" t="s">
        <v>88</v>
      </c>
      <c r="G209" s="201">
        <v>1411.91</v>
      </c>
      <c r="H209" s="201">
        <v>1396.16</v>
      </c>
      <c r="I209" s="202">
        <f t="shared" ref="I209:I272" si="58">ABS(G209-H209)</f>
        <v>15.75</v>
      </c>
      <c r="J209" s="201">
        <v>1512.73</v>
      </c>
      <c r="K209" s="199">
        <v>43665.809027777781</v>
      </c>
      <c r="L209" s="201">
        <v>1429.17</v>
      </c>
      <c r="M209" s="203">
        <f t="shared" ref="M209:M272" si="59">ROUND(IF(C209="L",(L209-G209),(G209-L209)),4)</f>
        <v>17.260000000000002</v>
      </c>
      <c r="N209" s="204">
        <f t="shared" ref="N209:N272" si="60">IFERROR(ROUND((M209/I209),2),"")</f>
        <v>1.1000000000000001</v>
      </c>
      <c r="O209" s="205">
        <f t="shared" ref="O209:O272" si="61">IF(D209="O",IF(N209&lt;0,N209,0),0)</f>
        <v>0</v>
      </c>
      <c r="P209" s="206">
        <f t="shared" ref="P209:P272" si="62">IF(N209&gt;= 0,N209,0)</f>
        <v>1.1000000000000001</v>
      </c>
      <c r="Q209" s="206">
        <f t="shared" ref="Q209:Q272" si="63">IF(N209&lt;0,N209,0)</f>
        <v>0</v>
      </c>
      <c r="R20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0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232010</v>
      </c>
      <c r="T20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232010</v>
      </c>
      <c r="U209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209" s="209">
        <f t="shared" ref="V209:V272" si="64">IF(B209="FX",N209,0)</f>
        <v>0</v>
      </c>
      <c r="W209" s="209">
        <f t="shared" ref="W209:W272" si="65">IF(D209="O",IF(V209&lt;0,V209,0),0)</f>
        <v>0</v>
      </c>
      <c r="X209" s="209">
        <f t="shared" ref="X209:X272" si="66">IF(B209="COM",N209,0)</f>
        <v>1.1000000000000001</v>
      </c>
      <c r="Y209" s="209">
        <f t="shared" ref="Y209:Y272" si="67">IF(D209="O",IF(X209&lt;0,X209,0),0)</f>
        <v>0</v>
      </c>
      <c r="Z209" s="209">
        <f t="shared" ref="Z209:Z272" si="68">IF(B209="IND",N209,0)</f>
        <v>0</v>
      </c>
      <c r="AA209" s="205">
        <f t="shared" ref="AA209:AA272" si="69">IF(D209="O",IF(Z209&lt;0,Z209,0),0)</f>
        <v>0</v>
      </c>
      <c r="AB209" s="209">
        <f t="shared" ref="AB209:AB272" si="70">IF(B209="CRYPTO",N209,0)</f>
        <v>0</v>
      </c>
      <c r="AC209" s="205">
        <f t="shared" ref="AC209:AC272" si="71">IF(D209="O",IF(AB209&lt;0,AB209,0),0)</f>
        <v>0</v>
      </c>
      <c r="AD209" s="210">
        <f t="shared" ref="AD209:AD272" si="72">IF(K209&lt;&gt;"",K209-E209,0)</f>
        <v>2.1006944444452529</v>
      </c>
      <c r="AE209" s="210">
        <f t="shared" ref="AE209:AE272" si="73">IF(N209&gt;0,AD209,0)</f>
        <v>2.1006944444452529</v>
      </c>
      <c r="AF209" s="210">
        <f t="shared" ref="AF209:AF272" si="74">IF(N209&lt;0,AD209,0)</f>
        <v>0</v>
      </c>
      <c r="AG209" s="210">
        <f t="shared" ref="AG209:AG272" si="75">IF(N209=0,AD209,0)</f>
        <v>0</v>
      </c>
    </row>
    <row r="210" spans="2:33" ht="15" customHeight="1" x14ac:dyDescent="0.3">
      <c r="B210" s="196" t="s">
        <v>5</v>
      </c>
      <c r="C210" s="197" t="s">
        <v>13</v>
      </c>
      <c r="D210" s="198" t="str">
        <f t="shared" si="57"/>
        <v>C</v>
      </c>
      <c r="E210" s="199">
        <v>43664.166666666664</v>
      </c>
      <c r="F210" s="200" t="s">
        <v>94</v>
      </c>
      <c r="G210" s="201">
        <v>7508.03</v>
      </c>
      <c r="H210" s="201">
        <v>7551.05</v>
      </c>
      <c r="I210" s="202">
        <f t="shared" si="58"/>
        <v>43.020000000000437</v>
      </c>
      <c r="J210" s="201">
        <v>7292.93</v>
      </c>
      <c r="K210" s="199">
        <v>43665.268750000003</v>
      </c>
      <c r="L210" s="201">
        <v>7525.8</v>
      </c>
      <c r="M210" s="203">
        <f t="shared" si="59"/>
        <v>-17.77</v>
      </c>
      <c r="N210" s="204">
        <f t="shared" si="60"/>
        <v>-0.41</v>
      </c>
      <c r="O210" s="205">
        <f t="shared" si="61"/>
        <v>0</v>
      </c>
      <c r="P210" s="206">
        <f t="shared" si="62"/>
        <v>0</v>
      </c>
      <c r="Q210" s="206">
        <f t="shared" si="63"/>
        <v>-0.41</v>
      </c>
      <c r="R21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1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230910</v>
      </c>
      <c r="T21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231320</v>
      </c>
      <c r="U210" s="208">
        <f ca="1">IF(Tabla33610673[[#This Row],[Equity]]&lt;Tabla33610673[[#This Row],[Equity Peak]],(Tabla33610673[[#This Row],[Equity Peak]]-Tabla33610673[[#This Row],[Equity]])/Tabla33610673[[#This Row],[Equity Peak]],"")</f>
        <v>1.7724364516686841E-3</v>
      </c>
      <c r="V210" s="209">
        <f t="shared" si="64"/>
        <v>0</v>
      </c>
      <c r="W210" s="209">
        <f t="shared" si="65"/>
        <v>0</v>
      </c>
      <c r="X210" s="209">
        <f t="shared" si="66"/>
        <v>0</v>
      </c>
      <c r="Y210" s="209">
        <f t="shared" si="67"/>
        <v>0</v>
      </c>
      <c r="Z210" s="209">
        <f t="shared" si="68"/>
        <v>-0.41</v>
      </c>
      <c r="AA210" s="205">
        <f t="shared" si="69"/>
        <v>0</v>
      </c>
      <c r="AB210" s="209">
        <f t="shared" si="70"/>
        <v>0</v>
      </c>
      <c r="AC210" s="205">
        <f t="shared" si="71"/>
        <v>0</v>
      </c>
      <c r="AD210" s="210">
        <f t="shared" si="72"/>
        <v>1.102083333338669</v>
      </c>
      <c r="AE210" s="210">
        <f t="shared" si="73"/>
        <v>0</v>
      </c>
      <c r="AF210" s="210">
        <f t="shared" si="74"/>
        <v>1.102083333338669</v>
      </c>
      <c r="AG210" s="210">
        <f t="shared" si="75"/>
        <v>0</v>
      </c>
    </row>
    <row r="211" spans="2:33" ht="15" customHeight="1" x14ac:dyDescent="0.3">
      <c r="B211" s="196" t="s">
        <v>19</v>
      </c>
      <c r="C211" s="197" t="s">
        <v>15</v>
      </c>
      <c r="D211" s="198" t="str">
        <f t="shared" si="57"/>
        <v>C</v>
      </c>
      <c r="E211" s="199">
        <v>43657.375</v>
      </c>
      <c r="F211" s="200" t="s">
        <v>89</v>
      </c>
      <c r="G211" s="201">
        <v>15.272</v>
      </c>
      <c r="H211" s="201">
        <v>15.028</v>
      </c>
      <c r="I211" s="202">
        <f t="shared" si="58"/>
        <v>0.24399999999999977</v>
      </c>
      <c r="J211" s="201">
        <v>16.442</v>
      </c>
      <c r="K211" s="199">
        <v>43665.213888888888</v>
      </c>
      <c r="L211" s="201">
        <v>16.442</v>
      </c>
      <c r="M211" s="203">
        <f t="shared" si="59"/>
        <v>1.17</v>
      </c>
      <c r="N211" s="204">
        <f t="shared" si="60"/>
        <v>4.8</v>
      </c>
      <c r="O211" s="205">
        <f t="shared" si="61"/>
        <v>0</v>
      </c>
      <c r="P211" s="206">
        <f t="shared" si="62"/>
        <v>4.8</v>
      </c>
      <c r="Q211" s="206">
        <f t="shared" si="63"/>
        <v>0</v>
      </c>
      <c r="R21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1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231320</v>
      </c>
      <c r="T21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231320</v>
      </c>
      <c r="U211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211" s="209">
        <f t="shared" si="64"/>
        <v>0</v>
      </c>
      <c r="W211" s="209">
        <f t="shared" si="65"/>
        <v>0</v>
      </c>
      <c r="X211" s="209">
        <f t="shared" si="66"/>
        <v>4.8</v>
      </c>
      <c r="Y211" s="209">
        <f t="shared" si="67"/>
        <v>0</v>
      </c>
      <c r="Z211" s="209">
        <f t="shared" si="68"/>
        <v>0</v>
      </c>
      <c r="AA211" s="205">
        <f t="shared" si="69"/>
        <v>0</v>
      </c>
      <c r="AB211" s="209">
        <f t="shared" si="70"/>
        <v>0</v>
      </c>
      <c r="AC211" s="205">
        <f t="shared" si="71"/>
        <v>0</v>
      </c>
      <c r="AD211" s="210">
        <f t="shared" si="72"/>
        <v>7.8388888888875954</v>
      </c>
      <c r="AE211" s="210">
        <f t="shared" si="73"/>
        <v>7.8388888888875954</v>
      </c>
      <c r="AF211" s="210">
        <f t="shared" si="74"/>
        <v>0</v>
      </c>
      <c r="AG211" s="210">
        <f t="shared" si="75"/>
        <v>0</v>
      </c>
    </row>
    <row r="212" spans="2:33" ht="15" customHeight="1" x14ac:dyDescent="0.3">
      <c r="B212" s="196" t="s">
        <v>5</v>
      </c>
      <c r="C212" s="197" t="s">
        <v>15</v>
      </c>
      <c r="D212" s="198" t="str">
        <f t="shared" si="57"/>
        <v>C</v>
      </c>
      <c r="E212" s="199">
        <v>43662.017361111109</v>
      </c>
      <c r="F212" s="200" t="s">
        <v>94</v>
      </c>
      <c r="G212" s="201">
        <v>7538.66</v>
      </c>
      <c r="H212" s="201">
        <v>7497.77</v>
      </c>
      <c r="I212" s="202">
        <f t="shared" si="58"/>
        <v>40.889999999999418</v>
      </c>
      <c r="J212" s="201">
        <v>7743.09</v>
      </c>
      <c r="K212" s="199">
        <v>43663.768055555556</v>
      </c>
      <c r="L212" s="201">
        <v>7531.84</v>
      </c>
      <c r="M212" s="203">
        <f t="shared" si="59"/>
        <v>-6.82</v>
      </c>
      <c r="N212" s="204">
        <f t="shared" si="60"/>
        <v>-0.17</v>
      </c>
      <c r="O212" s="205">
        <f t="shared" si="61"/>
        <v>0</v>
      </c>
      <c r="P212" s="206">
        <f t="shared" si="62"/>
        <v>0</v>
      </c>
      <c r="Q212" s="206">
        <f t="shared" si="63"/>
        <v>-0.17</v>
      </c>
      <c r="R21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1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226520</v>
      </c>
      <c r="T21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227450</v>
      </c>
      <c r="U212" s="208">
        <f ca="1">IF(Tabla33610673[[#This Row],[Equity]]&lt;Tabla33610673[[#This Row],[Equity Peak]],(Tabla33610673[[#This Row],[Equity Peak]]-Tabla33610673[[#This Row],[Equity]])/Tabla33610673[[#This Row],[Equity Peak]],"")</f>
        <v>4.0888107276324465E-3</v>
      </c>
      <c r="V212" s="209">
        <f t="shared" si="64"/>
        <v>0</v>
      </c>
      <c r="W212" s="209">
        <f t="shared" si="65"/>
        <v>0</v>
      </c>
      <c r="X212" s="209">
        <f t="shared" si="66"/>
        <v>0</v>
      </c>
      <c r="Y212" s="209">
        <f t="shared" si="67"/>
        <v>0</v>
      </c>
      <c r="Z212" s="209">
        <f t="shared" si="68"/>
        <v>-0.17</v>
      </c>
      <c r="AA212" s="205">
        <f t="shared" si="69"/>
        <v>0</v>
      </c>
      <c r="AB212" s="209">
        <f t="shared" si="70"/>
        <v>0</v>
      </c>
      <c r="AC212" s="205">
        <f t="shared" si="71"/>
        <v>0</v>
      </c>
      <c r="AD212" s="210">
        <f t="shared" si="72"/>
        <v>1.7506944444467081</v>
      </c>
      <c r="AE212" s="210">
        <f t="shared" si="73"/>
        <v>0</v>
      </c>
      <c r="AF212" s="210">
        <f t="shared" si="74"/>
        <v>1.7506944444467081</v>
      </c>
      <c r="AG212" s="210">
        <f t="shared" si="75"/>
        <v>0</v>
      </c>
    </row>
    <row r="213" spans="2:33" ht="15" customHeight="1" x14ac:dyDescent="0.3">
      <c r="B213" s="196" t="s">
        <v>7</v>
      </c>
      <c r="C213" s="197" t="s">
        <v>15</v>
      </c>
      <c r="D213" s="198" t="str">
        <f t="shared" si="57"/>
        <v>C</v>
      </c>
      <c r="E213" s="199">
        <v>43658.833333333336</v>
      </c>
      <c r="F213" s="200" t="s">
        <v>121</v>
      </c>
      <c r="G213" s="201">
        <v>0.70172999999999996</v>
      </c>
      <c r="H213" s="201">
        <v>0.69896000000000003</v>
      </c>
      <c r="I213" s="202">
        <f t="shared" si="58"/>
        <v>2.7699999999999392E-3</v>
      </c>
      <c r="J213" s="201">
        <v>0.71648000000000001</v>
      </c>
      <c r="K213" s="199">
        <v>43663.706250000003</v>
      </c>
      <c r="L213" s="201">
        <v>0.69967000000000001</v>
      </c>
      <c r="M213" s="203">
        <f t="shared" si="59"/>
        <v>-2.0999999999999999E-3</v>
      </c>
      <c r="N213" s="204">
        <f t="shared" si="60"/>
        <v>-0.76</v>
      </c>
      <c r="O213" s="205">
        <f t="shared" si="61"/>
        <v>0</v>
      </c>
      <c r="P213" s="206">
        <f t="shared" si="62"/>
        <v>0</v>
      </c>
      <c r="Q213" s="206">
        <f t="shared" si="63"/>
        <v>-0.76</v>
      </c>
      <c r="R21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1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226690</v>
      </c>
      <c r="T21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227450</v>
      </c>
      <c r="U213" s="208">
        <f ca="1">IF(Tabla33610673[[#This Row],[Equity]]&lt;Tabla33610673[[#This Row],[Equity Peak]],(Tabla33610673[[#This Row],[Equity Peak]]-Tabla33610673[[#This Row],[Equity]])/Tabla33610673[[#This Row],[Equity Peak]],"")</f>
        <v>3.3413937129039349E-3</v>
      </c>
      <c r="V213" s="209">
        <f t="shared" si="64"/>
        <v>-0.76</v>
      </c>
      <c r="W213" s="209">
        <f t="shared" si="65"/>
        <v>0</v>
      </c>
      <c r="X213" s="209">
        <f t="shared" si="66"/>
        <v>0</v>
      </c>
      <c r="Y213" s="209">
        <f t="shared" si="67"/>
        <v>0</v>
      </c>
      <c r="Z213" s="209">
        <f t="shared" si="68"/>
        <v>0</v>
      </c>
      <c r="AA213" s="205">
        <f t="shared" si="69"/>
        <v>0</v>
      </c>
      <c r="AB213" s="209">
        <f t="shared" si="70"/>
        <v>0</v>
      </c>
      <c r="AC213" s="205">
        <f t="shared" si="71"/>
        <v>0</v>
      </c>
      <c r="AD213" s="210">
        <f t="shared" si="72"/>
        <v>4.8729166666671517</v>
      </c>
      <c r="AE213" s="210">
        <f t="shared" si="73"/>
        <v>0</v>
      </c>
      <c r="AF213" s="210">
        <f t="shared" si="74"/>
        <v>4.8729166666671517</v>
      </c>
      <c r="AG213" s="210">
        <f t="shared" si="75"/>
        <v>0</v>
      </c>
    </row>
    <row r="214" spans="2:33" ht="15" customHeight="1" x14ac:dyDescent="0.3">
      <c r="B214" s="196" t="s">
        <v>7</v>
      </c>
      <c r="C214" s="197" t="s">
        <v>13</v>
      </c>
      <c r="D214" s="198" t="str">
        <f t="shared" si="57"/>
        <v>C</v>
      </c>
      <c r="E214" s="199">
        <v>43657.333333333336</v>
      </c>
      <c r="F214" s="200" t="s">
        <v>120</v>
      </c>
      <c r="G214" s="201">
        <v>1.61599</v>
      </c>
      <c r="H214" s="201">
        <v>1.6205099999999999</v>
      </c>
      <c r="I214" s="202">
        <f t="shared" si="58"/>
        <v>4.5199999999998575E-3</v>
      </c>
      <c r="J214" s="201">
        <v>1.5677700000000001</v>
      </c>
      <c r="K214" s="199">
        <v>43663.60833333333</v>
      </c>
      <c r="L214" s="201">
        <v>1.60175</v>
      </c>
      <c r="M214" s="203">
        <f t="shared" si="59"/>
        <v>1.4200000000000001E-2</v>
      </c>
      <c r="N214" s="204">
        <f t="shared" si="60"/>
        <v>3.14</v>
      </c>
      <c r="O214" s="205">
        <f t="shared" si="61"/>
        <v>0</v>
      </c>
      <c r="P214" s="206">
        <f t="shared" si="62"/>
        <v>3.14</v>
      </c>
      <c r="Q214" s="206">
        <f t="shared" si="63"/>
        <v>0</v>
      </c>
      <c r="R21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1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227450</v>
      </c>
      <c r="T21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227450</v>
      </c>
      <c r="U214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214" s="209">
        <f t="shared" si="64"/>
        <v>3.14</v>
      </c>
      <c r="W214" s="209">
        <f t="shared" si="65"/>
        <v>0</v>
      </c>
      <c r="X214" s="209">
        <f t="shared" si="66"/>
        <v>0</v>
      </c>
      <c r="Y214" s="209">
        <f t="shared" si="67"/>
        <v>0</v>
      </c>
      <c r="Z214" s="209">
        <f t="shared" si="68"/>
        <v>0</v>
      </c>
      <c r="AA214" s="205">
        <f t="shared" si="69"/>
        <v>0</v>
      </c>
      <c r="AB214" s="209">
        <f t="shared" si="70"/>
        <v>0</v>
      </c>
      <c r="AC214" s="205">
        <f t="shared" si="71"/>
        <v>0</v>
      </c>
      <c r="AD214" s="210">
        <f t="shared" si="72"/>
        <v>6.2749999999941792</v>
      </c>
      <c r="AE214" s="210">
        <f t="shared" si="73"/>
        <v>6.2749999999941792</v>
      </c>
      <c r="AF214" s="210">
        <f t="shared" si="74"/>
        <v>0</v>
      </c>
      <c r="AG214" s="210">
        <f t="shared" si="75"/>
        <v>0</v>
      </c>
    </row>
    <row r="215" spans="2:33" ht="15" customHeight="1" x14ac:dyDescent="0.3">
      <c r="B215" s="196" t="s">
        <v>19</v>
      </c>
      <c r="C215" s="197" t="s">
        <v>15</v>
      </c>
      <c r="D215" s="198" t="str">
        <f t="shared" si="57"/>
        <v>C</v>
      </c>
      <c r="E215" s="199">
        <v>43654.458333333336</v>
      </c>
      <c r="F215" s="200" t="s">
        <v>108</v>
      </c>
      <c r="G215" s="201">
        <v>57.685000000000002</v>
      </c>
      <c r="H215" s="201">
        <v>56.146000000000001</v>
      </c>
      <c r="I215" s="202">
        <f t="shared" si="58"/>
        <v>1.5390000000000015</v>
      </c>
      <c r="J215" s="201">
        <v>76.155000000000001</v>
      </c>
      <c r="K215" s="199">
        <v>43662.898611111108</v>
      </c>
      <c r="L215" s="201">
        <v>57.468000000000004</v>
      </c>
      <c r="M215" s="203">
        <f t="shared" si="59"/>
        <v>-0.217</v>
      </c>
      <c r="N215" s="204">
        <f t="shared" si="60"/>
        <v>-0.14000000000000001</v>
      </c>
      <c r="O215" s="205">
        <f t="shared" si="61"/>
        <v>0</v>
      </c>
      <c r="P215" s="206">
        <f t="shared" si="62"/>
        <v>0</v>
      </c>
      <c r="Q215" s="206">
        <f t="shared" si="63"/>
        <v>-0.14000000000000001</v>
      </c>
      <c r="R21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1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224310</v>
      </c>
      <c r="T21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226080</v>
      </c>
      <c r="U215" s="208">
        <f ca="1">IF(Tabla33610673[[#This Row],[Equity]]&lt;Tabla33610673[[#This Row],[Equity Peak]],(Tabla33610673[[#This Row],[Equity Peak]]-Tabla33610673[[#This Row],[Equity]])/Tabla33610673[[#This Row],[Equity Peak]],"")</f>
        <v>7.8290870488322718E-3</v>
      </c>
      <c r="V215" s="209">
        <f t="shared" si="64"/>
        <v>0</v>
      </c>
      <c r="W215" s="209">
        <f t="shared" si="65"/>
        <v>0</v>
      </c>
      <c r="X215" s="209">
        <f t="shared" si="66"/>
        <v>-0.14000000000000001</v>
      </c>
      <c r="Y215" s="209">
        <f t="shared" si="67"/>
        <v>0</v>
      </c>
      <c r="Z215" s="209">
        <f t="shared" si="68"/>
        <v>0</v>
      </c>
      <c r="AA215" s="205">
        <f t="shared" si="69"/>
        <v>0</v>
      </c>
      <c r="AB215" s="209">
        <f t="shared" si="70"/>
        <v>0</v>
      </c>
      <c r="AC215" s="205">
        <f t="shared" si="71"/>
        <v>0</v>
      </c>
      <c r="AD215" s="210">
        <f t="shared" si="72"/>
        <v>8.4402777777722804</v>
      </c>
      <c r="AE215" s="210">
        <f t="shared" si="73"/>
        <v>0</v>
      </c>
      <c r="AF215" s="210">
        <f t="shared" si="74"/>
        <v>8.4402777777722804</v>
      </c>
      <c r="AG215" s="210">
        <f t="shared" si="75"/>
        <v>0</v>
      </c>
    </row>
    <row r="216" spans="2:33" ht="15" customHeight="1" x14ac:dyDescent="0.3">
      <c r="B216" s="196" t="s">
        <v>7</v>
      </c>
      <c r="C216" s="197" t="s">
        <v>13</v>
      </c>
      <c r="D216" s="198" t="str">
        <f t="shared" si="57"/>
        <v>C</v>
      </c>
      <c r="E216" s="199">
        <v>43661.017361111109</v>
      </c>
      <c r="F216" s="200" t="s">
        <v>113</v>
      </c>
      <c r="G216" s="201">
        <v>107.908</v>
      </c>
      <c r="H216" s="201">
        <v>108.571</v>
      </c>
      <c r="I216" s="202">
        <f t="shared" si="58"/>
        <v>0.6629999999999967</v>
      </c>
      <c r="J216" s="201">
        <v>104.815</v>
      </c>
      <c r="K216" s="199">
        <v>43662.581250000003</v>
      </c>
      <c r="L216" s="201">
        <v>108.143</v>
      </c>
      <c r="M216" s="203">
        <f t="shared" si="59"/>
        <v>-0.23499999999999999</v>
      </c>
      <c r="N216" s="204">
        <f t="shared" si="60"/>
        <v>-0.35</v>
      </c>
      <c r="O216" s="205">
        <f t="shared" si="61"/>
        <v>0</v>
      </c>
      <c r="P216" s="206">
        <f t="shared" si="62"/>
        <v>0</v>
      </c>
      <c r="Q216" s="206">
        <f t="shared" si="63"/>
        <v>-0.35</v>
      </c>
      <c r="R21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1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224450</v>
      </c>
      <c r="T21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226080</v>
      </c>
      <c r="U216" s="208">
        <f ca="1">IF(Tabla33610673[[#This Row],[Equity]]&lt;Tabla33610673[[#This Row],[Equity Peak]],(Tabla33610673[[#This Row],[Equity Peak]]-Tabla33610673[[#This Row],[Equity]])/Tabla33610673[[#This Row],[Equity Peak]],"")</f>
        <v>7.2098372257607931E-3</v>
      </c>
      <c r="V216" s="209">
        <f t="shared" si="64"/>
        <v>-0.35</v>
      </c>
      <c r="W216" s="209">
        <f t="shared" si="65"/>
        <v>0</v>
      </c>
      <c r="X216" s="209">
        <f t="shared" si="66"/>
        <v>0</v>
      </c>
      <c r="Y216" s="209">
        <f t="shared" si="67"/>
        <v>0</v>
      </c>
      <c r="Z216" s="209">
        <f t="shared" si="68"/>
        <v>0</v>
      </c>
      <c r="AA216" s="205">
        <f t="shared" si="69"/>
        <v>0</v>
      </c>
      <c r="AB216" s="209">
        <f t="shared" si="70"/>
        <v>0</v>
      </c>
      <c r="AC216" s="205">
        <f t="shared" si="71"/>
        <v>0</v>
      </c>
      <c r="AD216" s="210">
        <f t="shared" si="72"/>
        <v>1.5638888888934162</v>
      </c>
      <c r="AE216" s="210">
        <f t="shared" si="73"/>
        <v>0</v>
      </c>
      <c r="AF216" s="210">
        <f t="shared" si="74"/>
        <v>1.5638888888934162</v>
      </c>
      <c r="AG216" s="210">
        <f t="shared" si="75"/>
        <v>0</v>
      </c>
    </row>
    <row r="217" spans="2:33" ht="15" customHeight="1" x14ac:dyDescent="0.3">
      <c r="B217" s="196" t="s">
        <v>7</v>
      </c>
      <c r="C217" s="197" t="s">
        <v>13</v>
      </c>
      <c r="D217" s="198" t="str">
        <f t="shared" si="57"/>
        <v>C</v>
      </c>
      <c r="E217" s="199">
        <v>43641.666666666664</v>
      </c>
      <c r="F217" s="200" t="s">
        <v>116</v>
      </c>
      <c r="G217" s="201">
        <v>1.8263100000000001</v>
      </c>
      <c r="H217" s="201">
        <v>1.8390899999999999</v>
      </c>
      <c r="I217" s="202">
        <f t="shared" si="58"/>
        <v>1.2779999999999792E-2</v>
      </c>
      <c r="J217" s="201">
        <v>1.7837000000000001</v>
      </c>
      <c r="K217" s="199">
        <v>43661.576388888891</v>
      </c>
      <c r="L217" s="201">
        <v>1.7837000000000001</v>
      </c>
      <c r="M217" s="203">
        <f t="shared" si="59"/>
        <v>4.2599999999999999E-2</v>
      </c>
      <c r="N217" s="204">
        <f t="shared" si="60"/>
        <v>3.33</v>
      </c>
      <c r="O217" s="205">
        <f t="shared" si="61"/>
        <v>0</v>
      </c>
      <c r="P217" s="206">
        <f t="shared" si="62"/>
        <v>3.33</v>
      </c>
      <c r="Q217" s="206">
        <f t="shared" si="63"/>
        <v>0</v>
      </c>
      <c r="R21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1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224800</v>
      </c>
      <c r="T21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226080</v>
      </c>
      <c r="U217" s="208">
        <f ca="1">IF(Tabla33610673[[#This Row],[Equity]]&lt;Tabla33610673[[#This Row],[Equity Peak]],(Tabla33610673[[#This Row],[Equity Peak]]-Tabla33610673[[#This Row],[Equity]])/Tabla33610673[[#This Row],[Equity Peak]],"")</f>
        <v>5.661712668082095E-3</v>
      </c>
      <c r="V217" s="209">
        <f t="shared" si="64"/>
        <v>3.33</v>
      </c>
      <c r="W217" s="209">
        <f t="shared" si="65"/>
        <v>0</v>
      </c>
      <c r="X217" s="209">
        <f t="shared" si="66"/>
        <v>0</v>
      </c>
      <c r="Y217" s="209">
        <f t="shared" si="67"/>
        <v>0</v>
      </c>
      <c r="Z217" s="209">
        <f t="shared" si="68"/>
        <v>0</v>
      </c>
      <c r="AA217" s="205">
        <f t="shared" si="69"/>
        <v>0</v>
      </c>
      <c r="AB217" s="209">
        <f t="shared" si="70"/>
        <v>0</v>
      </c>
      <c r="AC217" s="205">
        <f t="shared" si="71"/>
        <v>0</v>
      </c>
      <c r="AD217" s="210">
        <f t="shared" si="72"/>
        <v>19.909722222226264</v>
      </c>
      <c r="AE217" s="210">
        <f t="shared" si="73"/>
        <v>19.909722222226264</v>
      </c>
      <c r="AF217" s="210">
        <f t="shared" si="74"/>
        <v>0</v>
      </c>
      <c r="AG217" s="210">
        <f t="shared" si="75"/>
        <v>0</v>
      </c>
    </row>
    <row r="218" spans="2:33" ht="15" customHeight="1" x14ac:dyDescent="0.3">
      <c r="B218" s="196" t="s">
        <v>5</v>
      </c>
      <c r="C218" s="197" t="s">
        <v>13</v>
      </c>
      <c r="D218" s="198" t="str">
        <f t="shared" si="57"/>
        <v>C</v>
      </c>
      <c r="E218" s="199">
        <v>43658.833333333336</v>
      </c>
      <c r="F218" s="200" t="s">
        <v>94</v>
      </c>
      <c r="G218" s="201">
        <v>7499.1</v>
      </c>
      <c r="H218" s="201">
        <v>7543.53</v>
      </c>
      <c r="I218" s="202">
        <f t="shared" si="58"/>
        <v>44.429999999999382</v>
      </c>
      <c r="J218" s="201">
        <v>7276.97</v>
      </c>
      <c r="K218" s="199">
        <v>43661.380555555559</v>
      </c>
      <c r="L218" s="201">
        <v>7514.3</v>
      </c>
      <c r="M218" s="203">
        <f t="shared" si="59"/>
        <v>-15.2</v>
      </c>
      <c r="N218" s="204">
        <f t="shared" si="60"/>
        <v>-0.34</v>
      </c>
      <c r="O218" s="205">
        <f t="shared" si="61"/>
        <v>0</v>
      </c>
      <c r="P218" s="206">
        <f t="shared" si="62"/>
        <v>0</v>
      </c>
      <c r="Q218" s="206">
        <f t="shared" si="63"/>
        <v>-0.34</v>
      </c>
      <c r="R21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1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221470</v>
      </c>
      <c r="T21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226080</v>
      </c>
      <c r="U218" s="208">
        <f ca="1">IF(Tabla33610673[[#This Row],[Equity]]&lt;Tabla33610673[[#This Row],[Equity Peak]],(Tabla33610673[[#This Row],[Equity Peak]]-Tabla33610673[[#This Row],[Equity]])/Tabla33610673[[#This Row],[Equity Peak]],"")</f>
        <v>2.0391012031139421E-2</v>
      </c>
      <c r="V218" s="209">
        <f t="shared" si="64"/>
        <v>0</v>
      </c>
      <c r="W218" s="209">
        <f t="shared" si="65"/>
        <v>0</v>
      </c>
      <c r="X218" s="209">
        <f t="shared" si="66"/>
        <v>0</v>
      </c>
      <c r="Y218" s="209">
        <f t="shared" si="67"/>
        <v>0</v>
      </c>
      <c r="Z218" s="209">
        <f t="shared" si="68"/>
        <v>-0.34</v>
      </c>
      <c r="AA218" s="205">
        <f t="shared" si="69"/>
        <v>0</v>
      </c>
      <c r="AB218" s="209">
        <f t="shared" si="70"/>
        <v>0</v>
      </c>
      <c r="AC218" s="205">
        <f t="shared" si="71"/>
        <v>0</v>
      </c>
      <c r="AD218" s="210">
        <f t="shared" si="72"/>
        <v>2.547222222223354</v>
      </c>
      <c r="AE218" s="210">
        <f t="shared" si="73"/>
        <v>0</v>
      </c>
      <c r="AF218" s="210">
        <f t="shared" si="74"/>
        <v>2.547222222223354</v>
      </c>
      <c r="AG218" s="210">
        <f t="shared" si="75"/>
        <v>0</v>
      </c>
    </row>
    <row r="219" spans="2:33" ht="15" customHeight="1" x14ac:dyDescent="0.3">
      <c r="B219" s="196" t="s">
        <v>84</v>
      </c>
      <c r="C219" s="197" t="s">
        <v>15</v>
      </c>
      <c r="D219" s="198" t="str">
        <f t="shared" si="57"/>
        <v>C</v>
      </c>
      <c r="E219" s="199">
        <v>43661.017361111109</v>
      </c>
      <c r="F219" s="200" t="s">
        <v>80</v>
      </c>
      <c r="G219" s="201">
        <v>10603.12</v>
      </c>
      <c r="H219" s="201">
        <v>9540.98</v>
      </c>
      <c r="I219" s="202">
        <f t="shared" si="58"/>
        <v>1062.1400000000012</v>
      </c>
      <c r="J219" s="201">
        <v>26535.16</v>
      </c>
      <c r="K219" s="199">
        <v>43661.077777777777</v>
      </c>
      <c r="L219" s="201">
        <v>10280.42</v>
      </c>
      <c r="M219" s="203">
        <f t="shared" si="59"/>
        <v>-322.7</v>
      </c>
      <c r="N219" s="204">
        <f t="shared" si="60"/>
        <v>-0.3</v>
      </c>
      <c r="O219" s="205">
        <f t="shared" si="61"/>
        <v>0</v>
      </c>
      <c r="P219" s="206">
        <f t="shared" si="62"/>
        <v>0</v>
      </c>
      <c r="Q219" s="206">
        <f t="shared" si="63"/>
        <v>-0.3</v>
      </c>
      <c r="R21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1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221810</v>
      </c>
      <c r="T21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226080</v>
      </c>
      <c r="U219" s="208">
        <f ca="1">IF(Tabla33610673[[#This Row],[Equity]]&lt;Tabla33610673[[#This Row],[Equity Peak]],(Tabla33610673[[#This Row],[Equity Peak]]-Tabla33610673[[#This Row],[Equity]])/Tabla33610673[[#This Row],[Equity Peak]],"")</f>
        <v>1.8887119603680114E-2</v>
      </c>
      <c r="V219" s="209">
        <f t="shared" si="64"/>
        <v>0</v>
      </c>
      <c r="W219" s="209">
        <f t="shared" si="65"/>
        <v>0</v>
      </c>
      <c r="X219" s="209">
        <f t="shared" si="66"/>
        <v>0</v>
      </c>
      <c r="Y219" s="209">
        <f t="shared" si="67"/>
        <v>0</v>
      </c>
      <c r="Z219" s="209">
        <f t="shared" si="68"/>
        <v>0</v>
      </c>
      <c r="AA219" s="205">
        <f t="shared" si="69"/>
        <v>0</v>
      </c>
      <c r="AB219" s="209">
        <f t="shared" si="70"/>
        <v>-0.3</v>
      </c>
      <c r="AC219" s="205">
        <f t="shared" si="71"/>
        <v>0</v>
      </c>
      <c r="AD219" s="210">
        <f t="shared" si="72"/>
        <v>6.0416666667151731E-2</v>
      </c>
      <c r="AE219" s="210">
        <f t="shared" si="73"/>
        <v>0</v>
      </c>
      <c r="AF219" s="210">
        <f t="shared" si="74"/>
        <v>6.0416666667151731E-2</v>
      </c>
      <c r="AG219" s="210">
        <f t="shared" si="75"/>
        <v>0</v>
      </c>
    </row>
    <row r="220" spans="2:33" ht="15" customHeight="1" x14ac:dyDescent="0.3">
      <c r="B220" s="196" t="s">
        <v>84</v>
      </c>
      <c r="C220" s="197" t="s">
        <v>15</v>
      </c>
      <c r="D220" s="198" t="str">
        <f t="shared" si="57"/>
        <v>C</v>
      </c>
      <c r="E220" s="199">
        <v>43649.166666666664</v>
      </c>
      <c r="F220" s="200" t="s">
        <v>80</v>
      </c>
      <c r="G220" s="201">
        <v>11243.6</v>
      </c>
      <c r="H220" s="201">
        <v>9975.2999999999993</v>
      </c>
      <c r="I220" s="202">
        <f t="shared" si="58"/>
        <v>1268.3000000000011</v>
      </c>
      <c r="J220" s="201">
        <v>30268.16</v>
      </c>
      <c r="K220" s="199">
        <v>43661.017361111109</v>
      </c>
      <c r="L220" s="201">
        <v>10603.12</v>
      </c>
      <c r="M220" s="203">
        <f t="shared" si="59"/>
        <v>-640.48</v>
      </c>
      <c r="N220" s="204">
        <f t="shared" si="60"/>
        <v>-0.5</v>
      </c>
      <c r="O220" s="205">
        <f t="shared" si="61"/>
        <v>0</v>
      </c>
      <c r="P220" s="206">
        <f t="shared" si="62"/>
        <v>0</v>
      </c>
      <c r="Q220" s="206">
        <f t="shared" si="63"/>
        <v>-0.5</v>
      </c>
      <c r="R22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2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222110</v>
      </c>
      <c r="T22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226080</v>
      </c>
      <c r="U220" s="208">
        <f ca="1">IF(Tabla33610673[[#This Row],[Equity]]&lt;Tabla33610673[[#This Row],[Equity Peak]],(Tabla33610673[[#This Row],[Equity Peak]]-Tabla33610673[[#This Row],[Equity]])/Tabla33610673[[#This Row],[Equity Peak]],"")</f>
        <v>1.7560155697098373E-2</v>
      </c>
      <c r="V220" s="209">
        <f t="shared" si="64"/>
        <v>0</v>
      </c>
      <c r="W220" s="209">
        <f t="shared" si="65"/>
        <v>0</v>
      </c>
      <c r="X220" s="209">
        <f t="shared" si="66"/>
        <v>0</v>
      </c>
      <c r="Y220" s="209">
        <f t="shared" si="67"/>
        <v>0</v>
      </c>
      <c r="Z220" s="209">
        <f t="shared" si="68"/>
        <v>0</v>
      </c>
      <c r="AA220" s="205">
        <f t="shared" si="69"/>
        <v>0</v>
      </c>
      <c r="AB220" s="209">
        <f t="shared" si="70"/>
        <v>-0.5</v>
      </c>
      <c r="AC220" s="205">
        <f t="shared" si="71"/>
        <v>0</v>
      </c>
      <c r="AD220" s="210">
        <f t="shared" si="72"/>
        <v>11.850694444445253</v>
      </c>
      <c r="AE220" s="210">
        <f t="shared" si="73"/>
        <v>0</v>
      </c>
      <c r="AF220" s="210">
        <f t="shared" si="74"/>
        <v>11.850694444445253</v>
      </c>
      <c r="AG220" s="210">
        <f t="shared" si="75"/>
        <v>0</v>
      </c>
    </row>
    <row r="221" spans="2:33" ht="15" customHeight="1" x14ac:dyDescent="0.3">
      <c r="B221" s="196" t="s">
        <v>7</v>
      </c>
      <c r="C221" s="197" t="s">
        <v>15</v>
      </c>
      <c r="D221" s="198" t="str">
        <f t="shared" si="57"/>
        <v>C</v>
      </c>
      <c r="E221" s="199">
        <v>43658.166666666664</v>
      </c>
      <c r="F221" s="200" t="s">
        <v>118</v>
      </c>
      <c r="G221" s="201">
        <v>122.193</v>
      </c>
      <c r="H221" s="201">
        <v>121.70399999999999</v>
      </c>
      <c r="I221" s="202">
        <f t="shared" si="58"/>
        <v>0.48900000000000432</v>
      </c>
      <c r="J221" s="201">
        <v>124.149</v>
      </c>
      <c r="K221" s="199">
        <v>43658.609722222223</v>
      </c>
      <c r="L221" s="201">
        <v>121.70399999999999</v>
      </c>
      <c r="M221" s="203">
        <f t="shared" si="59"/>
        <v>-0.48899999999999999</v>
      </c>
      <c r="N221" s="204">
        <f t="shared" si="60"/>
        <v>-1</v>
      </c>
      <c r="O221" s="205">
        <f t="shared" si="61"/>
        <v>0</v>
      </c>
      <c r="P221" s="206">
        <f t="shared" si="62"/>
        <v>0</v>
      </c>
      <c r="Q221" s="206">
        <f t="shared" si="63"/>
        <v>-1</v>
      </c>
      <c r="R22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2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222610</v>
      </c>
      <c r="T22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226080</v>
      </c>
      <c r="U221" s="208">
        <f ca="1">IF(Tabla33610673[[#This Row],[Equity]]&lt;Tabla33610673[[#This Row],[Equity Peak]],(Tabla33610673[[#This Row],[Equity Peak]]-Tabla33610673[[#This Row],[Equity]])/Tabla33610673[[#This Row],[Equity Peak]],"")</f>
        <v>1.5348549186128805E-2</v>
      </c>
      <c r="V221" s="209">
        <f t="shared" si="64"/>
        <v>-1</v>
      </c>
      <c r="W221" s="209">
        <f t="shared" si="65"/>
        <v>0</v>
      </c>
      <c r="X221" s="209">
        <f t="shared" si="66"/>
        <v>0</v>
      </c>
      <c r="Y221" s="209">
        <f t="shared" si="67"/>
        <v>0</v>
      </c>
      <c r="Z221" s="209">
        <f t="shared" si="68"/>
        <v>0</v>
      </c>
      <c r="AA221" s="205">
        <f t="shared" si="69"/>
        <v>0</v>
      </c>
      <c r="AB221" s="209">
        <f t="shared" si="70"/>
        <v>0</v>
      </c>
      <c r="AC221" s="205">
        <f t="shared" si="71"/>
        <v>0</v>
      </c>
      <c r="AD221" s="210">
        <f t="shared" si="72"/>
        <v>0.44305555555911269</v>
      </c>
      <c r="AE221" s="210">
        <f t="shared" si="73"/>
        <v>0</v>
      </c>
      <c r="AF221" s="210">
        <f t="shared" si="74"/>
        <v>0.44305555555911269</v>
      </c>
      <c r="AG221" s="210">
        <f t="shared" si="75"/>
        <v>0</v>
      </c>
    </row>
    <row r="222" spans="2:33" ht="15" customHeight="1" x14ac:dyDescent="0.3">
      <c r="B222" s="196" t="s">
        <v>7</v>
      </c>
      <c r="C222" s="197" t="s">
        <v>13</v>
      </c>
      <c r="D222" s="198" t="str">
        <f t="shared" si="57"/>
        <v>C</v>
      </c>
      <c r="E222" s="199">
        <v>43657.017361111109</v>
      </c>
      <c r="F222" s="200" t="s">
        <v>118</v>
      </c>
      <c r="G222" s="201">
        <v>122.05</v>
      </c>
      <c r="H222" s="201">
        <v>122.48699999999999</v>
      </c>
      <c r="I222" s="202">
        <f t="shared" si="58"/>
        <v>0.43699999999999761</v>
      </c>
      <c r="J222" s="201">
        <v>120.301</v>
      </c>
      <c r="K222" s="199">
        <v>43658.166666666664</v>
      </c>
      <c r="L222" s="201">
        <v>122.193</v>
      </c>
      <c r="M222" s="203">
        <f t="shared" si="59"/>
        <v>-0.14299999999999999</v>
      </c>
      <c r="N222" s="204">
        <f t="shared" si="60"/>
        <v>-0.33</v>
      </c>
      <c r="O222" s="205">
        <f t="shared" si="61"/>
        <v>0</v>
      </c>
      <c r="P222" s="206">
        <f t="shared" si="62"/>
        <v>0</v>
      </c>
      <c r="Q222" s="206">
        <f t="shared" si="63"/>
        <v>-0.33</v>
      </c>
      <c r="R22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2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223610</v>
      </c>
      <c r="T22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226080</v>
      </c>
      <c r="U222" s="208">
        <f ca="1">IF(Tabla33610673[[#This Row],[Equity]]&lt;Tabla33610673[[#This Row],[Equity Peak]],(Tabla33610673[[#This Row],[Equity Peak]]-Tabla33610673[[#This Row],[Equity]])/Tabla33610673[[#This Row],[Equity Peak]],"")</f>
        <v>1.0925336164189668E-2</v>
      </c>
      <c r="V222" s="209">
        <f t="shared" si="64"/>
        <v>-0.33</v>
      </c>
      <c r="W222" s="209">
        <f t="shared" si="65"/>
        <v>0</v>
      </c>
      <c r="X222" s="209">
        <f t="shared" si="66"/>
        <v>0</v>
      </c>
      <c r="Y222" s="209">
        <f t="shared" si="67"/>
        <v>0</v>
      </c>
      <c r="Z222" s="209">
        <f t="shared" si="68"/>
        <v>0</v>
      </c>
      <c r="AA222" s="205">
        <f t="shared" si="69"/>
        <v>0</v>
      </c>
      <c r="AB222" s="209">
        <f t="shared" si="70"/>
        <v>0</v>
      </c>
      <c r="AC222" s="205">
        <f t="shared" si="71"/>
        <v>0</v>
      </c>
      <c r="AD222" s="210">
        <f t="shared" si="72"/>
        <v>1.1493055555547471</v>
      </c>
      <c r="AE222" s="210">
        <f t="shared" si="73"/>
        <v>0</v>
      </c>
      <c r="AF222" s="210">
        <f t="shared" si="74"/>
        <v>1.1493055555547471</v>
      </c>
      <c r="AG222" s="210">
        <f t="shared" si="75"/>
        <v>0</v>
      </c>
    </row>
    <row r="223" spans="2:33" ht="15" customHeight="1" x14ac:dyDescent="0.3">
      <c r="B223" s="196" t="s">
        <v>19</v>
      </c>
      <c r="C223" s="197" t="s">
        <v>15</v>
      </c>
      <c r="D223" s="198" t="str">
        <f t="shared" si="57"/>
        <v>C</v>
      </c>
      <c r="E223" s="199">
        <v>43656.875</v>
      </c>
      <c r="F223" s="200" t="s">
        <v>88</v>
      </c>
      <c r="G223" s="201">
        <v>1413.16</v>
      </c>
      <c r="H223" s="201">
        <v>1393.67</v>
      </c>
      <c r="I223" s="202">
        <f t="shared" si="58"/>
        <v>19.490000000000009</v>
      </c>
      <c r="J223" s="201">
        <v>1537.87</v>
      </c>
      <c r="K223" s="199">
        <v>43657.977777777778</v>
      </c>
      <c r="L223" s="201">
        <v>1403.07</v>
      </c>
      <c r="M223" s="203">
        <f t="shared" si="59"/>
        <v>-10.09</v>
      </c>
      <c r="N223" s="204">
        <f t="shared" si="60"/>
        <v>-0.52</v>
      </c>
      <c r="O223" s="205">
        <f t="shared" si="61"/>
        <v>0</v>
      </c>
      <c r="P223" s="206">
        <f t="shared" si="62"/>
        <v>0</v>
      </c>
      <c r="Q223" s="206">
        <f t="shared" si="63"/>
        <v>-0.52</v>
      </c>
      <c r="R22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2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223940</v>
      </c>
      <c r="T22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226080</v>
      </c>
      <c r="U223" s="208">
        <f ca="1">IF(Tabla33610673[[#This Row],[Equity]]&lt;Tabla33610673[[#This Row],[Equity Peak]],(Tabla33610673[[#This Row],[Equity Peak]]-Tabla33610673[[#This Row],[Equity]])/Tabla33610673[[#This Row],[Equity Peak]],"")</f>
        <v>9.4656758669497531E-3</v>
      </c>
      <c r="V223" s="209">
        <f t="shared" si="64"/>
        <v>0</v>
      </c>
      <c r="W223" s="209">
        <f t="shared" si="65"/>
        <v>0</v>
      </c>
      <c r="X223" s="209">
        <f t="shared" si="66"/>
        <v>-0.52</v>
      </c>
      <c r="Y223" s="209">
        <f t="shared" si="67"/>
        <v>0</v>
      </c>
      <c r="Z223" s="209">
        <f t="shared" si="68"/>
        <v>0</v>
      </c>
      <c r="AA223" s="205">
        <f t="shared" si="69"/>
        <v>0</v>
      </c>
      <c r="AB223" s="209">
        <f t="shared" si="70"/>
        <v>0</v>
      </c>
      <c r="AC223" s="205">
        <f t="shared" si="71"/>
        <v>0</v>
      </c>
      <c r="AD223" s="210">
        <f t="shared" si="72"/>
        <v>1.1027777777781012</v>
      </c>
      <c r="AE223" s="210">
        <f t="shared" si="73"/>
        <v>0</v>
      </c>
      <c r="AF223" s="210">
        <f t="shared" si="74"/>
        <v>1.1027777777781012</v>
      </c>
      <c r="AG223" s="210">
        <f t="shared" si="75"/>
        <v>0</v>
      </c>
    </row>
    <row r="224" spans="2:33" ht="15" customHeight="1" x14ac:dyDescent="0.3">
      <c r="B224" s="196" t="s">
        <v>19</v>
      </c>
      <c r="C224" s="197" t="s">
        <v>13</v>
      </c>
      <c r="D224" s="198" t="str">
        <f t="shared" si="57"/>
        <v>C</v>
      </c>
      <c r="E224" s="199">
        <v>43654.708333333336</v>
      </c>
      <c r="F224" s="200" t="s">
        <v>89</v>
      </c>
      <c r="G224" s="201">
        <v>15.073</v>
      </c>
      <c r="H224" s="201">
        <v>15.324999999999999</v>
      </c>
      <c r="I224" s="202">
        <f t="shared" si="58"/>
        <v>0.25199999999999889</v>
      </c>
      <c r="J224" s="201">
        <v>13.865</v>
      </c>
      <c r="K224" s="199">
        <v>43657.375</v>
      </c>
      <c r="L224" s="201">
        <v>15.272</v>
      </c>
      <c r="M224" s="203">
        <f t="shared" si="59"/>
        <v>-0.19900000000000001</v>
      </c>
      <c r="N224" s="204">
        <f t="shared" si="60"/>
        <v>-0.79</v>
      </c>
      <c r="O224" s="205">
        <f t="shared" si="61"/>
        <v>0</v>
      </c>
      <c r="P224" s="206">
        <f t="shared" si="62"/>
        <v>0</v>
      </c>
      <c r="Q224" s="206">
        <f t="shared" si="63"/>
        <v>-0.79</v>
      </c>
      <c r="R22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2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224460</v>
      </c>
      <c r="T22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226080</v>
      </c>
      <c r="U224" s="208">
        <f ca="1">IF(Tabla33610673[[#This Row],[Equity]]&lt;Tabla33610673[[#This Row],[Equity Peak]],(Tabla33610673[[#This Row],[Equity Peak]]-Tabla33610673[[#This Row],[Equity]])/Tabla33610673[[#This Row],[Equity Peak]],"")</f>
        <v>7.1656050955414014E-3</v>
      </c>
      <c r="V224" s="209">
        <f t="shared" si="64"/>
        <v>0</v>
      </c>
      <c r="W224" s="209">
        <f t="shared" si="65"/>
        <v>0</v>
      </c>
      <c r="X224" s="209">
        <f t="shared" si="66"/>
        <v>-0.79</v>
      </c>
      <c r="Y224" s="209">
        <f t="shared" si="67"/>
        <v>0</v>
      </c>
      <c r="Z224" s="209">
        <f t="shared" si="68"/>
        <v>0</v>
      </c>
      <c r="AA224" s="205">
        <f t="shared" si="69"/>
        <v>0</v>
      </c>
      <c r="AB224" s="209">
        <f t="shared" si="70"/>
        <v>0</v>
      </c>
      <c r="AC224" s="205">
        <f t="shared" si="71"/>
        <v>0</v>
      </c>
      <c r="AD224" s="210">
        <f t="shared" si="72"/>
        <v>2.6666666666642413</v>
      </c>
      <c r="AE224" s="210">
        <f t="shared" si="73"/>
        <v>0</v>
      </c>
      <c r="AF224" s="210">
        <f t="shared" si="74"/>
        <v>2.6666666666642413</v>
      </c>
      <c r="AG224" s="210">
        <f t="shared" si="75"/>
        <v>0</v>
      </c>
    </row>
    <row r="225" spans="2:33" ht="15" customHeight="1" x14ac:dyDescent="0.3">
      <c r="B225" s="196" t="s">
        <v>7</v>
      </c>
      <c r="C225" s="197" t="s">
        <v>13</v>
      </c>
      <c r="D225" s="198" t="str">
        <f t="shared" si="57"/>
        <v>C</v>
      </c>
      <c r="E225" s="199">
        <v>43647.833333333336</v>
      </c>
      <c r="F225" s="200" t="s">
        <v>114</v>
      </c>
      <c r="G225" s="201">
        <v>1.2635799999999999</v>
      </c>
      <c r="H225" s="201">
        <v>1.27128</v>
      </c>
      <c r="I225" s="202">
        <f t="shared" si="58"/>
        <v>7.7000000000000401E-3</v>
      </c>
      <c r="J225" s="201">
        <v>1.2327699999999999</v>
      </c>
      <c r="K225" s="199">
        <v>43657.368750000001</v>
      </c>
      <c r="L225" s="201">
        <v>1.2539400000000001</v>
      </c>
      <c r="M225" s="203">
        <f t="shared" si="59"/>
        <v>9.5999999999999992E-3</v>
      </c>
      <c r="N225" s="204">
        <f t="shared" si="60"/>
        <v>1.25</v>
      </c>
      <c r="O225" s="205">
        <f t="shared" si="61"/>
        <v>0</v>
      </c>
      <c r="P225" s="206">
        <f t="shared" si="62"/>
        <v>1.25</v>
      </c>
      <c r="Q225" s="206">
        <f t="shared" si="63"/>
        <v>0</v>
      </c>
      <c r="R22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2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225250</v>
      </c>
      <c r="T22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226080</v>
      </c>
      <c r="U225" s="208">
        <f ca="1">IF(Tabla33610673[[#This Row],[Equity]]&lt;Tabla33610673[[#This Row],[Equity Peak]],(Tabla33610673[[#This Row],[Equity Peak]]-Tabla33610673[[#This Row],[Equity]])/Tabla33610673[[#This Row],[Equity Peak]],"")</f>
        <v>3.6712668082094836E-3</v>
      </c>
      <c r="V225" s="209">
        <f t="shared" si="64"/>
        <v>1.25</v>
      </c>
      <c r="W225" s="209">
        <f t="shared" si="65"/>
        <v>0</v>
      </c>
      <c r="X225" s="209">
        <f t="shared" si="66"/>
        <v>0</v>
      </c>
      <c r="Y225" s="209">
        <f t="shared" si="67"/>
        <v>0</v>
      </c>
      <c r="Z225" s="209">
        <f t="shared" si="68"/>
        <v>0</v>
      </c>
      <c r="AA225" s="205">
        <f t="shared" si="69"/>
        <v>0</v>
      </c>
      <c r="AB225" s="209">
        <f t="shared" si="70"/>
        <v>0</v>
      </c>
      <c r="AC225" s="205">
        <f t="shared" si="71"/>
        <v>0</v>
      </c>
      <c r="AD225" s="210">
        <f t="shared" si="72"/>
        <v>9.5354166666656965</v>
      </c>
      <c r="AE225" s="210">
        <f t="shared" si="73"/>
        <v>9.5354166666656965</v>
      </c>
      <c r="AF225" s="210">
        <f t="shared" si="74"/>
        <v>0</v>
      </c>
      <c r="AG225" s="210">
        <f t="shared" si="75"/>
        <v>0</v>
      </c>
    </row>
    <row r="226" spans="2:33" ht="15" customHeight="1" x14ac:dyDescent="0.3">
      <c r="B226" s="196" t="s">
        <v>7</v>
      </c>
      <c r="C226" s="197" t="s">
        <v>15</v>
      </c>
      <c r="D226" s="198" t="str">
        <f t="shared" si="57"/>
        <v>C</v>
      </c>
      <c r="E226" s="199">
        <v>43656.5</v>
      </c>
      <c r="F226" s="200" t="s">
        <v>118</v>
      </c>
      <c r="G226" s="201">
        <v>122.3</v>
      </c>
      <c r="H226" s="201">
        <v>121.842</v>
      </c>
      <c r="I226" s="202">
        <f t="shared" si="58"/>
        <v>0.45799999999999841</v>
      </c>
      <c r="J226" s="201">
        <v>124.13200000000001</v>
      </c>
      <c r="K226" s="199">
        <v>43657.017361111109</v>
      </c>
      <c r="L226" s="201">
        <v>122.05</v>
      </c>
      <c r="M226" s="203">
        <f t="shared" si="59"/>
        <v>-0.25</v>
      </c>
      <c r="N226" s="204">
        <f t="shared" si="60"/>
        <v>-0.55000000000000004</v>
      </c>
      <c r="O226" s="205">
        <f t="shared" si="61"/>
        <v>0</v>
      </c>
      <c r="P226" s="206">
        <f t="shared" si="62"/>
        <v>0</v>
      </c>
      <c r="Q226" s="206">
        <f t="shared" si="63"/>
        <v>-0.55000000000000004</v>
      </c>
      <c r="R22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2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224000</v>
      </c>
      <c r="T22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226080</v>
      </c>
      <c r="U226" s="208">
        <f ca="1">IF(Tabla33610673[[#This Row],[Equity]]&lt;Tabla33610673[[#This Row],[Equity Peak]],(Tabla33610673[[#This Row],[Equity Peak]]-Tabla33610673[[#This Row],[Equity]])/Tabla33610673[[#This Row],[Equity Peak]],"")</f>
        <v>9.200283085633405E-3</v>
      </c>
      <c r="V226" s="209">
        <f t="shared" si="64"/>
        <v>-0.55000000000000004</v>
      </c>
      <c r="W226" s="209">
        <f t="shared" si="65"/>
        <v>0</v>
      </c>
      <c r="X226" s="209">
        <f t="shared" si="66"/>
        <v>0</v>
      </c>
      <c r="Y226" s="209">
        <f t="shared" si="67"/>
        <v>0</v>
      </c>
      <c r="Z226" s="209">
        <f t="shared" si="68"/>
        <v>0</v>
      </c>
      <c r="AA226" s="205">
        <f t="shared" si="69"/>
        <v>0</v>
      </c>
      <c r="AB226" s="209">
        <f t="shared" si="70"/>
        <v>0</v>
      </c>
      <c r="AC226" s="205">
        <f t="shared" si="71"/>
        <v>0</v>
      </c>
      <c r="AD226" s="210">
        <f t="shared" si="72"/>
        <v>0.51736111110949423</v>
      </c>
      <c r="AE226" s="210">
        <f t="shared" si="73"/>
        <v>0</v>
      </c>
      <c r="AF226" s="210">
        <f t="shared" si="74"/>
        <v>0.51736111110949423</v>
      </c>
      <c r="AG226" s="210">
        <f t="shared" si="75"/>
        <v>0</v>
      </c>
    </row>
    <row r="227" spans="2:33" ht="15" customHeight="1" x14ac:dyDescent="0.3">
      <c r="B227" s="196" t="s">
        <v>7</v>
      </c>
      <c r="C227" s="197" t="s">
        <v>13</v>
      </c>
      <c r="D227" s="198" t="str">
        <f t="shared" si="57"/>
        <v>C</v>
      </c>
      <c r="E227" s="199">
        <v>43655.666666666664</v>
      </c>
      <c r="F227" s="200" t="s">
        <v>121</v>
      </c>
      <c r="G227" s="201">
        <v>0.69374999999999998</v>
      </c>
      <c r="H227" s="201">
        <v>0.69621</v>
      </c>
      <c r="I227" s="202">
        <f t="shared" si="58"/>
        <v>2.4600000000000177E-3</v>
      </c>
      <c r="J227" s="201">
        <v>0.68064999999999998</v>
      </c>
      <c r="K227" s="199">
        <v>43656.60833333333</v>
      </c>
      <c r="L227" s="201">
        <v>0.69577</v>
      </c>
      <c r="M227" s="203">
        <f t="shared" si="59"/>
        <v>-2E-3</v>
      </c>
      <c r="N227" s="204">
        <f t="shared" si="60"/>
        <v>-0.81</v>
      </c>
      <c r="O227" s="205">
        <f t="shared" si="61"/>
        <v>0</v>
      </c>
      <c r="P227" s="206">
        <f t="shared" si="62"/>
        <v>0</v>
      </c>
      <c r="Q227" s="206">
        <f t="shared" si="63"/>
        <v>-0.81</v>
      </c>
      <c r="R22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2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224550</v>
      </c>
      <c r="T22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226080</v>
      </c>
      <c r="U227" s="208">
        <f ca="1">IF(Tabla33610673[[#This Row],[Equity]]&lt;Tabla33610673[[#This Row],[Equity Peak]],(Tabla33610673[[#This Row],[Equity Peak]]-Tabla33610673[[#This Row],[Equity]])/Tabla33610673[[#This Row],[Equity Peak]],"")</f>
        <v>6.7675159235668792E-3</v>
      </c>
      <c r="V227" s="209">
        <f t="shared" si="64"/>
        <v>-0.81</v>
      </c>
      <c r="W227" s="209">
        <f t="shared" si="65"/>
        <v>0</v>
      </c>
      <c r="X227" s="209">
        <f t="shared" si="66"/>
        <v>0</v>
      </c>
      <c r="Y227" s="209">
        <f t="shared" si="67"/>
        <v>0</v>
      </c>
      <c r="Z227" s="209">
        <f t="shared" si="68"/>
        <v>0</v>
      </c>
      <c r="AA227" s="205">
        <f t="shared" si="69"/>
        <v>0</v>
      </c>
      <c r="AB227" s="209">
        <f t="shared" si="70"/>
        <v>0</v>
      </c>
      <c r="AC227" s="205">
        <f t="shared" si="71"/>
        <v>0</v>
      </c>
      <c r="AD227" s="210">
        <f t="shared" si="72"/>
        <v>0.94166666666569654</v>
      </c>
      <c r="AE227" s="210">
        <f t="shared" si="73"/>
        <v>0</v>
      </c>
      <c r="AF227" s="210">
        <f t="shared" si="74"/>
        <v>0.94166666666569654</v>
      </c>
      <c r="AG227" s="210">
        <f t="shared" si="75"/>
        <v>0</v>
      </c>
    </row>
    <row r="228" spans="2:33" ht="15" customHeight="1" x14ac:dyDescent="0.3">
      <c r="B228" s="196" t="s">
        <v>7</v>
      </c>
      <c r="C228" s="197" t="s">
        <v>15</v>
      </c>
      <c r="D228" s="198" t="str">
        <f t="shared" si="57"/>
        <v>C</v>
      </c>
      <c r="E228" s="199">
        <v>43656.333333333336</v>
      </c>
      <c r="F228" s="200" t="s">
        <v>120</v>
      </c>
      <c r="G228" s="201">
        <v>1.61958</v>
      </c>
      <c r="H228" s="201">
        <v>1.61571</v>
      </c>
      <c r="I228" s="202">
        <f t="shared" si="58"/>
        <v>3.8700000000000401E-3</v>
      </c>
      <c r="J228" s="201">
        <v>1.6608700000000001</v>
      </c>
      <c r="K228" s="199">
        <v>43656.60833333333</v>
      </c>
      <c r="L228" s="201">
        <v>1.6168</v>
      </c>
      <c r="M228" s="203">
        <f t="shared" si="59"/>
        <v>-2.8E-3</v>
      </c>
      <c r="N228" s="204">
        <f t="shared" si="60"/>
        <v>-0.72</v>
      </c>
      <c r="O228" s="205">
        <f t="shared" si="61"/>
        <v>0</v>
      </c>
      <c r="P228" s="206">
        <f t="shared" si="62"/>
        <v>0</v>
      </c>
      <c r="Q228" s="206">
        <f t="shared" si="63"/>
        <v>-0.72</v>
      </c>
      <c r="R22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2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225360</v>
      </c>
      <c r="T22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226080</v>
      </c>
      <c r="U228" s="208">
        <f ca="1">IF(Tabla33610673[[#This Row],[Equity]]&lt;Tabla33610673[[#This Row],[Equity Peak]],(Tabla33610673[[#This Row],[Equity Peak]]-Tabla33610673[[#This Row],[Equity]])/Tabla33610673[[#This Row],[Equity Peak]],"")</f>
        <v>3.1847133757961785E-3</v>
      </c>
      <c r="V228" s="209">
        <f t="shared" si="64"/>
        <v>-0.72</v>
      </c>
      <c r="W228" s="209">
        <f t="shared" si="65"/>
        <v>0</v>
      </c>
      <c r="X228" s="209">
        <f t="shared" si="66"/>
        <v>0</v>
      </c>
      <c r="Y228" s="209">
        <f t="shared" si="67"/>
        <v>0</v>
      </c>
      <c r="Z228" s="209">
        <f t="shared" si="68"/>
        <v>0</v>
      </c>
      <c r="AA228" s="205">
        <f t="shared" si="69"/>
        <v>0</v>
      </c>
      <c r="AB228" s="209">
        <f t="shared" si="70"/>
        <v>0</v>
      </c>
      <c r="AC228" s="205">
        <f t="shared" si="71"/>
        <v>0</v>
      </c>
      <c r="AD228" s="210">
        <f t="shared" si="72"/>
        <v>0.27499999999417923</v>
      </c>
      <c r="AE228" s="210">
        <f t="shared" si="73"/>
        <v>0</v>
      </c>
      <c r="AF228" s="210">
        <f t="shared" si="74"/>
        <v>0.27499999999417923</v>
      </c>
      <c r="AG228" s="210">
        <f t="shared" si="75"/>
        <v>0</v>
      </c>
    </row>
    <row r="229" spans="2:33" ht="15" customHeight="1" x14ac:dyDescent="0.3">
      <c r="B229" s="196" t="s">
        <v>7</v>
      </c>
      <c r="C229" s="197" t="s">
        <v>13</v>
      </c>
      <c r="D229" s="198" t="str">
        <f t="shared" si="57"/>
        <v>C</v>
      </c>
      <c r="E229" s="199">
        <v>43651.5</v>
      </c>
      <c r="F229" s="200" t="s">
        <v>117</v>
      </c>
      <c r="G229" s="201">
        <v>1.1262300000000001</v>
      </c>
      <c r="H229" s="201">
        <v>1.1298699999999999</v>
      </c>
      <c r="I229" s="202">
        <f t="shared" si="58"/>
        <v>3.6399999999998656E-3</v>
      </c>
      <c r="J229" s="201">
        <v>1.1029599999999999</v>
      </c>
      <c r="K229" s="199">
        <v>43656.553472222222</v>
      </c>
      <c r="L229" s="201">
        <v>1.12296</v>
      </c>
      <c r="M229" s="203">
        <f t="shared" si="59"/>
        <v>3.3E-3</v>
      </c>
      <c r="N229" s="204">
        <f t="shared" si="60"/>
        <v>0.91</v>
      </c>
      <c r="O229" s="205">
        <f t="shared" si="61"/>
        <v>0</v>
      </c>
      <c r="P229" s="206">
        <f t="shared" si="62"/>
        <v>0.91</v>
      </c>
      <c r="Q229" s="206">
        <f t="shared" si="63"/>
        <v>0</v>
      </c>
      <c r="R22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2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226080</v>
      </c>
      <c r="T22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226080</v>
      </c>
      <c r="U229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229" s="209">
        <f t="shared" si="64"/>
        <v>0.91</v>
      </c>
      <c r="W229" s="209">
        <f t="shared" si="65"/>
        <v>0</v>
      </c>
      <c r="X229" s="209">
        <f t="shared" si="66"/>
        <v>0</v>
      </c>
      <c r="Y229" s="209">
        <f t="shared" si="67"/>
        <v>0</v>
      </c>
      <c r="Z229" s="209">
        <f t="shared" si="68"/>
        <v>0</v>
      </c>
      <c r="AA229" s="205">
        <f t="shared" si="69"/>
        <v>0</v>
      </c>
      <c r="AB229" s="209">
        <f t="shared" si="70"/>
        <v>0</v>
      </c>
      <c r="AC229" s="205">
        <f t="shared" si="71"/>
        <v>0</v>
      </c>
      <c r="AD229" s="210">
        <f t="shared" si="72"/>
        <v>5.0534722222218988</v>
      </c>
      <c r="AE229" s="210">
        <f t="shared" si="73"/>
        <v>5.0534722222218988</v>
      </c>
      <c r="AF229" s="210">
        <f t="shared" si="74"/>
        <v>0</v>
      </c>
      <c r="AG229" s="210">
        <f t="shared" si="75"/>
        <v>0</v>
      </c>
    </row>
    <row r="230" spans="2:33" ht="15" customHeight="1" x14ac:dyDescent="0.3">
      <c r="B230" s="196" t="s">
        <v>5</v>
      </c>
      <c r="C230" s="197" t="s">
        <v>15</v>
      </c>
      <c r="D230" s="198" t="str">
        <f t="shared" si="57"/>
        <v>C</v>
      </c>
      <c r="E230" s="199">
        <v>43627.5</v>
      </c>
      <c r="F230" s="200" t="s">
        <v>91</v>
      </c>
      <c r="G230" s="201">
        <v>12184.28</v>
      </c>
      <c r="H230" s="201">
        <v>11957.07</v>
      </c>
      <c r="I230" s="202">
        <f t="shared" si="58"/>
        <v>227.21000000000095</v>
      </c>
      <c r="J230" s="201">
        <v>13093.1</v>
      </c>
      <c r="K230" s="199">
        <v>43655.40625</v>
      </c>
      <c r="L230" s="201">
        <v>12438.51</v>
      </c>
      <c r="M230" s="203">
        <f t="shared" si="59"/>
        <v>254.23</v>
      </c>
      <c r="N230" s="204">
        <f t="shared" si="60"/>
        <v>1.1200000000000001</v>
      </c>
      <c r="O230" s="205">
        <f t="shared" si="61"/>
        <v>0</v>
      </c>
      <c r="P230" s="206">
        <f t="shared" si="62"/>
        <v>1.1200000000000001</v>
      </c>
      <c r="Q230" s="206">
        <f t="shared" si="63"/>
        <v>0</v>
      </c>
      <c r="R23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3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225170</v>
      </c>
      <c r="T23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225210</v>
      </c>
      <c r="U230" s="208">
        <f ca="1">IF(Tabla33610673[[#This Row],[Equity]]&lt;Tabla33610673[[#This Row],[Equity Peak]],(Tabla33610673[[#This Row],[Equity Peak]]-Tabla33610673[[#This Row],[Equity]])/Tabla33610673[[#This Row],[Equity Peak]],"")</f>
        <v>1.7761200657164425E-4</v>
      </c>
      <c r="V230" s="209">
        <f t="shared" si="64"/>
        <v>0</v>
      </c>
      <c r="W230" s="209">
        <f t="shared" si="65"/>
        <v>0</v>
      </c>
      <c r="X230" s="209">
        <f t="shared" si="66"/>
        <v>0</v>
      </c>
      <c r="Y230" s="209">
        <f t="shared" si="67"/>
        <v>0</v>
      </c>
      <c r="Z230" s="209">
        <f t="shared" si="68"/>
        <v>1.1200000000000001</v>
      </c>
      <c r="AA230" s="205">
        <f t="shared" si="69"/>
        <v>0</v>
      </c>
      <c r="AB230" s="209">
        <f t="shared" si="70"/>
        <v>0</v>
      </c>
      <c r="AC230" s="205">
        <f t="shared" si="71"/>
        <v>0</v>
      </c>
      <c r="AD230" s="210">
        <f t="shared" si="72"/>
        <v>27.90625</v>
      </c>
      <c r="AE230" s="210">
        <f t="shared" si="73"/>
        <v>27.90625</v>
      </c>
      <c r="AF230" s="210">
        <f t="shared" si="74"/>
        <v>0</v>
      </c>
      <c r="AG230" s="210">
        <f t="shared" si="75"/>
        <v>0</v>
      </c>
    </row>
    <row r="231" spans="2:33" ht="15" customHeight="1" x14ac:dyDescent="0.3">
      <c r="B231" s="196" t="s">
        <v>7</v>
      </c>
      <c r="C231" s="197" t="s">
        <v>13</v>
      </c>
      <c r="D231" s="198" t="str">
        <f t="shared" si="57"/>
        <v>C</v>
      </c>
      <c r="E231" s="199">
        <v>43648.833333333336</v>
      </c>
      <c r="F231" s="200" t="s">
        <v>118</v>
      </c>
      <c r="G231" s="201">
        <v>121.97</v>
      </c>
      <c r="H231" s="201">
        <v>122.788</v>
      </c>
      <c r="I231" s="202">
        <f t="shared" si="58"/>
        <v>0.81799999999999784</v>
      </c>
      <c r="J231" s="201">
        <v>118.7</v>
      </c>
      <c r="K231" s="199">
        <v>43655.073611111111</v>
      </c>
      <c r="L231" s="201">
        <v>122.01300000000001</v>
      </c>
      <c r="M231" s="203">
        <f t="shared" si="59"/>
        <v>-4.2999999999999997E-2</v>
      </c>
      <c r="N231" s="204">
        <f t="shared" si="60"/>
        <v>-0.05</v>
      </c>
      <c r="O231" s="205">
        <f t="shared" si="61"/>
        <v>0</v>
      </c>
      <c r="P231" s="206">
        <f t="shared" si="62"/>
        <v>0</v>
      </c>
      <c r="Q231" s="206">
        <f t="shared" si="63"/>
        <v>-0.05</v>
      </c>
      <c r="R23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3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224050</v>
      </c>
      <c r="T23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225210</v>
      </c>
      <c r="U231" s="208">
        <f ca="1">IF(Tabla33610673[[#This Row],[Equity]]&lt;Tabla33610673[[#This Row],[Equity Peak]],(Tabla33610673[[#This Row],[Equity Peak]]-Tabla33610673[[#This Row],[Equity]])/Tabla33610673[[#This Row],[Equity Peak]],"")</f>
        <v>5.1507481905776831E-3</v>
      </c>
      <c r="V231" s="209">
        <f t="shared" si="64"/>
        <v>-0.05</v>
      </c>
      <c r="W231" s="209">
        <f t="shared" si="65"/>
        <v>0</v>
      </c>
      <c r="X231" s="209">
        <f t="shared" si="66"/>
        <v>0</v>
      </c>
      <c r="Y231" s="209">
        <f t="shared" si="67"/>
        <v>0</v>
      </c>
      <c r="Z231" s="209">
        <f t="shared" si="68"/>
        <v>0</v>
      </c>
      <c r="AA231" s="205">
        <f t="shared" si="69"/>
        <v>0</v>
      </c>
      <c r="AB231" s="209">
        <f t="shared" si="70"/>
        <v>0</v>
      </c>
      <c r="AC231" s="205">
        <f t="shared" si="71"/>
        <v>0</v>
      </c>
      <c r="AD231" s="210">
        <f t="shared" si="72"/>
        <v>6.2402777777751908</v>
      </c>
      <c r="AE231" s="210">
        <f t="shared" si="73"/>
        <v>0</v>
      </c>
      <c r="AF231" s="210">
        <f t="shared" si="74"/>
        <v>6.2402777777751908</v>
      </c>
      <c r="AG231" s="210">
        <f t="shared" si="75"/>
        <v>0</v>
      </c>
    </row>
    <row r="232" spans="2:33" ht="15" customHeight="1" x14ac:dyDescent="0.3">
      <c r="B232" s="196" t="s">
        <v>19</v>
      </c>
      <c r="C232" s="197" t="s">
        <v>13</v>
      </c>
      <c r="D232" s="198" t="str">
        <f t="shared" si="57"/>
        <v>C</v>
      </c>
      <c r="E232" s="199">
        <v>43650.458333333336</v>
      </c>
      <c r="F232" s="200" t="s">
        <v>108</v>
      </c>
      <c r="G232" s="201">
        <v>56.738999999999997</v>
      </c>
      <c r="H232" s="201">
        <v>58.29</v>
      </c>
      <c r="I232" s="202">
        <f t="shared" si="58"/>
        <v>1.5510000000000019</v>
      </c>
      <c r="J232" s="201">
        <v>38.122</v>
      </c>
      <c r="K232" s="199">
        <v>43651.708333333336</v>
      </c>
      <c r="L232" s="201">
        <v>57.423999999999999</v>
      </c>
      <c r="M232" s="203">
        <f t="shared" si="59"/>
        <v>-0.68500000000000005</v>
      </c>
      <c r="N232" s="204">
        <f t="shared" si="60"/>
        <v>-0.44</v>
      </c>
      <c r="O232" s="205">
        <f t="shared" si="61"/>
        <v>0</v>
      </c>
      <c r="P232" s="206">
        <f t="shared" si="62"/>
        <v>0</v>
      </c>
      <c r="Q232" s="206">
        <f t="shared" si="63"/>
        <v>-0.44</v>
      </c>
      <c r="R23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3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224100</v>
      </c>
      <c r="T23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225210</v>
      </c>
      <c r="U232" s="208">
        <f ca="1">IF(Tabla33610673[[#This Row],[Equity]]&lt;Tabla33610673[[#This Row],[Equity Peak]],(Tabla33610673[[#This Row],[Equity Peak]]-Tabla33610673[[#This Row],[Equity]])/Tabla33610673[[#This Row],[Equity Peak]],"")</f>
        <v>4.9287331823631274E-3</v>
      </c>
      <c r="V232" s="209">
        <f t="shared" si="64"/>
        <v>0</v>
      </c>
      <c r="W232" s="209">
        <f t="shared" si="65"/>
        <v>0</v>
      </c>
      <c r="X232" s="209">
        <f t="shared" si="66"/>
        <v>-0.44</v>
      </c>
      <c r="Y232" s="209">
        <f t="shared" si="67"/>
        <v>0</v>
      </c>
      <c r="Z232" s="209">
        <f t="shared" si="68"/>
        <v>0</v>
      </c>
      <c r="AA232" s="205">
        <f t="shared" si="69"/>
        <v>0</v>
      </c>
      <c r="AB232" s="209">
        <f t="shared" si="70"/>
        <v>0</v>
      </c>
      <c r="AC232" s="205">
        <f t="shared" si="71"/>
        <v>0</v>
      </c>
      <c r="AD232" s="210">
        <f t="shared" si="72"/>
        <v>1.25</v>
      </c>
      <c r="AE232" s="210">
        <f t="shared" si="73"/>
        <v>0</v>
      </c>
      <c r="AF232" s="210">
        <f t="shared" si="74"/>
        <v>1.25</v>
      </c>
      <c r="AG232" s="210">
        <f t="shared" si="75"/>
        <v>0</v>
      </c>
    </row>
    <row r="233" spans="2:33" ht="15" customHeight="1" x14ac:dyDescent="0.3">
      <c r="B233" s="196" t="s">
        <v>7</v>
      </c>
      <c r="C233" s="197" t="s">
        <v>13</v>
      </c>
      <c r="D233" s="198" t="str">
        <f t="shared" si="57"/>
        <v>C</v>
      </c>
      <c r="E233" s="199">
        <v>43649.5</v>
      </c>
      <c r="F233" s="200" t="s">
        <v>113</v>
      </c>
      <c r="G233" s="201">
        <v>107.691</v>
      </c>
      <c r="H233" s="201">
        <v>108.282</v>
      </c>
      <c r="I233" s="202">
        <f t="shared" si="58"/>
        <v>0.59099999999999397</v>
      </c>
      <c r="J233" s="201">
        <v>104.93300000000001</v>
      </c>
      <c r="K233" s="199">
        <v>43651.408333333333</v>
      </c>
      <c r="L233" s="201">
        <v>107.971</v>
      </c>
      <c r="M233" s="203">
        <f t="shared" si="59"/>
        <v>-0.28000000000000003</v>
      </c>
      <c r="N233" s="204">
        <f t="shared" si="60"/>
        <v>-0.47</v>
      </c>
      <c r="O233" s="205">
        <f t="shared" si="61"/>
        <v>0</v>
      </c>
      <c r="P233" s="206">
        <f t="shared" si="62"/>
        <v>0</v>
      </c>
      <c r="Q233" s="206">
        <f t="shared" si="63"/>
        <v>-0.47</v>
      </c>
      <c r="R23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3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224540</v>
      </c>
      <c r="T23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225210</v>
      </c>
      <c r="U233" s="208">
        <f ca="1">IF(Tabla33610673[[#This Row],[Equity]]&lt;Tabla33610673[[#This Row],[Equity Peak]],(Tabla33610673[[#This Row],[Equity Peak]]-Tabla33610673[[#This Row],[Equity]])/Tabla33610673[[#This Row],[Equity Peak]],"")</f>
        <v>2.9750011100750412E-3</v>
      </c>
      <c r="V233" s="209">
        <f t="shared" si="64"/>
        <v>-0.47</v>
      </c>
      <c r="W233" s="209">
        <f t="shared" si="65"/>
        <v>0</v>
      </c>
      <c r="X233" s="209">
        <f t="shared" si="66"/>
        <v>0</v>
      </c>
      <c r="Y233" s="209">
        <f t="shared" si="67"/>
        <v>0</v>
      </c>
      <c r="Z233" s="209">
        <f t="shared" si="68"/>
        <v>0</v>
      </c>
      <c r="AA233" s="205">
        <f t="shared" si="69"/>
        <v>0</v>
      </c>
      <c r="AB233" s="209">
        <f t="shared" si="70"/>
        <v>0</v>
      </c>
      <c r="AC233" s="205">
        <f t="shared" si="71"/>
        <v>0</v>
      </c>
      <c r="AD233" s="210">
        <f t="shared" si="72"/>
        <v>1.9083333333328483</v>
      </c>
      <c r="AE233" s="210">
        <f t="shared" si="73"/>
        <v>0</v>
      </c>
      <c r="AF233" s="210">
        <f t="shared" si="74"/>
        <v>1.9083333333328483</v>
      </c>
      <c r="AG233" s="210">
        <f t="shared" si="75"/>
        <v>0</v>
      </c>
    </row>
    <row r="234" spans="2:33" ht="15" customHeight="1" x14ac:dyDescent="0.3">
      <c r="B234" s="196" t="s">
        <v>84</v>
      </c>
      <c r="C234" s="197" t="s">
        <v>15</v>
      </c>
      <c r="D234" s="198" t="str">
        <f t="shared" si="57"/>
        <v>C</v>
      </c>
      <c r="E234" s="199">
        <v>43648.833333333336</v>
      </c>
      <c r="F234" s="200" t="s">
        <v>82</v>
      </c>
      <c r="G234" s="201">
        <v>288.01</v>
      </c>
      <c r="H234" s="201">
        <v>270.45</v>
      </c>
      <c r="I234" s="202">
        <f t="shared" si="58"/>
        <v>17.560000000000002</v>
      </c>
      <c r="J234" s="201">
        <v>615.75</v>
      </c>
      <c r="K234" s="199">
        <v>43651.081944444442</v>
      </c>
      <c r="L234" s="201">
        <v>284.51</v>
      </c>
      <c r="M234" s="203">
        <f t="shared" si="59"/>
        <v>-3.5</v>
      </c>
      <c r="N234" s="204">
        <f t="shared" si="60"/>
        <v>-0.2</v>
      </c>
      <c r="O234" s="205">
        <f t="shared" si="61"/>
        <v>0</v>
      </c>
      <c r="P234" s="206">
        <f t="shared" si="62"/>
        <v>0</v>
      </c>
      <c r="Q234" s="206">
        <f t="shared" si="63"/>
        <v>-0.2</v>
      </c>
      <c r="R23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3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225010</v>
      </c>
      <c r="T23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225210</v>
      </c>
      <c r="U234" s="208">
        <f ca="1">IF(Tabla33610673[[#This Row],[Equity]]&lt;Tabla33610673[[#This Row],[Equity Peak]],(Tabla33610673[[#This Row],[Equity Peak]]-Tabla33610673[[#This Row],[Equity]])/Tabla33610673[[#This Row],[Equity Peak]],"")</f>
        <v>8.8806003285822122E-4</v>
      </c>
      <c r="V234" s="209">
        <f t="shared" si="64"/>
        <v>0</v>
      </c>
      <c r="W234" s="209">
        <f t="shared" si="65"/>
        <v>0</v>
      </c>
      <c r="X234" s="209">
        <f t="shared" si="66"/>
        <v>0</v>
      </c>
      <c r="Y234" s="209">
        <f t="shared" si="67"/>
        <v>0</v>
      </c>
      <c r="Z234" s="209">
        <f t="shared" si="68"/>
        <v>0</v>
      </c>
      <c r="AA234" s="205">
        <f t="shared" si="69"/>
        <v>0</v>
      </c>
      <c r="AB234" s="209">
        <f t="shared" si="70"/>
        <v>-0.2</v>
      </c>
      <c r="AC234" s="205">
        <f t="shared" si="71"/>
        <v>0</v>
      </c>
      <c r="AD234" s="210">
        <f t="shared" si="72"/>
        <v>2.2486111111065838</v>
      </c>
      <c r="AE234" s="210">
        <f t="shared" si="73"/>
        <v>0</v>
      </c>
      <c r="AF234" s="210">
        <f t="shared" si="74"/>
        <v>2.2486111111065838</v>
      </c>
      <c r="AG234" s="210">
        <f t="shared" si="75"/>
        <v>0</v>
      </c>
    </row>
    <row r="235" spans="2:33" ht="15" customHeight="1" x14ac:dyDescent="0.3">
      <c r="B235" s="196" t="s">
        <v>84</v>
      </c>
      <c r="C235" s="197" t="s">
        <v>15</v>
      </c>
      <c r="D235" s="198" t="str">
        <f t="shared" si="57"/>
        <v>C</v>
      </c>
      <c r="E235" s="199">
        <v>43628.833333333336</v>
      </c>
      <c r="F235" s="200" t="s">
        <v>80</v>
      </c>
      <c r="G235" s="201">
        <v>8171.24</v>
      </c>
      <c r="H235" s="201">
        <v>7830.72</v>
      </c>
      <c r="I235" s="202">
        <f t="shared" si="58"/>
        <v>340.51999999999953</v>
      </c>
      <c r="J235" s="201">
        <v>13279.02</v>
      </c>
      <c r="K235" s="199">
        <v>43649.166666666664</v>
      </c>
      <c r="L235" s="201">
        <v>11243.6</v>
      </c>
      <c r="M235" s="203">
        <f t="shared" si="59"/>
        <v>3072.36</v>
      </c>
      <c r="N235" s="204">
        <f t="shared" si="60"/>
        <v>9.02</v>
      </c>
      <c r="O235" s="205">
        <f t="shared" si="61"/>
        <v>0</v>
      </c>
      <c r="P235" s="206">
        <f t="shared" si="62"/>
        <v>9.02</v>
      </c>
      <c r="Q235" s="206">
        <f t="shared" si="63"/>
        <v>0</v>
      </c>
      <c r="R23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3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225210</v>
      </c>
      <c r="T23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225210</v>
      </c>
      <c r="U235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235" s="209">
        <f t="shared" si="64"/>
        <v>0</v>
      </c>
      <c r="W235" s="209">
        <f t="shared" si="65"/>
        <v>0</v>
      </c>
      <c r="X235" s="209">
        <f t="shared" si="66"/>
        <v>0</v>
      </c>
      <c r="Y235" s="209">
        <f t="shared" si="67"/>
        <v>0</v>
      </c>
      <c r="Z235" s="209">
        <f t="shared" si="68"/>
        <v>0</v>
      </c>
      <c r="AA235" s="205">
        <f t="shared" si="69"/>
        <v>0</v>
      </c>
      <c r="AB235" s="209">
        <f t="shared" si="70"/>
        <v>9.02</v>
      </c>
      <c r="AC235" s="205">
        <f t="shared" si="71"/>
        <v>0</v>
      </c>
      <c r="AD235" s="210">
        <f t="shared" si="72"/>
        <v>20.333333333328483</v>
      </c>
      <c r="AE235" s="210">
        <f t="shared" si="73"/>
        <v>20.333333333328483</v>
      </c>
      <c r="AF235" s="210">
        <f t="shared" si="74"/>
        <v>0</v>
      </c>
      <c r="AG235" s="210">
        <f t="shared" si="75"/>
        <v>0</v>
      </c>
    </row>
    <row r="236" spans="2:33" ht="15" customHeight="1" x14ac:dyDescent="0.3">
      <c r="B236" s="196" t="s">
        <v>19</v>
      </c>
      <c r="C236" s="197" t="s">
        <v>15</v>
      </c>
      <c r="D236" s="198" t="str">
        <f t="shared" si="57"/>
        <v>C</v>
      </c>
      <c r="E236" s="199">
        <v>43636.017361111109</v>
      </c>
      <c r="F236" s="200" t="s">
        <v>108</v>
      </c>
      <c r="G236" s="201">
        <v>54.631</v>
      </c>
      <c r="H236" s="201">
        <v>53.112000000000002</v>
      </c>
      <c r="I236" s="202">
        <f t="shared" si="58"/>
        <v>1.5189999999999984</v>
      </c>
      <c r="J236" s="201">
        <v>72.861999999999995</v>
      </c>
      <c r="K236" s="199">
        <v>43648.9</v>
      </c>
      <c r="L236" s="201">
        <v>56.201999999999998</v>
      </c>
      <c r="M236" s="203">
        <f t="shared" si="59"/>
        <v>1.571</v>
      </c>
      <c r="N236" s="204">
        <f t="shared" si="60"/>
        <v>1.03</v>
      </c>
      <c r="O236" s="205">
        <f t="shared" si="61"/>
        <v>0</v>
      </c>
      <c r="P236" s="206">
        <f t="shared" si="62"/>
        <v>1.03</v>
      </c>
      <c r="Q236" s="206">
        <f t="shared" si="63"/>
        <v>0</v>
      </c>
      <c r="R23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3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216190</v>
      </c>
      <c r="T23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216190</v>
      </c>
      <c r="U236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236" s="209">
        <f t="shared" si="64"/>
        <v>0</v>
      </c>
      <c r="W236" s="209">
        <f t="shared" si="65"/>
        <v>0</v>
      </c>
      <c r="X236" s="209">
        <f t="shared" si="66"/>
        <v>1.03</v>
      </c>
      <c r="Y236" s="209">
        <f t="shared" si="67"/>
        <v>0</v>
      </c>
      <c r="Z236" s="209">
        <f t="shared" si="68"/>
        <v>0</v>
      </c>
      <c r="AA236" s="205">
        <f t="shared" si="69"/>
        <v>0</v>
      </c>
      <c r="AB236" s="209">
        <f t="shared" si="70"/>
        <v>0</v>
      </c>
      <c r="AC236" s="205">
        <f t="shared" si="71"/>
        <v>0</v>
      </c>
      <c r="AD236" s="210">
        <f t="shared" si="72"/>
        <v>12.882638888891961</v>
      </c>
      <c r="AE236" s="210">
        <f t="shared" si="73"/>
        <v>12.882638888891961</v>
      </c>
      <c r="AF236" s="210">
        <f t="shared" si="74"/>
        <v>0</v>
      </c>
      <c r="AG236" s="210">
        <f t="shared" si="75"/>
        <v>0</v>
      </c>
    </row>
    <row r="237" spans="2:33" ht="15" customHeight="1" x14ac:dyDescent="0.3">
      <c r="B237" s="196" t="s">
        <v>84</v>
      </c>
      <c r="C237" s="197" t="s">
        <v>15</v>
      </c>
      <c r="D237" s="198" t="str">
        <f t="shared" si="57"/>
        <v>C</v>
      </c>
      <c r="E237" s="199">
        <v>43628.333333333336</v>
      </c>
      <c r="F237" s="200" t="s">
        <v>82</v>
      </c>
      <c r="G237" s="201">
        <v>250.4</v>
      </c>
      <c r="H237" s="201">
        <v>240.18</v>
      </c>
      <c r="I237" s="202">
        <f t="shared" si="58"/>
        <v>10.219999999999999</v>
      </c>
      <c r="J237" s="201">
        <v>441.22</v>
      </c>
      <c r="K237" s="199">
        <v>43648.833333333336</v>
      </c>
      <c r="L237" s="201">
        <v>288.01</v>
      </c>
      <c r="M237" s="203">
        <f t="shared" si="59"/>
        <v>37.61</v>
      </c>
      <c r="N237" s="204">
        <f t="shared" si="60"/>
        <v>3.68</v>
      </c>
      <c r="O237" s="205">
        <f t="shared" si="61"/>
        <v>0</v>
      </c>
      <c r="P237" s="206">
        <f t="shared" si="62"/>
        <v>3.68</v>
      </c>
      <c r="Q237" s="206">
        <f t="shared" si="63"/>
        <v>0</v>
      </c>
      <c r="R23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3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215160</v>
      </c>
      <c r="T23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215160</v>
      </c>
      <c r="U237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237" s="209">
        <f t="shared" si="64"/>
        <v>0</v>
      </c>
      <c r="W237" s="209">
        <f t="shared" si="65"/>
        <v>0</v>
      </c>
      <c r="X237" s="209">
        <f t="shared" si="66"/>
        <v>0</v>
      </c>
      <c r="Y237" s="209">
        <f t="shared" si="67"/>
        <v>0</v>
      </c>
      <c r="Z237" s="209">
        <f t="shared" si="68"/>
        <v>0</v>
      </c>
      <c r="AA237" s="205">
        <f t="shared" si="69"/>
        <v>0</v>
      </c>
      <c r="AB237" s="209">
        <f t="shared" si="70"/>
        <v>3.68</v>
      </c>
      <c r="AC237" s="205">
        <f t="shared" si="71"/>
        <v>0</v>
      </c>
      <c r="AD237" s="210">
        <f t="shared" si="72"/>
        <v>20.5</v>
      </c>
      <c r="AE237" s="210">
        <f t="shared" si="73"/>
        <v>20.5</v>
      </c>
      <c r="AF237" s="210">
        <f t="shared" si="74"/>
        <v>0</v>
      </c>
      <c r="AG237" s="210">
        <f t="shared" si="75"/>
        <v>0</v>
      </c>
    </row>
    <row r="238" spans="2:33" ht="15" customHeight="1" x14ac:dyDescent="0.3">
      <c r="B238" s="196" t="s">
        <v>7</v>
      </c>
      <c r="C238" s="197" t="s">
        <v>15</v>
      </c>
      <c r="D238" s="198" t="str">
        <f t="shared" si="57"/>
        <v>C</v>
      </c>
      <c r="E238" s="199">
        <v>43643.166666666664</v>
      </c>
      <c r="F238" s="200" t="s">
        <v>122</v>
      </c>
      <c r="G238" s="201">
        <v>75.296000000000006</v>
      </c>
      <c r="H238" s="201">
        <v>74.97</v>
      </c>
      <c r="I238" s="202">
        <f t="shared" si="58"/>
        <v>0.32600000000000762</v>
      </c>
      <c r="J238" s="201">
        <v>80.944999999999993</v>
      </c>
      <c r="K238" s="199">
        <v>43648.777083333334</v>
      </c>
      <c r="L238" s="201">
        <v>75.372</v>
      </c>
      <c r="M238" s="203">
        <f t="shared" si="59"/>
        <v>7.5999999999999998E-2</v>
      </c>
      <c r="N238" s="204">
        <f t="shared" si="60"/>
        <v>0.23</v>
      </c>
      <c r="O238" s="205">
        <f t="shared" si="61"/>
        <v>0</v>
      </c>
      <c r="P238" s="206">
        <f t="shared" si="62"/>
        <v>0.23</v>
      </c>
      <c r="Q238" s="206">
        <f t="shared" si="63"/>
        <v>0</v>
      </c>
      <c r="R23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3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211480</v>
      </c>
      <c r="T23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212550</v>
      </c>
      <c r="U238" s="208">
        <f ca="1">IF(Tabla33610673[[#This Row],[Equity]]&lt;Tabla33610673[[#This Row],[Equity Peak]],(Tabla33610673[[#This Row],[Equity Peak]]-Tabla33610673[[#This Row],[Equity]])/Tabla33610673[[#This Row],[Equity Peak]],"")</f>
        <v>5.0341096212655843E-3</v>
      </c>
      <c r="V238" s="209">
        <f t="shared" si="64"/>
        <v>0.23</v>
      </c>
      <c r="W238" s="209">
        <f t="shared" si="65"/>
        <v>0</v>
      </c>
      <c r="X238" s="209">
        <f t="shared" si="66"/>
        <v>0</v>
      </c>
      <c r="Y238" s="209">
        <f t="shared" si="67"/>
        <v>0</v>
      </c>
      <c r="Z238" s="209">
        <f t="shared" si="68"/>
        <v>0</v>
      </c>
      <c r="AA238" s="205">
        <f t="shared" si="69"/>
        <v>0</v>
      </c>
      <c r="AB238" s="209">
        <f t="shared" si="70"/>
        <v>0</v>
      </c>
      <c r="AC238" s="205">
        <f t="shared" si="71"/>
        <v>0</v>
      </c>
      <c r="AD238" s="210">
        <f t="shared" si="72"/>
        <v>5.6104166666700621</v>
      </c>
      <c r="AE238" s="210">
        <f t="shared" si="73"/>
        <v>5.6104166666700621</v>
      </c>
      <c r="AF238" s="210">
        <f t="shared" si="74"/>
        <v>0</v>
      </c>
      <c r="AG238" s="210">
        <f t="shared" si="75"/>
        <v>0</v>
      </c>
    </row>
    <row r="239" spans="2:33" ht="15" customHeight="1" x14ac:dyDescent="0.3">
      <c r="B239" s="196" t="s">
        <v>7</v>
      </c>
      <c r="C239" s="197" t="s">
        <v>15</v>
      </c>
      <c r="D239" s="198" t="str">
        <f t="shared" si="57"/>
        <v>C</v>
      </c>
      <c r="E239" s="199">
        <v>43642.833333333336</v>
      </c>
      <c r="F239" s="200" t="s">
        <v>118</v>
      </c>
      <c r="G239" s="201">
        <v>122.562</v>
      </c>
      <c r="H239" s="201">
        <v>121.86499999999999</v>
      </c>
      <c r="I239" s="202">
        <f t="shared" si="58"/>
        <v>0.69700000000000273</v>
      </c>
      <c r="J239" s="201">
        <v>125.351</v>
      </c>
      <c r="K239" s="199">
        <v>43648.101388888892</v>
      </c>
      <c r="L239" s="201">
        <v>122.23699999999999</v>
      </c>
      <c r="M239" s="203">
        <f t="shared" si="59"/>
        <v>-0.32500000000000001</v>
      </c>
      <c r="N239" s="204">
        <f t="shared" si="60"/>
        <v>-0.47</v>
      </c>
      <c r="O239" s="205">
        <f t="shared" si="61"/>
        <v>0</v>
      </c>
      <c r="P239" s="206">
        <f t="shared" si="62"/>
        <v>0</v>
      </c>
      <c r="Q239" s="206">
        <f t="shared" si="63"/>
        <v>-0.47</v>
      </c>
      <c r="R23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3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211250</v>
      </c>
      <c r="T23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212550</v>
      </c>
      <c r="U239" s="208">
        <f ca="1">IF(Tabla33610673[[#This Row],[Equity]]&lt;Tabla33610673[[#This Row],[Equity Peak]],(Tabla33610673[[#This Row],[Equity Peak]]-Tabla33610673[[#This Row],[Equity]])/Tabla33610673[[#This Row],[Equity Peak]],"")</f>
        <v>6.1162079510703364E-3</v>
      </c>
      <c r="V239" s="209">
        <f t="shared" si="64"/>
        <v>-0.47</v>
      </c>
      <c r="W239" s="209">
        <f t="shared" si="65"/>
        <v>0</v>
      </c>
      <c r="X239" s="209">
        <f t="shared" si="66"/>
        <v>0</v>
      </c>
      <c r="Y239" s="209">
        <f t="shared" si="67"/>
        <v>0</v>
      </c>
      <c r="Z239" s="209">
        <f t="shared" si="68"/>
        <v>0</v>
      </c>
      <c r="AA239" s="205">
        <f t="shared" si="69"/>
        <v>0</v>
      </c>
      <c r="AB239" s="209">
        <f t="shared" si="70"/>
        <v>0</v>
      </c>
      <c r="AC239" s="205">
        <f t="shared" si="71"/>
        <v>0</v>
      </c>
      <c r="AD239" s="210">
        <f t="shared" si="72"/>
        <v>5.2680555555562023</v>
      </c>
      <c r="AE239" s="210">
        <f t="shared" si="73"/>
        <v>0</v>
      </c>
      <c r="AF239" s="210">
        <f t="shared" si="74"/>
        <v>5.2680555555562023</v>
      </c>
      <c r="AG239" s="210">
        <f t="shared" si="75"/>
        <v>0</v>
      </c>
    </row>
    <row r="240" spans="2:33" ht="15" customHeight="1" x14ac:dyDescent="0.3">
      <c r="B240" s="196" t="s">
        <v>7</v>
      </c>
      <c r="C240" s="197" t="s">
        <v>13</v>
      </c>
      <c r="D240" s="198" t="str">
        <f t="shared" si="57"/>
        <v>C</v>
      </c>
      <c r="E240" s="199">
        <v>43641.333333333336</v>
      </c>
      <c r="F240" s="200" t="s">
        <v>118</v>
      </c>
      <c r="G240" s="201">
        <v>121.878</v>
      </c>
      <c r="H240" s="201">
        <v>122.59</v>
      </c>
      <c r="I240" s="202">
        <f t="shared" si="58"/>
        <v>0.7120000000000033</v>
      </c>
      <c r="J240" s="201">
        <v>119.029</v>
      </c>
      <c r="K240" s="199">
        <v>43642.61041666667</v>
      </c>
      <c r="L240" s="201">
        <v>122.467</v>
      </c>
      <c r="M240" s="203">
        <f t="shared" si="59"/>
        <v>-0.58899999999999997</v>
      </c>
      <c r="N240" s="204">
        <f t="shared" si="60"/>
        <v>-0.83</v>
      </c>
      <c r="O240" s="205">
        <f t="shared" si="61"/>
        <v>0</v>
      </c>
      <c r="P240" s="206">
        <f t="shared" si="62"/>
        <v>0</v>
      </c>
      <c r="Q240" s="206">
        <f t="shared" si="63"/>
        <v>-0.83</v>
      </c>
      <c r="R24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4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211720</v>
      </c>
      <c r="T24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212550</v>
      </c>
      <c r="U240" s="208">
        <f ca="1">IF(Tabla33610673[[#This Row],[Equity]]&lt;Tabla33610673[[#This Row],[Equity Peak]],(Tabla33610673[[#This Row],[Equity Peak]]-Tabla33610673[[#This Row],[Equity]])/Tabla33610673[[#This Row],[Equity Peak]],"")</f>
        <v>3.904963537991061E-3</v>
      </c>
      <c r="V240" s="209">
        <f t="shared" si="64"/>
        <v>-0.83</v>
      </c>
      <c r="W240" s="209">
        <f t="shared" si="65"/>
        <v>0</v>
      </c>
      <c r="X240" s="209">
        <f t="shared" si="66"/>
        <v>0</v>
      </c>
      <c r="Y240" s="209">
        <f t="shared" si="67"/>
        <v>0</v>
      </c>
      <c r="Z240" s="209">
        <f t="shared" si="68"/>
        <v>0</v>
      </c>
      <c r="AA240" s="205">
        <f t="shared" si="69"/>
        <v>0</v>
      </c>
      <c r="AB240" s="209">
        <f t="shared" si="70"/>
        <v>0</v>
      </c>
      <c r="AC240" s="205">
        <f t="shared" si="71"/>
        <v>0</v>
      </c>
      <c r="AD240" s="210">
        <f t="shared" si="72"/>
        <v>1.2770833333343035</v>
      </c>
      <c r="AE240" s="210">
        <f t="shared" si="73"/>
        <v>0</v>
      </c>
      <c r="AF240" s="210">
        <f t="shared" si="74"/>
        <v>1.2770833333343035</v>
      </c>
      <c r="AG240" s="210">
        <f t="shared" si="75"/>
        <v>0</v>
      </c>
    </row>
    <row r="241" spans="2:33" ht="15" customHeight="1" x14ac:dyDescent="0.3">
      <c r="B241" s="196" t="s">
        <v>7</v>
      </c>
      <c r="C241" s="197" t="s">
        <v>13</v>
      </c>
      <c r="D241" s="198" t="str">
        <f t="shared" si="57"/>
        <v>C</v>
      </c>
      <c r="E241" s="199">
        <v>43636.166666666664</v>
      </c>
      <c r="F241" s="200" t="s">
        <v>113</v>
      </c>
      <c r="G241" s="201">
        <v>107.642</v>
      </c>
      <c r="H241" s="201">
        <v>108.49</v>
      </c>
      <c r="I241" s="202">
        <f t="shared" si="58"/>
        <v>0.84799999999999898</v>
      </c>
      <c r="J241" s="201">
        <v>103.68600000000001</v>
      </c>
      <c r="K241" s="199">
        <v>43641.776388888888</v>
      </c>
      <c r="L241" s="201">
        <v>107.273</v>
      </c>
      <c r="M241" s="203">
        <f t="shared" si="59"/>
        <v>0.36899999999999999</v>
      </c>
      <c r="N241" s="204">
        <f t="shared" si="60"/>
        <v>0.44</v>
      </c>
      <c r="O241" s="205">
        <f t="shared" si="61"/>
        <v>0</v>
      </c>
      <c r="P241" s="206">
        <f t="shared" si="62"/>
        <v>0.44</v>
      </c>
      <c r="Q241" s="206">
        <f t="shared" si="63"/>
        <v>0</v>
      </c>
      <c r="R24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4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212550</v>
      </c>
      <c r="T24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212550</v>
      </c>
      <c r="U241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241" s="209">
        <f t="shared" si="64"/>
        <v>0.44</v>
      </c>
      <c r="W241" s="209">
        <f t="shared" si="65"/>
        <v>0</v>
      </c>
      <c r="X241" s="209">
        <f t="shared" si="66"/>
        <v>0</v>
      </c>
      <c r="Y241" s="209">
        <f t="shared" si="67"/>
        <v>0</v>
      </c>
      <c r="Z241" s="209">
        <f t="shared" si="68"/>
        <v>0</v>
      </c>
      <c r="AA241" s="205">
        <f t="shared" si="69"/>
        <v>0</v>
      </c>
      <c r="AB241" s="209">
        <f t="shared" si="70"/>
        <v>0</v>
      </c>
      <c r="AC241" s="205">
        <f t="shared" si="71"/>
        <v>0</v>
      </c>
      <c r="AD241" s="210">
        <f t="shared" si="72"/>
        <v>5.609722222223354</v>
      </c>
      <c r="AE241" s="210">
        <f t="shared" si="73"/>
        <v>5.609722222223354</v>
      </c>
      <c r="AF241" s="210">
        <f t="shared" si="74"/>
        <v>0</v>
      </c>
      <c r="AG241" s="210">
        <f t="shared" si="75"/>
        <v>0</v>
      </c>
    </row>
    <row r="242" spans="2:33" ht="15" customHeight="1" x14ac:dyDescent="0.3">
      <c r="B242" s="196" t="s">
        <v>7</v>
      </c>
      <c r="C242" s="197" t="s">
        <v>15</v>
      </c>
      <c r="D242" s="198" t="str">
        <f t="shared" si="57"/>
        <v>C</v>
      </c>
      <c r="E242" s="199">
        <v>43636.666666666664</v>
      </c>
      <c r="F242" s="200" t="s">
        <v>117</v>
      </c>
      <c r="G242" s="201">
        <v>1.1302399999999999</v>
      </c>
      <c r="H242" s="201">
        <v>1.12378</v>
      </c>
      <c r="I242" s="202">
        <f t="shared" si="58"/>
        <v>6.4599999999999103E-3</v>
      </c>
      <c r="J242" s="201">
        <v>1.17157</v>
      </c>
      <c r="K242" s="199">
        <v>43641.771527777775</v>
      </c>
      <c r="L242" s="201">
        <v>1.13673</v>
      </c>
      <c r="M242" s="203">
        <f t="shared" si="59"/>
        <v>6.4999999999999997E-3</v>
      </c>
      <c r="N242" s="204">
        <f t="shared" si="60"/>
        <v>1.01</v>
      </c>
      <c r="O242" s="205">
        <f t="shared" si="61"/>
        <v>0</v>
      </c>
      <c r="P242" s="206">
        <f t="shared" si="62"/>
        <v>1.01</v>
      </c>
      <c r="Q242" s="206">
        <f t="shared" si="63"/>
        <v>0</v>
      </c>
      <c r="R24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4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212110</v>
      </c>
      <c r="T24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212110</v>
      </c>
      <c r="U242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242" s="209">
        <f t="shared" si="64"/>
        <v>1.01</v>
      </c>
      <c r="W242" s="209">
        <f t="shared" si="65"/>
        <v>0</v>
      </c>
      <c r="X242" s="209">
        <f t="shared" si="66"/>
        <v>0</v>
      </c>
      <c r="Y242" s="209">
        <f t="shared" si="67"/>
        <v>0</v>
      </c>
      <c r="Z242" s="209">
        <f t="shared" si="68"/>
        <v>0</v>
      </c>
      <c r="AA242" s="205">
        <f t="shared" si="69"/>
        <v>0</v>
      </c>
      <c r="AB242" s="209">
        <f t="shared" si="70"/>
        <v>0</v>
      </c>
      <c r="AC242" s="205">
        <f t="shared" si="71"/>
        <v>0</v>
      </c>
      <c r="AD242" s="210">
        <f t="shared" si="72"/>
        <v>5.1048611111109494</v>
      </c>
      <c r="AE242" s="210">
        <f t="shared" si="73"/>
        <v>5.1048611111109494</v>
      </c>
      <c r="AF242" s="210">
        <f t="shared" si="74"/>
        <v>0</v>
      </c>
      <c r="AG242" s="210">
        <f t="shared" si="75"/>
        <v>0</v>
      </c>
    </row>
    <row r="243" spans="2:33" ht="15" customHeight="1" x14ac:dyDescent="0.3">
      <c r="B243" s="196" t="s">
        <v>7</v>
      </c>
      <c r="C243" s="197" t="s">
        <v>15</v>
      </c>
      <c r="D243" s="198" t="str">
        <f t="shared" si="57"/>
        <v>C</v>
      </c>
      <c r="E243" s="199">
        <v>43640.666666666664</v>
      </c>
      <c r="F243" s="200" t="s">
        <v>118</v>
      </c>
      <c r="G243" s="201">
        <v>122.346</v>
      </c>
      <c r="H243" s="201">
        <v>121.524</v>
      </c>
      <c r="I243" s="202">
        <f t="shared" si="58"/>
        <v>0.82200000000000273</v>
      </c>
      <c r="J243" s="201">
        <v>125.634</v>
      </c>
      <c r="K243" s="199">
        <v>43641.333333333336</v>
      </c>
      <c r="L243" s="201">
        <v>121.878</v>
      </c>
      <c r="M243" s="203">
        <f t="shared" si="59"/>
        <v>-0.46800000000000003</v>
      </c>
      <c r="N243" s="204">
        <f t="shared" si="60"/>
        <v>-0.56999999999999995</v>
      </c>
      <c r="O243" s="205">
        <f t="shared" si="61"/>
        <v>0</v>
      </c>
      <c r="P243" s="206">
        <f t="shared" si="62"/>
        <v>0</v>
      </c>
      <c r="Q243" s="206">
        <f t="shared" si="63"/>
        <v>-0.56999999999999995</v>
      </c>
      <c r="R24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4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211100</v>
      </c>
      <c r="T24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211670</v>
      </c>
      <c r="U243" s="208">
        <f ca="1">IF(Tabla33610673[[#This Row],[Equity]]&lt;Tabla33610673[[#This Row],[Equity Peak]],(Tabla33610673[[#This Row],[Equity Peak]]-Tabla33610673[[#This Row],[Equity]])/Tabla33610673[[#This Row],[Equity Peak]],"")</f>
        <v>2.6928709784097889E-3</v>
      </c>
      <c r="V243" s="209">
        <f t="shared" si="64"/>
        <v>-0.56999999999999995</v>
      </c>
      <c r="W243" s="209">
        <f t="shared" si="65"/>
        <v>0</v>
      </c>
      <c r="X243" s="209">
        <f t="shared" si="66"/>
        <v>0</v>
      </c>
      <c r="Y243" s="209">
        <f t="shared" si="67"/>
        <v>0</v>
      </c>
      <c r="Z243" s="209">
        <f t="shared" si="68"/>
        <v>0</v>
      </c>
      <c r="AA243" s="205">
        <f t="shared" si="69"/>
        <v>0</v>
      </c>
      <c r="AB243" s="209">
        <f t="shared" si="70"/>
        <v>0</v>
      </c>
      <c r="AC243" s="205">
        <f t="shared" si="71"/>
        <v>0</v>
      </c>
      <c r="AD243" s="210">
        <f t="shared" si="72"/>
        <v>0.66666666667151731</v>
      </c>
      <c r="AE243" s="210">
        <f t="shared" si="73"/>
        <v>0</v>
      </c>
      <c r="AF243" s="210">
        <f t="shared" si="74"/>
        <v>0.66666666667151731</v>
      </c>
      <c r="AG243" s="210">
        <f t="shared" si="75"/>
        <v>0</v>
      </c>
    </row>
    <row r="244" spans="2:33" ht="15" customHeight="1" x14ac:dyDescent="0.3">
      <c r="B244" s="196" t="s">
        <v>5</v>
      </c>
      <c r="C244" s="197" t="s">
        <v>15</v>
      </c>
      <c r="D244" s="198" t="str">
        <f t="shared" si="57"/>
        <v>C</v>
      </c>
      <c r="E244" s="199">
        <v>43622.590277777781</v>
      </c>
      <c r="F244" s="200" t="s">
        <v>90</v>
      </c>
      <c r="G244" s="201">
        <v>6405.9</v>
      </c>
      <c r="H244" s="201">
        <v>6370.69</v>
      </c>
      <c r="I244" s="202">
        <f t="shared" si="58"/>
        <v>35.210000000000036</v>
      </c>
      <c r="J244" s="201">
        <v>6875.33</v>
      </c>
      <c r="K244" s="199">
        <v>43640.157638888886</v>
      </c>
      <c r="L244" s="201">
        <v>6616.53</v>
      </c>
      <c r="M244" s="203">
        <f t="shared" si="59"/>
        <v>210.63</v>
      </c>
      <c r="N244" s="204">
        <f t="shared" si="60"/>
        <v>5.98</v>
      </c>
      <c r="O244" s="205">
        <f t="shared" si="61"/>
        <v>0</v>
      </c>
      <c r="P244" s="206">
        <f t="shared" si="62"/>
        <v>5.98</v>
      </c>
      <c r="Q244" s="206">
        <f t="shared" si="63"/>
        <v>0</v>
      </c>
      <c r="R24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4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211670</v>
      </c>
      <c r="T24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211670</v>
      </c>
      <c r="U244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244" s="209">
        <f t="shared" si="64"/>
        <v>0</v>
      </c>
      <c r="W244" s="209">
        <f t="shared" si="65"/>
        <v>0</v>
      </c>
      <c r="X244" s="209">
        <f t="shared" si="66"/>
        <v>0</v>
      </c>
      <c r="Y244" s="209">
        <f t="shared" si="67"/>
        <v>0</v>
      </c>
      <c r="Z244" s="209">
        <f t="shared" si="68"/>
        <v>5.98</v>
      </c>
      <c r="AA244" s="205">
        <f t="shared" si="69"/>
        <v>0</v>
      </c>
      <c r="AB244" s="209">
        <f t="shared" si="70"/>
        <v>0</v>
      </c>
      <c r="AC244" s="205">
        <f t="shared" si="71"/>
        <v>0</v>
      </c>
      <c r="AD244" s="210">
        <f t="shared" si="72"/>
        <v>17.567361111105129</v>
      </c>
      <c r="AE244" s="210">
        <f t="shared" si="73"/>
        <v>17.567361111105129</v>
      </c>
      <c r="AF244" s="210">
        <f t="shared" si="74"/>
        <v>0</v>
      </c>
      <c r="AG244" s="210">
        <f t="shared" si="75"/>
        <v>0</v>
      </c>
    </row>
    <row r="245" spans="2:33" ht="15" customHeight="1" x14ac:dyDescent="0.3">
      <c r="B245" s="196" t="s">
        <v>5</v>
      </c>
      <c r="C245" s="197" t="s">
        <v>15</v>
      </c>
      <c r="D245" s="198" t="str">
        <f t="shared" si="57"/>
        <v>C</v>
      </c>
      <c r="E245" s="199">
        <v>43623.833333333336</v>
      </c>
      <c r="F245" s="200" t="s">
        <v>92</v>
      </c>
      <c r="G245" s="201">
        <v>7433.4</v>
      </c>
      <c r="H245" s="201">
        <v>7312.04</v>
      </c>
      <c r="I245" s="202">
        <f t="shared" si="58"/>
        <v>121.35999999999967</v>
      </c>
      <c r="J245" s="201">
        <v>8242.4599999999991</v>
      </c>
      <c r="K245" s="199">
        <v>43636.771527777775</v>
      </c>
      <c r="L245" s="201">
        <v>7698.78</v>
      </c>
      <c r="M245" s="203">
        <f t="shared" si="59"/>
        <v>265.38</v>
      </c>
      <c r="N245" s="204">
        <f t="shared" si="60"/>
        <v>2.19</v>
      </c>
      <c r="O245" s="205">
        <f t="shared" si="61"/>
        <v>0</v>
      </c>
      <c r="P245" s="206">
        <f t="shared" si="62"/>
        <v>2.19</v>
      </c>
      <c r="Q245" s="206">
        <f t="shared" si="63"/>
        <v>0</v>
      </c>
      <c r="R24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4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205690</v>
      </c>
      <c r="T24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205690</v>
      </c>
      <c r="U245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245" s="209">
        <f t="shared" si="64"/>
        <v>0</v>
      </c>
      <c r="W245" s="209">
        <f t="shared" si="65"/>
        <v>0</v>
      </c>
      <c r="X245" s="209">
        <f t="shared" si="66"/>
        <v>0</v>
      </c>
      <c r="Y245" s="209">
        <f t="shared" si="67"/>
        <v>0</v>
      </c>
      <c r="Z245" s="209">
        <f t="shared" si="68"/>
        <v>2.19</v>
      </c>
      <c r="AA245" s="205">
        <f t="shared" si="69"/>
        <v>0</v>
      </c>
      <c r="AB245" s="209">
        <f t="shared" si="70"/>
        <v>0</v>
      </c>
      <c r="AC245" s="205">
        <f t="shared" si="71"/>
        <v>0</v>
      </c>
      <c r="AD245" s="210">
        <f t="shared" si="72"/>
        <v>12.938194444439432</v>
      </c>
      <c r="AE245" s="210">
        <f t="shared" si="73"/>
        <v>12.938194444439432</v>
      </c>
      <c r="AF245" s="210">
        <f t="shared" si="74"/>
        <v>0</v>
      </c>
      <c r="AG245" s="210">
        <f t="shared" si="75"/>
        <v>0</v>
      </c>
    </row>
    <row r="246" spans="2:33" ht="15" customHeight="1" x14ac:dyDescent="0.3">
      <c r="B246" s="196" t="s">
        <v>7</v>
      </c>
      <c r="C246" s="197" t="s">
        <v>13</v>
      </c>
      <c r="D246" s="198" t="str">
        <f t="shared" si="57"/>
        <v>C</v>
      </c>
      <c r="E246" s="199">
        <v>43629.017361111109</v>
      </c>
      <c r="F246" s="200" t="s">
        <v>121</v>
      </c>
      <c r="G246" s="201">
        <v>0.69306999999999996</v>
      </c>
      <c r="H246" s="201">
        <v>0.69493000000000005</v>
      </c>
      <c r="I246" s="202">
        <f t="shared" si="58"/>
        <v>1.8600000000000838E-3</v>
      </c>
      <c r="J246" s="201">
        <v>0.68313999999999997</v>
      </c>
      <c r="K246" s="199">
        <v>43636.61041666667</v>
      </c>
      <c r="L246" s="201">
        <v>0.69320000000000004</v>
      </c>
      <c r="M246" s="203">
        <f t="shared" si="59"/>
        <v>-1E-4</v>
      </c>
      <c r="N246" s="204">
        <f t="shared" si="60"/>
        <v>-0.05</v>
      </c>
      <c r="O246" s="205">
        <f t="shared" si="61"/>
        <v>0</v>
      </c>
      <c r="P246" s="206">
        <f t="shared" si="62"/>
        <v>0</v>
      </c>
      <c r="Q246" s="206">
        <f t="shared" si="63"/>
        <v>-0.05</v>
      </c>
      <c r="R24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4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203500</v>
      </c>
      <c r="T24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204310</v>
      </c>
      <c r="U246" s="208">
        <f ca="1">IF(Tabla33610673[[#This Row],[Equity]]&lt;Tabla33610673[[#This Row],[Equity Peak]],(Tabla33610673[[#This Row],[Equity Peak]]-Tabla33610673[[#This Row],[Equity]])/Tabla33610673[[#This Row],[Equity Peak]],"")</f>
        <v>3.9645636532719885E-3</v>
      </c>
      <c r="V246" s="209">
        <f t="shared" si="64"/>
        <v>-0.05</v>
      </c>
      <c r="W246" s="209">
        <f t="shared" si="65"/>
        <v>0</v>
      </c>
      <c r="X246" s="209">
        <f t="shared" si="66"/>
        <v>0</v>
      </c>
      <c r="Y246" s="209">
        <f t="shared" si="67"/>
        <v>0</v>
      </c>
      <c r="Z246" s="209">
        <f t="shared" si="68"/>
        <v>0</v>
      </c>
      <c r="AA246" s="205">
        <f t="shared" si="69"/>
        <v>0</v>
      </c>
      <c r="AB246" s="209">
        <f t="shared" si="70"/>
        <v>0</v>
      </c>
      <c r="AC246" s="205">
        <f t="shared" si="71"/>
        <v>0</v>
      </c>
      <c r="AD246" s="210">
        <f t="shared" si="72"/>
        <v>7.5930555555605679</v>
      </c>
      <c r="AE246" s="210">
        <f t="shared" si="73"/>
        <v>0</v>
      </c>
      <c r="AF246" s="210">
        <f t="shared" si="74"/>
        <v>7.5930555555605679</v>
      </c>
      <c r="AG246" s="210">
        <f t="shared" si="75"/>
        <v>0</v>
      </c>
    </row>
    <row r="247" spans="2:33" ht="15" customHeight="1" x14ac:dyDescent="0.3">
      <c r="B247" s="196" t="s">
        <v>7</v>
      </c>
      <c r="C247" s="197" t="s">
        <v>13</v>
      </c>
      <c r="D247" s="198" t="str">
        <f t="shared" si="57"/>
        <v>C</v>
      </c>
      <c r="E247" s="199">
        <v>43635.017361111109</v>
      </c>
      <c r="F247" s="200" t="s">
        <v>117</v>
      </c>
      <c r="G247" s="201">
        <v>1.1196699999999999</v>
      </c>
      <c r="H247" s="201">
        <v>1.1251800000000001</v>
      </c>
      <c r="I247" s="202">
        <f t="shared" si="58"/>
        <v>5.5100000000001259E-3</v>
      </c>
      <c r="J247" s="201">
        <v>1.08439</v>
      </c>
      <c r="K247" s="199">
        <v>43635.911805555559</v>
      </c>
      <c r="L247" s="201">
        <v>1.12384</v>
      </c>
      <c r="M247" s="203">
        <f t="shared" si="59"/>
        <v>-4.1999999999999997E-3</v>
      </c>
      <c r="N247" s="204">
        <f t="shared" si="60"/>
        <v>-0.76</v>
      </c>
      <c r="O247" s="205">
        <f t="shared" si="61"/>
        <v>0</v>
      </c>
      <c r="P247" s="206">
        <f t="shared" si="62"/>
        <v>0</v>
      </c>
      <c r="Q247" s="206">
        <f t="shared" si="63"/>
        <v>-0.76</v>
      </c>
      <c r="R24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4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203550</v>
      </c>
      <c r="T24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204310</v>
      </c>
      <c r="U247" s="208">
        <f ca="1">IF(Tabla33610673[[#This Row],[Equity]]&lt;Tabla33610673[[#This Row],[Equity Peak]],(Tabla33610673[[#This Row],[Equity Peak]]-Tabla33610673[[#This Row],[Equity]])/Tabla33610673[[#This Row],[Equity Peak]],"")</f>
        <v>3.7198375018354462E-3</v>
      </c>
      <c r="V247" s="209">
        <f t="shared" si="64"/>
        <v>-0.76</v>
      </c>
      <c r="W247" s="209">
        <f t="shared" si="65"/>
        <v>0</v>
      </c>
      <c r="X247" s="209">
        <f t="shared" si="66"/>
        <v>0</v>
      </c>
      <c r="Y247" s="209">
        <f t="shared" si="67"/>
        <v>0</v>
      </c>
      <c r="Z247" s="209">
        <f t="shared" si="68"/>
        <v>0</v>
      </c>
      <c r="AA247" s="205">
        <f t="shared" si="69"/>
        <v>0</v>
      </c>
      <c r="AB247" s="209">
        <f t="shared" si="70"/>
        <v>0</v>
      </c>
      <c r="AC247" s="205">
        <f t="shared" si="71"/>
        <v>0</v>
      </c>
      <c r="AD247" s="210">
        <f t="shared" si="72"/>
        <v>0.89444444444961846</v>
      </c>
      <c r="AE247" s="210">
        <f t="shared" si="73"/>
        <v>0</v>
      </c>
      <c r="AF247" s="210">
        <f t="shared" si="74"/>
        <v>0.89444444444961846</v>
      </c>
      <c r="AG247" s="210">
        <f t="shared" si="75"/>
        <v>0</v>
      </c>
    </row>
    <row r="248" spans="2:33" ht="15" customHeight="1" x14ac:dyDescent="0.3">
      <c r="B248" s="196" t="s">
        <v>7</v>
      </c>
      <c r="C248" s="197" t="s">
        <v>13</v>
      </c>
      <c r="D248" s="198" t="str">
        <f t="shared" si="57"/>
        <v>C</v>
      </c>
      <c r="E248" s="199">
        <v>43630.5</v>
      </c>
      <c r="F248" s="200" t="s">
        <v>114</v>
      </c>
      <c r="G248" s="201">
        <v>1.2661500000000001</v>
      </c>
      <c r="H248" s="201">
        <v>1.2723599999999999</v>
      </c>
      <c r="I248" s="202">
        <f t="shared" si="58"/>
        <v>6.2099999999998268E-3</v>
      </c>
      <c r="J248" s="201">
        <v>1.24132</v>
      </c>
      <c r="K248" s="199">
        <v>43635.771527777775</v>
      </c>
      <c r="L248" s="201">
        <v>1.2631600000000001</v>
      </c>
      <c r="M248" s="203">
        <f t="shared" si="59"/>
        <v>3.0000000000000001E-3</v>
      </c>
      <c r="N248" s="204">
        <f t="shared" si="60"/>
        <v>0.48</v>
      </c>
      <c r="O248" s="205">
        <f t="shared" si="61"/>
        <v>0</v>
      </c>
      <c r="P248" s="206">
        <f t="shared" si="62"/>
        <v>0.48</v>
      </c>
      <c r="Q248" s="206">
        <f t="shared" si="63"/>
        <v>0</v>
      </c>
      <c r="R24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4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204310</v>
      </c>
      <c r="T24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204310</v>
      </c>
      <c r="U248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248" s="209">
        <f t="shared" si="64"/>
        <v>0.48</v>
      </c>
      <c r="W248" s="209">
        <f t="shared" si="65"/>
        <v>0</v>
      </c>
      <c r="X248" s="209">
        <f t="shared" si="66"/>
        <v>0</v>
      </c>
      <c r="Y248" s="209">
        <f t="shared" si="67"/>
        <v>0</v>
      </c>
      <c r="Z248" s="209">
        <f t="shared" si="68"/>
        <v>0</v>
      </c>
      <c r="AA248" s="205">
        <f t="shared" si="69"/>
        <v>0</v>
      </c>
      <c r="AB248" s="209">
        <f t="shared" si="70"/>
        <v>0</v>
      </c>
      <c r="AC248" s="205">
        <f t="shared" si="71"/>
        <v>0</v>
      </c>
      <c r="AD248" s="210">
        <f t="shared" si="72"/>
        <v>5.2715277777751908</v>
      </c>
      <c r="AE248" s="210">
        <f t="shared" si="73"/>
        <v>5.2715277777751908</v>
      </c>
      <c r="AF248" s="210">
        <f t="shared" si="74"/>
        <v>0</v>
      </c>
      <c r="AG248" s="210">
        <f t="shared" si="75"/>
        <v>0</v>
      </c>
    </row>
    <row r="249" spans="2:33" ht="15" customHeight="1" x14ac:dyDescent="0.3">
      <c r="B249" s="196" t="s">
        <v>5</v>
      </c>
      <c r="C249" s="197" t="s">
        <v>15</v>
      </c>
      <c r="D249" s="198" t="str">
        <f t="shared" si="57"/>
        <v>C</v>
      </c>
      <c r="E249" s="199">
        <v>43623.5</v>
      </c>
      <c r="F249" s="200" t="s">
        <v>95</v>
      </c>
      <c r="G249" s="201">
        <v>25808.7</v>
      </c>
      <c r="H249" s="201">
        <v>25641.83</v>
      </c>
      <c r="I249" s="202">
        <f t="shared" si="58"/>
        <v>166.86999999999898</v>
      </c>
      <c r="J249" s="201">
        <v>26476.19</v>
      </c>
      <c r="K249" s="199">
        <v>43634.770833333336</v>
      </c>
      <c r="L249" s="201">
        <v>26476.19</v>
      </c>
      <c r="M249" s="203">
        <f t="shared" si="59"/>
        <v>667.49</v>
      </c>
      <c r="N249" s="204">
        <f t="shared" si="60"/>
        <v>4</v>
      </c>
      <c r="O249" s="205">
        <f t="shared" si="61"/>
        <v>0</v>
      </c>
      <c r="P249" s="206">
        <f t="shared" si="62"/>
        <v>4</v>
      </c>
      <c r="Q249" s="206">
        <f t="shared" si="63"/>
        <v>0</v>
      </c>
      <c r="R24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4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203830</v>
      </c>
      <c r="T24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203830</v>
      </c>
      <c r="U249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249" s="209">
        <f t="shared" si="64"/>
        <v>0</v>
      </c>
      <c r="W249" s="209">
        <f t="shared" si="65"/>
        <v>0</v>
      </c>
      <c r="X249" s="209">
        <f t="shared" si="66"/>
        <v>0</v>
      </c>
      <c r="Y249" s="209">
        <f t="shared" si="67"/>
        <v>0</v>
      </c>
      <c r="Z249" s="209">
        <f t="shared" si="68"/>
        <v>4</v>
      </c>
      <c r="AA249" s="205">
        <f t="shared" si="69"/>
        <v>0</v>
      </c>
      <c r="AB249" s="209">
        <f t="shared" si="70"/>
        <v>0</v>
      </c>
      <c r="AC249" s="205">
        <f t="shared" si="71"/>
        <v>0</v>
      </c>
      <c r="AD249" s="210">
        <f t="shared" si="72"/>
        <v>11.270833333335759</v>
      </c>
      <c r="AE249" s="210">
        <f t="shared" si="73"/>
        <v>11.270833333335759</v>
      </c>
      <c r="AF249" s="210">
        <f t="shared" si="74"/>
        <v>0</v>
      </c>
      <c r="AG249" s="210">
        <f t="shared" si="75"/>
        <v>0</v>
      </c>
    </row>
    <row r="250" spans="2:33" ht="15" customHeight="1" x14ac:dyDescent="0.3">
      <c r="B250" s="196" t="s">
        <v>7</v>
      </c>
      <c r="C250" s="197" t="s">
        <v>15</v>
      </c>
      <c r="D250" s="198" t="str">
        <f t="shared" si="57"/>
        <v>C</v>
      </c>
      <c r="E250" s="199">
        <v>43622.666666666664</v>
      </c>
      <c r="F250" s="200" t="s">
        <v>120</v>
      </c>
      <c r="G250" s="201">
        <v>1.6151199999999999</v>
      </c>
      <c r="H250" s="201">
        <v>1.60937</v>
      </c>
      <c r="I250" s="202">
        <f t="shared" si="58"/>
        <v>5.7499999999999218E-3</v>
      </c>
      <c r="J250" s="201">
        <v>1.6764699999999999</v>
      </c>
      <c r="K250" s="199">
        <v>43634.44027777778</v>
      </c>
      <c r="L250" s="201">
        <v>1.6362099999999999</v>
      </c>
      <c r="M250" s="203">
        <f t="shared" si="59"/>
        <v>2.1100000000000001E-2</v>
      </c>
      <c r="N250" s="204">
        <f t="shared" si="60"/>
        <v>3.67</v>
      </c>
      <c r="O250" s="205">
        <f t="shared" si="61"/>
        <v>0</v>
      </c>
      <c r="P250" s="206">
        <f t="shared" si="62"/>
        <v>3.67</v>
      </c>
      <c r="Q250" s="206">
        <f t="shared" si="63"/>
        <v>0</v>
      </c>
      <c r="R25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5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199830</v>
      </c>
      <c r="T25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199830</v>
      </c>
      <c r="U250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250" s="209">
        <f t="shared" si="64"/>
        <v>3.67</v>
      </c>
      <c r="W250" s="209">
        <f t="shared" si="65"/>
        <v>0</v>
      </c>
      <c r="X250" s="209">
        <f t="shared" si="66"/>
        <v>0</v>
      </c>
      <c r="Y250" s="209">
        <f t="shared" si="67"/>
        <v>0</v>
      </c>
      <c r="Z250" s="209">
        <f t="shared" si="68"/>
        <v>0</v>
      </c>
      <c r="AA250" s="205">
        <f t="shared" si="69"/>
        <v>0</v>
      </c>
      <c r="AB250" s="209">
        <f t="shared" si="70"/>
        <v>0</v>
      </c>
      <c r="AC250" s="205">
        <f t="shared" si="71"/>
        <v>0</v>
      </c>
      <c r="AD250" s="210">
        <f t="shared" si="72"/>
        <v>11.773611111115315</v>
      </c>
      <c r="AE250" s="210">
        <f t="shared" si="73"/>
        <v>11.773611111115315</v>
      </c>
      <c r="AF250" s="210">
        <f t="shared" si="74"/>
        <v>0</v>
      </c>
      <c r="AG250" s="210">
        <f t="shared" si="75"/>
        <v>0</v>
      </c>
    </row>
    <row r="251" spans="2:33" ht="15" customHeight="1" x14ac:dyDescent="0.3">
      <c r="B251" s="196" t="s">
        <v>7</v>
      </c>
      <c r="C251" s="197" t="s">
        <v>13</v>
      </c>
      <c r="D251" s="198" t="str">
        <f t="shared" si="57"/>
        <v>C</v>
      </c>
      <c r="E251" s="199">
        <v>43629.166666666664</v>
      </c>
      <c r="F251" s="200" t="s">
        <v>118</v>
      </c>
      <c r="G251" s="201">
        <v>122.492</v>
      </c>
      <c r="H251" s="201">
        <v>123.004</v>
      </c>
      <c r="I251" s="202">
        <f t="shared" si="58"/>
        <v>0.51200000000000045</v>
      </c>
      <c r="J251" s="201">
        <v>120.443</v>
      </c>
      <c r="K251" s="199">
        <v>43633.609027777777</v>
      </c>
      <c r="L251" s="201">
        <v>122.096</v>
      </c>
      <c r="M251" s="203">
        <f t="shared" si="59"/>
        <v>0.39600000000000002</v>
      </c>
      <c r="N251" s="204">
        <f t="shared" si="60"/>
        <v>0.77</v>
      </c>
      <c r="O251" s="205">
        <f t="shared" si="61"/>
        <v>0</v>
      </c>
      <c r="P251" s="206">
        <f t="shared" si="62"/>
        <v>0.77</v>
      </c>
      <c r="Q251" s="206">
        <f t="shared" si="63"/>
        <v>0</v>
      </c>
      <c r="R25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5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196160</v>
      </c>
      <c r="T25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196160</v>
      </c>
      <c r="U251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251" s="209">
        <f t="shared" si="64"/>
        <v>0.77</v>
      </c>
      <c r="W251" s="209">
        <f t="shared" si="65"/>
        <v>0</v>
      </c>
      <c r="X251" s="209">
        <f t="shared" si="66"/>
        <v>0</v>
      </c>
      <c r="Y251" s="209">
        <f t="shared" si="67"/>
        <v>0</v>
      </c>
      <c r="Z251" s="209">
        <f t="shared" si="68"/>
        <v>0</v>
      </c>
      <c r="AA251" s="205">
        <f t="shared" si="69"/>
        <v>0</v>
      </c>
      <c r="AB251" s="209">
        <f t="shared" si="70"/>
        <v>0</v>
      </c>
      <c r="AC251" s="205">
        <f t="shared" si="71"/>
        <v>0</v>
      </c>
      <c r="AD251" s="210">
        <f t="shared" si="72"/>
        <v>4.4423611111124046</v>
      </c>
      <c r="AE251" s="210">
        <f t="shared" si="73"/>
        <v>4.4423611111124046</v>
      </c>
      <c r="AF251" s="210">
        <f t="shared" si="74"/>
        <v>0</v>
      </c>
      <c r="AG251" s="210">
        <f t="shared" si="75"/>
        <v>0</v>
      </c>
    </row>
    <row r="252" spans="2:33" ht="15" customHeight="1" x14ac:dyDescent="0.3">
      <c r="B252" s="196" t="s">
        <v>7</v>
      </c>
      <c r="C252" s="197" t="s">
        <v>15</v>
      </c>
      <c r="D252" s="198" t="str">
        <f t="shared" si="57"/>
        <v>C</v>
      </c>
      <c r="E252" s="199">
        <v>43626.333333333336</v>
      </c>
      <c r="F252" s="200" t="s">
        <v>118</v>
      </c>
      <c r="G252" s="201">
        <v>122.88200000000001</v>
      </c>
      <c r="H252" s="201">
        <v>122.105</v>
      </c>
      <c r="I252" s="202">
        <f t="shared" si="58"/>
        <v>0.77700000000000102</v>
      </c>
      <c r="J252" s="201">
        <v>125.99</v>
      </c>
      <c r="K252" s="199">
        <v>43628.938888888886</v>
      </c>
      <c r="L252" s="201">
        <v>122.443</v>
      </c>
      <c r="M252" s="203">
        <f t="shared" si="59"/>
        <v>-0.439</v>
      </c>
      <c r="N252" s="204">
        <f t="shared" si="60"/>
        <v>-0.56000000000000005</v>
      </c>
      <c r="O252" s="205">
        <f t="shared" si="61"/>
        <v>0</v>
      </c>
      <c r="P252" s="206">
        <f t="shared" si="62"/>
        <v>0</v>
      </c>
      <c r="Q252" s="206">
        <f t="shared" si="63"/>
        <v>-0.56000000000000005</v>
      </c>
      <c r="R25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5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195390</v>
      </c>
      <c r="T25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196070</v>
      </c>
      <c r="U252" s="208">
        <f ca="1">IF(Tabla33610673[[#This Row],[Equity]]&lt;Tabla33610673[[#This Row],[Equity Peak]],(Tabla33610673[[#This Row],[Equity Peak]]-Tabla33610673[[#This Row],[Equity]])/Tabla33610673[[#This Row],[Equity Peak]],"")</f>
        <v>3.4681491304126076E-3</v>
      </c>
      <c r="V252" s="209">
        <f t="shared" si="64"/>
        <v>-0.56000000000000005</v>
      </c>
      <c r="W252" s="209">
        <f t="shared" si="65"/>
        <v>0</v>
      </c>
      <c r="X252" s="209">
        <f t="shared" si="66"/>
        <v>0</v>
      </c>
      <c r="Y252" s="209">
        <f t="shared" si="67"/>
        <v>0</v>
      </c>
      <c r="Z252" s="209">
        <f t="shared" si="68"/>
        <v>0</v>
      </c>
      <c r="AA252" s="205">
        <f t="shared" si="69"/>
        <v>0</v>
      </c>
      <c r="AB252" s="209">
        <f t="shared" si="70"/>
        <v>0</v>
      </c>
      <c r="AC252" s="205">
        <f t="shared" si="71"/>
        <v>0</v>
      </c>
      <c r="AD252" s="210">
        <f t="shared" si="72"/>
        <v>2.6055555555503815</v>
      </c>
      <c r="AE252" s="210">
        <f t="shared" si="73"/>
        <v>0</v>
      </c>
      <c r="AF252" s="210">
        <f t="shared" si="74"/>
        <v>2.6055555555503815</v>
      </c>
      <c r="AG252" s="210">
        <f t="shared" si="75"/>
        <v>0</v>
      </c>
    </row>
    <row r="253" spans="2:33" ht="15" customHeight="1" x14ac:dyDescent="0.3">
      <c r="B253" s="196" t="s">
        <v>5</v>
      </c>
      <c r="C253" s="197" t="s">
        <v>15</v>
      </c>
      <c r="D253" s="198" t="str">
        <f t="shared" si="57"/>
        <v>C</v>
      </c>
      <c r="E253" s="199">
        <v>43621.5</v>
      </c>
      <c r="F253" s="200" t="s">
        <v>94</v>
      </c>
      <c r="G253" s="201">
        <v>7233.66</v>
      </c>
      <c r="H253" s="201">
        <v>7163.4</v>
      </c>
      <c r="I253" s="202">
        <f t="shared" si="58"/>
        <v>70.260000000000218</v>
      </c>
      <c r="J253" s="201">
        <v>7584.94</v>
      </c>
      <c r="K253" s="199">
        <v>43628.415277777778</v>
      </c>
      <c r="L253" s="201">
        <v>7365.48</v>
      </c>
      <c r="M253" s="203">
        <f t="shared" si="59"/>
        <v>131.82</v>
      </c>
      <c r="N253" s="204">
        <f t="shared" si="60"/>
        <v>1.88</v>
      </c>
      <c r="O253" s="205">
        <f t="shared" si="61"/>
        <v>0</v>
      </c>
      <c r="P253" s="206">
        <f t="shared" si="62"/>
        <v>1.88</v>
      </c>
      <c r="Q253" s="206">
        <f t="shared" si="63"/>
        <v>0</v>
      </c>
      <c r="R25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5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195950</v>
      </c>
      <c r="T25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196070</v>
      </c>
      <c r="U253" s="208">
        <f ca="1">IF(Tabla33610673[[#This Row],[Equity]]&lt;Tabla33610673[[#This Row],[Equity Peak]],(Tabla33610673[[#This Row],[Equity Peak]]-Tabla33610673[[#This Row],[Equity]])/Tabla33610673[[#This Row],[Equity Peak]],"")</f>
        <v>6.120263171316367E-4</v>
      </c>
      <c r="V253" s="209">
        <f t="shared" si="64"/>
        <v>0</v>
      </c>
      <c r="W253" s="209">
        <f t="shared" si="65"/>
        <v>0</v>
      </c>
      <c r="X253" s="209">
        <f t="shared" si="66"/>
        <v>0</v>
      </c>
      <c r="Y253" s="209">
        <f t="shared" si="67"/>
        <v>0</v>
      </c>
      <c r="Z253" s="209">
        <f t="shared" si="68"/>
        <v>1.88</v>
      </c>
      <c r="AA253" s="205">
        <f t="shared" si="69"/>
        <v>0</v>
      </c>
      <c r="AB253" s="209">
        <f t="shared" si="70"/>
        <v>0</v>
      </c>
      <c r="AC253" s="205">
        <f t="shared" si="71"/>
        <v>0</v>
      </c>
      <c r="AD253" s="210">
        <f t="shared" si="72"/>
        <v>6.9152777777781012</v>
      </c>
      <c r="AE253" s="210">
        <f t="shared" si="73"/>
        <v>6.9152777777781012</v>
      </c>
      <c r="AF253" s="210">
        <f t="shared" si="74"/>
        <v>0</v>
      </c>
      <c r="AG253" s="210">
        <f t="shared" si="75"/>
        <v>0</v>
      </c>
    </row>
    <row r="254" spans="2:33" ht="15" customHeight="1" x14ac:dyDescent="0.3">
      <c r="B254" s="196" t="s">
        <v>84</v>
      </c>
      <c r="C254" s="197" t="s">
        <v>13</v>
      </c>
      <c r="D254" s="198" t="str">
        <f t="shared" si="57"/>
        <v>C</v>
      </c>
      <c r="E254" s="199">
        <v>43627.666666666664</v>
      </c>
      <c r="F254" s="200" t="s">
        <v>82</v>
      </c>
      <c r="G254" s="201">
        <v>239.59</v>
      </c>
      <c r="H254" s="201">
        <v>249.53</v>
      </c>
      <c r="I254" s="202">
        <f t="shared" si="58"/>
        <v>9.9399999999999977</v>
      </c>
      <c r="J254" s="201">
        <v>54.05</v>
      </c>
      <c r="K254" s="199">
        <v>43628.039583333331</v>
      </c>
      <c r="L254" s="201">
        <v>249.53</v>
      </c>
      <c r="M254" s="203">
        <f t="shared" si="59"/>
        <v>-9.94</v>
      </c>
      <c r="N254" s="204">
        <f t="shared" si="60"/>
        <v>-1</v>
      </c>
      <c r="O254" s="205">
        <f t="shared" si="61"/>
        <v>0</v>
      </c>
      <c r="P254" s="206">
        <f t="shared" si="62"/>
        <v>0</v>
      </c>
      <c r="Q254" s="206">
        <f t="shared" si="63"/>
        <v>-1</v>
      </c>
      <c r="R25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5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194070</v>
      </c>
      <c r="T25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196070</v>
      </c>
      <c r="U254" s="208">
        <f ca="1">IF(Tabla33610673[[#This Row],[Equity]]&lt;Tabla33610673[[#This Row],[Equity Peak]],(Tabla33610673[[#This Row],[Equity Peak]]-Tabla33610673[[#This Row],[Equity]])/Tabla33610673[[#This Row],[Equity Peak]],"")</f>
        <v>1.0200438618860611E-2</v>
      </c>
      <c r="V254" s="209">
        <f t="shared" si="64"/>
        <v>0</v>
      </c>
      <c r="W254" s="209">
        <f t="shared" si="65"/>
        <v>0</v>
      </c>
      <c r="X254" s="209">
        <f t="shared" si="66"/>
        <v>0</v>
      </c>
      <c r="Y254" s="209">
        <f t="shared" si="67"/>
        <v>0</v>
      </c>
      <c r="Z254" s="209">
        <f t="shared" si="68"/>
        <v>0</v>
      </c>
      <c r="AA254" s="205">
        <f t="shared" si="69"/>
        <v>0</v>
      </c>
      <c r="AB254" s="209">
        <f t="shared" si="70"/>
        <v>-1</v>
      </c>
      <c r="AC254" s="205">
        <f t="shared" si="71"/>
        <v>0</v>
      </c>
      <c r="AD254" s="210">
        <f t="shared" si="72"/>
        <v>0.37291666666715173</v>
      </c>
      <c r="AE254" s="210">
        <f t="shared" si="73"/>
        <v>0</v>
      </c>
      <c r="AF254" s="210">
        <f t="shared" si="74"/>
        <v>0.37291666666715173</v>
      </c>
      <c r="AG254" s="210">
        <f t="shared" si="75"/>
        <v>0</v>
      </c>
    </row>
    <row r="255" spans="2:33" ht="15" customHeight="1" x14ac:dyDescent="0.3">
      <c r="B255" s="196" t="s">
        <v>84</v>
      </c>
      <c r="C255" s="197" t="s">
        <v>15</v>
      </c>
      <c r="D255" s="198" t="str">
        <f t="shared" si="57"/>
        <v>C</v>
      </c>
      <c r="E255" s="199">
        <v>43627.166666666664</v>
      </c>
      <c r="F255" s="200" t="s">
        <v>82</v>
      </c>
      <c r="G255" s="201">
        <v>248.76</v>
      </c>
      <c r="H255" s="201">
        <v>238.15</v>
      </c>
      <c r="I255" s="202">
        <f t="shared" si="58"/>
        <v>10.609999999999985</v>
      </c>
      <c r="J255" s="201">
        <v>446.88</v>
      </c>
      <c r="K255" s="199">
        <v>43627.609027777777</v>
      </c>
      <c r="L255" s="201">
        <v>238.15</v>
      </c>
      <c r="M255" s="203">
        <f t="shared" si="59"/>
        <v>-10.61</v>
      </c>
      <c r="N255" s="204">
        <f t="shared" si="60"/>
        <v>-1</v>
      </c>
      <c r="O255" s="205">
        <f t="shared" si="61"/>
        <v>0</v>
      </c>
      <c r="P255" s="206">
        <f t="shared" si="62"/>
        <v>0</v>
      </c>
      <c r="Q255" s="206">
        <f t="shared" si="63"/>
        <v>-1</v>
      </c>
      <c r="R25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5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195070</v>
      </c>
      <c r="T25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196070</v>
      </c>
      <c r="U255" s="208">
        <f ca="1">IF(Tabla33610673[[#This Row],[Equity]]&lt;Tabla33610673[[#This Row],[Equity Peak]],(Tabla33610673[[#This Row],[Equity Peak]]-Tabla33610673[[#This Row],[Equity]])/Tabla33610673[[#This Row],[Equity Peak]],"")</f>
        <v>5.1002193094303056E-3</v>
      </c>
      <c r="V255" s="209">
        <f t="shared" si="64"/>
        <v>0</v>
      </c>
      <c r="W255" s="209">
        <f t="shared" si="65"/>
        <v>0</v>
      </c>
      <c r="X255" s="209">
        <f t="shared" si="66"/>
        <v>0</v>
      </c>
      <c r="Y255" s="209">
        <f t="shared" si="67"/>
        <v>0</v>
      </c>
      <c r="Z255" s="209">
        <f t="shared" si="68"/>
        <v>0</v>
      </c>
      <c r="AA255" s="205">
        <f t="shared" si="69"/>
        <v>0</v>
      </c>
      <c r="AB255" s="209">
        <f t="shared" si="70"/>
        <v>-1</v>
      </c>
      <c r="AC255" s="205">
        <f t="shared" si="71"/>
        <v>0</v>
      </c>
      <c r="AD255" s="210">
        <f t="shared" si="72"/>
        <v>0.44236111111240461</v>
      </c>
      <c r="AE255" s="210">
        <f t="shared" si="73"/>
        <v>0</v>
      </c>
      <c r="AF255" s="210">
        <f t="shared" si="74"/>
        <v>0.44236111111240461</v>
      </c>
      <c r="AG255" s="210">
        <f t="shared" si="75"/>
        <v>0</v>
      </c>
    </row>
    <row r="256" spans="2:33" ht="15" customHeight="1" x14ac:dyDescent="0.3">
      <c r="B256" s="196" t="s">
        <v>5</v>
      </c>
      <c r="C256" s="197" t="s">
        <v>15</v>
      </c>
      <c r="D256" s="198" t="str">
        <f t="shared" si="57"/>
        <v>C</v>
      </c>
      <c r="E256" s="199">
        <v>43623.5</v>
      </c>
      <c r="F256" s="200" t="s">
        <v>93</v>
      </c>
      <c r="G256" s="201">
        <v>2853.09</v>
      </c>
      <c r="H256" s="201">
        <v>2835.26</v>
      </c>
      <c r="I256" s="202">
        <f t="shared" si="58"/>
        <v>17.829999999999927</v>
      </c>
      <c r="J256" s="201">
        <v>2900.64</v>
      </c>
      <c r="K256" s="199">
        <v>43626.789583333331</v>
      </c>
      <c r="L256" s="201">
        <v>2900.64</v>
      </c>
      <c r="M256" s="203">
        <f t="shared" si="59"/>
        <v>47.55</v>
      </c>
      <c r="N256" s="204">
        <f t="shared" si="60"/>
        <v>2.67</v>
      </c>
      <c r="O256" s="205">
        <f t="shared" si="61"/>
        <v>0</v>
      </c>
      <c r="P256" s="206">
        <f t="shared" si="62"/>
        <v>2.67</v>
      </c>
      <c r="Q256" s="206">
        <f t="shared" si="63"/>
        <v>0</v>
      </c>
      <c r="R25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5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196070</v>
      </c>
      <c r="T25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196070</v>
      </c>
      <c r="U256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256" s="209">
        <f t="shared" si="64"/>
        <v>0</v>
      </c>
      <c r="W256" s="209">
        <f t="shared" si="65"/>
        <v>0</v>
      </c>
      <c r="X256" s="209">
        <f t="shared" si="66"/>
        <v>0</v>
      </c>
      <c r="Y256" s="209">
        <f t="shared" si="67"/>
        <v>0</v>
      </c>
      <c r="Z256" s="209">
        <f t="shared" si="68"/>
        <v>2.67</v>
      </c>
      <c r="AA256" s="205">
        <f t="shared" si="69"/>
        <v>0</v>
      </c>
      <c r="AB256" s="209">
        <f t="shared" si="70"/>
        <v>0</v>
      </c>
      <c r="AC256" s="205">
        <f t="shared" si="71"/>
        <v>0</v>
      </c>
      <c r="AD256" s="210">
        <f t="shared" si="72"/>
        <v>3.2895833333313931</v>
      </c>
      <c r="AE256" s="210">
        <f t="shared" si="73"/>
        <v>3.2895833333313931</v>
      </c>
      <c r="AF256" s="210">
        <f t="shared" si="74"/>
        <v>0</v>
      </c>
      <c r="AG256" s="210">
        <f t="shared" si="75"/>
        <v>0</v>
      </c>
    </row>
    <row r="257" spans="2:33" ht="15" customHeight="1" x14ac:dyDescent="0.3">
      <c r="B257" s="196" t="s">
        <v>84</v>
      </c>
      <c r="C257" s="197" t="s">
        <v>13</v>
      </c>
      <c r="D257" s="198" t="str">
        <f t="shared" si="57"/>
        <v>C</v>
      </c>
      <c r="E257" s="199">
        <v>43626.166666666664</v>
      </c>
      <c r="F257" s="200" t="s">
        <v>82</v>
      </c>
      <c r="G257" s="201">
        <v>232.73</v>
      </c>
      <c r="H257" s="201">
        <v>242.41</v>
      </c>
      <c r="I257" s="202">
        <f t="shared" si="58"/>
        <v>9.6800000000000068</v>
      </c>
      <c r="J257" s="201">
        <v>51.99</v>
      </c>
      <c r="K257" s="199">
        <v>43626.576388888891</v>
      </c>
      <c r="L257" s="201">
        <v>242.39</v>
      </c>
      <c r="M257" s="203">
        <f t="shared" si="59"/>
        <v>-9.66</v>
      </c>
      <c r="N257" s="204">
        <f t="shared" si="60"/>
        <v>-1</v>
      </c>
      <c r="O257" s="205">
        <f t="shared" si="61"/>
        <v>0</v>
      </c>
      <c r="P257" s="206">
        <f t="shared" si="62"/>
        <v>0</v>
      </c>
      <c r="Q257" s="206">
        <f t="shared" si="63"/>
        <v>-1</v>
      </c>
      <c r="R25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5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193400</v>
      </c>
      <c r="T25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194560</v>
      </c>
      <c r="U257" s="208">
        <f ca="1">IF(Tabla33610673[[#This Row],[Equity]]&lt;Tabla33610673[[#This Row],[Equity Peak]],(Tabla33610673[[#This Row],[Equity Peak]]-Tabla33610673[[#This Row],[Equity]])/Tabla33610673[[#This Row],[Equity Peak]],"")</f>
        <v>5.9621710526315793E-3</v>
      </c>
      <c r="V257" s="209">
        <f t="shared" si="64"/>
        <v>0</v>
      </c>
      <c r="W257" s="209">
        <f t="shared" si="65"/>
        <v>0</v>
      </c>
      <c r="X257" s="209">
        <f t="shared" si="66"/>
        <v>0</v>
      </c>
      <c r="Y257" s="209">
        <f t="shared" si="67"/>
        <v>0</v>
      </c>
      <c r="Z257" s="209">
        <f t="shared" si="68"/>
        <v>0</v>
      </c>
      <c r="AA257" s="205">
        <f t="shared" si="69"/>
        <v>0</v>
      </c>
      <c r="AB257" s="209">
        <f t="shared" si="70"/>
        <v>-1</v>
      </c>
      <c r="AC257" s="205">
        <f t="shared" si="71"/>
        <v>0</v>
      </c>
      <c r="AD257" s="210">
        <f t="shared" si="72"/>
        <v>0.40972222222626442</v>
      </c>
      <c r="AE257" s="210">
        <f t="shared" si="73"/>
        <v>0</v>
      </c>
      <c r="AF257" s="210">
        <f t="shared" si="74"/>
        <v>0.40972222222626442</v>
      </c>
      <c r="AG257" s="210">
        <f t="shared" si="75"/>
        <v>0</v>
      </c>
    </row>
    <row r="258" spans="2:33" ht="15" customHeight="1" x14ac:dyDescent="0.3">
      <c r="B258" s="196" t="s">
        <v>19</v>
      </c>
      <c r="C258" s="197" t="s">
        <v>15</v>
      </c>
      <c r="D258" s="198" t="str">
        <f t="shared" si="57"/>
        <v>C</v>
      </c>
      <c r="E258" s="199">
        <v>43620.208333333336</v>
      </c>
      <c r="F258" s="200" t="s">
        <v>89</v>
      </c>
      <c r="G258" s="201">
        <v>14.773999999999999</v>
      </c>
      <c r="H258" s="201">
        <v>14.62</v>
      </c>
      <c r="I258" s="202">
        <f t="shared" si="58"/>
        <v>0.15399999999999991</v>
      </c>
      <c r="J258" s="201">
        <v>15.515000000000001</v>
      </c>
      <c r="K258" s="199">
        <v>43626.457638888889</v>
      </c>
      <c r="L258" s="201">
        <v>14.75</v>
      </c>
      <c r="M258" s="203">
        <f t="shared" si="59"/>
        <v>-2.4E-2</v>
      </c>
      <c r="N258" s="204">
        <f t="shared" si="60"/>
        <v>-0.16</v>
      </c>
      <c r="O258" s="205">
        <f t="shared" si="61"/>
        <v>0</v>
      </c>
      <c r="P258" s="206">
        <f t="shared" si="62"/>
        <v>0</v>
      </c>
      <c r="Q258" s="206">
        <f t="shared" si="63"/>
        <v>-0.16</v>
      </c>
      <c r="R25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5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194400</v>
      </c>
      <c r="T25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194560</v>
      </c>
      <c r="U258" s="208">
        <f ca="1">IF(Tabla33610673[[#This Row],[Equity]]&lt;Tabla33610673[[#This Row],[Equity Peak]],(Tabla33610673[[#This Row],[Equity Peak]]-Tabla33610673[[#This Row],[Equity]])/Tabla33610673[[#This Row],[Equity Peak]],"")</f>
        <v>8.2236842105263153E-4</v>
      </c>
      <c r="V258" s="209">
        <f t="shared" si="64"/>
        <v>0</v>
      </c>
      <c r="W258" s="209">
        <f t="shared" si="65"/>
        <v>0</v>
      </c>
      <c r="X258" s="209">
        <f t="shared" si="66"/>
        <v>-0.16</v>
      </c>
      <c r="Y258" s="209">
        <f t="shared" si="67"/>
        <v>0</v>
      </c>
      <c r="Z258" s="209">
        <f t="shared" si="68"/>
        <v>0</v>
      </c>
      <c r="AA258" s="205">
        <f t="shared" si="69"/>
        <v>0</v>
      </c>
      <c r="AB258" s="209">
        <f t="shared" si="70"/>
        <v>0</v>
      </c>
      <c r="AC258" s="205">
        <f t="shared" si="71"/>
        <v>0</v>
      </c>
      <c r="AD258" s="210">
        <f t="shared" si="72"/>
        <v>6.2493055555532919</v>
      </c>
      <c r="AE258" s="210">
        <f t="shared" si="73"/>
        <v>0</v>
      </c>
      <c r="AF258" s="210">
        <f t="shared" si="74"/>
        <v>6.2493055555532919</v>
      </c>
      <c r="AG258" s="210">
        <f t="shared" si="75"/>
        <v>0</v>
      </c>
    </row>
    <row r="259" spans="2:33" ht="15" customHeight="1" x14ac:dyDescent="0.3">
      <c r="B259" s="196" t="s">
        <v>19</v>
      </c>
      <c r="C259" s="197" t="s">
        <v>13</v>
      </c>
      <c r="D259" s="198" t="str">
        <f t="shared" si="57"/>
        <v>C</v>
      </c>
      <c r="E259" s="199">
        <v>43607.958333333336</v>
      </c>
      <c r="F259" s="200" t="s">
        <v>108</v>
      </c>
      <c r="G259" s="201">
        <v>61.253999999999998</v>
      </c>
      <c r="H259" s="201">
        <v>62.417000000000002</v>
      </c>
      <c r="I259" s="202">
        <f t="shared" si="58"/>
        <v>1.1630000000000038</v>
      </c>
      <c r="J259" s="201">
        <v>47.293999999999997</v>
      </c>
      <c r="K259" s="199">
        <v>43626.027777777781</v>
      </c>
      <c r="L259" s="201">
        <v>54.643999999999998</v>
      </c>
      <c r="M259" s="203">
        <f t="shared" si="59"/>
        <v>6.61</v>
      </c>
      <c r="N259" s="204">
        <f t="shared" si="60"/>
        <v>5.68</v>
      </c>
      <c r="O259" s="205">
        <f t="shared" si="61"/>
        <v>0</v>
      </c>
      <c r="P259" s="206">
        <f t="shared" si="62"/>
        <v>5.68</v>
      </c>
      <c r="Q259" s="206">
        <f t="shared" si="63"/>
        <v>0</v>
      </c>
      <c r="R25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5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194560</v>
      </c>
      <c r="T25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194560</v>
      </c>
      <c r="U259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259" s="209">
        <f t="shared" si="64"/>
        <v>0</v>
      </c>
      <c r="W259" s="209">
        <f t="shared" si="65"/>
        <v>0</v>
      </c>
      <c r="X259" s="209">
        <f t="shared" si="66"/>
        <v>5.68</v>
      </c>
      <c r="Y259" s="209">
        <f t="shared" si="67"/>
        <v>0</v>
      </c>
      <c r="Z259" s="209">
        <f t="shared" si="68"/>
        <v>0</v>
      </c>
      <c r="AA259" s="205">
        <f t="shared" si="69"/>
        <v>0</v>
      </c>
      <c r="AB259" s="209">
        <f t="shared" si="70"/>
        <v>0</v>
      </c>
      <c r="AC259" s="205">
        <f t="shared" si="71"/>
        <v>0</v>
      </c>
      <c r="AD259" s="210">
        <f t="shared" si="72"/>
        <v>18.069444444445253</v>
      </c>
      <c r="AE259" s="210">
        <f t="shared" si="73"/>
        <v>18.069444444445253</v>
      </c>
      <c r="AF259" s="210">
        <f t="shared" si="74"/>
        <v>0</v>
      </c>
      <c r="AG259" s="210">
        <f t="shared" si="75"/>
        <v>0</v>
      </c>
    </row>
    <row r="260" spans="2:33" ht="15" customHeight="1" x14ac:dyDescent="0.3">
      <c r="B260" s="196" t="s">
        <v>84</v>
      </c>
      <c r="C260" s="197" t="s">
        <v>15</v>
      </c>
      <c r="D260" s="198" t="str">
        <f t="shared" si="57"/>
        <v>C</v>
      </c>
      <c r="E260" s="199">
        <v>43623.166666666664</v>
      </c>
      <c r="F260" s="200" t="s">
        <v>82</v>
      </c>
      <c r="G260" s="201">
        <v>248.94</v>
      </c>
      <c r="H260" s="201">
        <v>239.06</v>
      </c>
      <c r="I260" s="202">
        <f t="shared" si="58"/>
        <v>9.8799999999999955</v>
      </c>
      <c r="J260" s="201">
        <v>433.4</v>
      </c>
      <c r="K260" s="199">
        <v>43626</v>
      </c>
      <c r="L260" s="201">
        <v>243.83</v>
      </c>
      <c r="M260" s="203">
        <f t="shared" si="59"/>
        <v>-5.1100000000000003</v>
      </c>
      <c r="N260" s="204">
        <f t="shared" si="60"/>
        <v>-0.52</v>
      </c>
      <c r="O260" s="205">
        <f t="shared" si="61"/>
        <v>0</v>
      </c>
      <c r="P260" s="206">
        <f t="shared" si="62"/>
        <v>0</v>
      </c>
      <c r="Q260" s="206">
        <f t="shared" si="63"/>
        <v>-0.52</v>
      </c>
      <c r="R26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6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188880</v>
      </c>
      <c r="T26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191330</v>
      </c>
      <c r="U260" s="208">
        <f ca="1">IF(Tabla33610673[[#This Row],[Equity]]&lt;Tabla33610673[[#This Row],[Equity Peak]],(Tabla33610673[[#This Row],[Equity Peak]]-Tabla33610673[[#This Row],[Equity]])/Tabla33610673[[#This Row],[Equity Peak]],"")</f>
        <v>1.2805101134166101E-2</v>
      </c>
      <c r="V260" s="209">
        <f t="shared" si="64"/>
        <v>0</v>
      </c>
      <c r="W260" s="209">
        <f t="shared" si="65"/>
        <v>0</v>
      </c>
      <c r="X260" s="209">
        <f t="shared" si="66"/>
        <v>0</v>
      </c>
      <c r="Y260" s="209">
        <f t="shared" si="67"/>
        <v>0</v>
      </c>
      <c r="Z260" s="209">
        <f t="shared" si="68"/>
        <v>0</v>
      </c>
      <c r="AA260" s="205">
        <f t="shared" si="69"/>
        <v>0</v>
      </c>
      <c r="AB260" s="209">
        <f t="shared" si="70"/>
        <v>-0.52</v>
      </c>
      <c r="AC260" s="205">
        <f t="shared" si="71"/>
        <v>0</v>
      </c>
      <c r="AD260" s="210">
        <f t="shared" si="72"/>
        <v>2.8333333333357587</v>
      </c>
      <c r="AE260" s="210">
        <f t="shared" si="73"/>
        <v>0</v>
      </c>
      <c r="AF260" s="210">
        <f t="shared" si="74"/>
        <v>2.8333333333357587</v>
      </c>
      <c r="AG260" s="210">
        <f t="shared" si="75"/>
        <v>0</v>
      </c>
    </row>
    <row r="261" spans="2:33" ht="15" customHeight="1" x14ac:dyDescent="0.3">
      <c r="B261" s="196" t="s">
        <v>84</v>
      </c>
      <c r="C261" s="197" t="s">
        <v>13</v>
      </c>
      <c r="D261" s="198" t="str">
        <f t="shared" si="57"/>
        <v>C</v>
      </c>
      <c r="E261" s="199">
        <v>43620.333333333336</v>
      </c>
      <c r="F261" s="200" t="s">
        <v>80</v>
      </c>
      <c r="G261" s="201">
        <v>7923.09</v>
      </c>
      <c r="H261" s="201">
        <v>8424.24</v>
      </c>
      <c r="I261" s="202">
        <f t="shared" si="58"/>
        <v>501.14999999999964</v>
      </c>
      <c r="J261" s="201">
        <v>405.78</v>
      </c>
      <c r="K261" s="199">
        <v>43623.434027777781</v>
      </c>
      <c r="L261" s="201">
        <v>7962.32</v>
      </c>
      <c r="M261" s="203">
        <f t="shared" si="59"/>
        <v>-39.229999999999997</v>
      </c>
      <c r="N261" s="204">
        <f t="shared" si="60"/>
        <v>-0.08</v>
      </c>
      <c r="O261" s="205">
        <f t="shared" si="61"/>
        <v>0</v>
      </c>
      <c r="P261" s="206">
        <f t="shared" si="62"/>
        <v>0</v>
      </c>
      <c r="Q261" s="206">
        <f t="shared" si="63"/>
        <v>-0.08</v>
      </c>
      <c r="R26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6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189400</v>
      </c>
      <c r="T26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191330</v>
      </c>
      <c r="U261" s="208">
        <f ca="1">IF(Tabla33610673[[#This Row],[Equity]]&lt;Tabla33610673[[#This Row],[Equity Peak]],(Tabla33610673[[#This Row],[Equity Peak]]-Tabla33610673[[#This Row],[Equity]])/Tabla33610673[[#This Row],[Equity Peak]],"")</f>
        <v>1.008728375058799E-2</v>
      </c>
      <c r="V261" s="209">
        <f t="shared" si="64"/>
        <v>0</v>
      </c>
      <c r="W261" s="209">
        <f t="shared" si="65"/>
        <v>0</v>
      </c>
      <c r="X261" s="209">
        <f t="shared" si="66"/>
        <v>0</v>
      </c>
      <c r="Y261" s="209">
        <f t="shared" si="67"/>
        <v>0</v>
      </c>
      <c r="Z261" s="209">
        <f t="shared" si="68"/>
        <v>0</v>
      </c>
      <c r="AA261" s="205">
        <f t="shared" si="69"/>
        <v>0</v>
      </c>
      <c r="AB261" s="209">
        <f t="shared" si="70"/>
        <v>-0.08</v>
      </c>
      <c r="AC261" s="205">
        <f t="shared" si="71"/>
        <v>0</v>
      </c>
      <c r="AD261" s="210">
        <f t="shared" si="72"/>
        <v>3.1006944444452529</v>
      </c>
      <c r="AE261" s="210">
        <f t="shared" si="73"/>
        <v>0</v>
      </c>
      <c r="AF261" s="210">
        <f t="shared" si="74"/>
        <v>3.1006944444452529</v>
      </c>
      <c r="AG261" s="210">
        <f t="shared" si="75"/>
        <v>0</v>
      </c>
    </row>
    <row r="262" spans="2:33" ht="15" customHeight="1" x14ac:dyDescent="0.3">
      <c r="B262" s="196" t="s">
        <v>84</v>
      </c>
      <c r="C262" s="197" t="s">
        <v>13</v>
      </c>
      <c r="D262" s="198" t="str">
        <f t="shared" si="57"/>
        <v>C</v>
      </c>
      <c r="E262" s="199">
        <v>43623.017361111109</v>
      </c>
      <c r="F262" s="200" t="s">
        <v>82</v>
      </c>
      <c r="G262" s="201">
        <v>241.66</v>
      </c>
      <c r="H262" s="201">
        <v>250.88</v>
      </c>
      <c r="I262" s="202">
        <f t="shared" si="58"/>
        <v>9.2199999999999989</v>
      </c>
      <c r="J262" s="201">
        <v>69.52</v>
      </c>
      <c r="K262" s="199">
        <v>43623.081250000003</v>
      </c>
      <c r="L262" s="201">
        <v>249.76</v>
      </c>
      <c r="M262" s="203">
        <f t="shared" si="59"/>
        <v>-8.1</v>
      </c>
      <c r="N262" s="204">
        <f t="shared" si="60"/>
        <v>-0.88</v>
      </c>
      <c r="O262" s="205">
        <f t="shared" si="61"/>
        <v>0</v>
      </c>
      <c r="P262" s="206">
        <f t="shared" si="62"/>
        <v>0</v>
      </c>
      <c r="Q262" s="206">
        <f t="shared" si="63"/>
        <v>-0.88</v>
      </c>
      <c r="R26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6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189480</v>
      </c>
      <c r="T26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191330</v>
      </c>
      <c r="U262" s="208">
        <f ca="1">IF(Tabla33610673[[#This Row],[Equity]]&lt;Tabla33610673[[#This Row],[Equity Peak]],(Tabla33610673[[#This Row],[Equity Peak]]-Tabla33610673[[#This Row],[Equity]])/Tabla33610673[[#This Row],[Equity Peak]],"")</f>
        <v>9.6691579992682804E-3</v>
      </c>
      <c r="V262" s="209">
        <f t="shared" si="64"/>
        <v>0</v>
      </c>
      <c r="W262" s="209">
        <f t="shared" si="65"/>
        <v>0</v>
      </c>
      <c r="X262" s="209">
        <f t="shared" si="66"/>
        <v>0</v>
      </c>
      <c r="Y262" s="209">
        <f t="shared" si="67"/>
        <v>0</v>
      </c>
      <c r="Z262" s="209">
        <f t="shared" si="68"/>
        <v>0</v>
      </c>
      <c r="AA262" s="205">
        <f t="shared" si="69"/>
        <v>0</v>
      </c>
      <c r="AB262" s="209">
        <f t="shared" si="70"/>
        <v>-0.88</v>
      </c>
      <c r="AC262" s="205">
        <f t="shared" si="71"/>
        <v>0</v>
      </c>
      <c r="AD262" s="210">
        <f t="shared" si="72"/>
        <v>6.3888888893416151E-2</v>
      </c>
      <c r="AE262" s="210">
        <f t="shared" si="73"/>
        <v>0</v>
      </c>
      <c r="AF262" s="210">
        <f t="shared" si="74"/>
        <v>6.3888888893416151E-2</v>
      </c>
      <c r="AG262" s="210">
        <f t="shared" si="75"/>
        <v>0</v>
      </c>
    </row>
    <row r="263" spans="2:33" ht="15" customHeight="1" x14ac:dyDescent="0.3">
      <c r="B263" s="196" t="s">
        <v>84</v>
      </c>
      <c r="C263" s="197" t="s">
        <v>15</v>
      </c>
      <c r="D263" s="198" t="str">
        <f t="shared" si="57"/>
        <v>C</v>
      </c>
      <c r="E263" s="199">
        <v>43621.5</v>
      </c>
      <c r="F263" s="200" t="s">
        <v>82</v>
      </c>
      <c r="G263" s="201">
        <v>247.16</v>
      </c>
      <c r="H263" s="201">
        <v>235.21</v>
      </c>
      <c r="I263" s="202">
        <f t="shared" si="58"/>
        <v>11.949999999999989</v>
      </c>
      <c r="J263" s="201">
        <v>470.16</v>
      </c>
      <c r="K263" s="199">
        <v>43622.942361111112</v>
      </c>
      <c r="L263" s="201">
        <v>235.6</v>
      </c>
      <c r="M263" s="203">
        <f t="shared" si="59"/>
        <v>-11.56</v>
      </c>
      <c r="N263" s="204">
        <f t="shared" si="60"/>
        <v>-0.97</v>
      </c>
      <c r="O263" s="205">
        <f t="shared" si="61"/>
        <v>0</v>
      </c>
      <c r="P263" s="206">
        <f t="shared" si="62"/>
        <v>0</v>
      </c>
      <c r="Q263" s="206">
        <f t="shared" si="63"/>
        <v>-0.97</v>
      </c>
      <c r="R26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6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190360</v>
      </c>
      <c r="T26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191330</v>
      </c>
      <c r="U263" s="208">
        <f ca="1">IF(Tabla33610673[[#This Row],[Equity]]&lt;Tabla33610673[[#This Row],[Equity Peak]],(Tabla33610673[[#This Row],[Equity Peak]]-Tabla33610673[[#This Row],[Equity]])/Tabla33610673[[#This Row],[Equity Peak]],"")</f>
        <v>5.0697747347514767E-3</v>
      </c>
      <c r="V263" s="209">
        <f t="shared" si="64"/>
        <v>0</v>
      </c>
      <c r="W263" s="209">
        <f t="shared" si="65"/>
        <v>0</v>
      </c>
      <c r="X263" s="209">
        <f t="shared" si="66"/>
        <v>0</v>
      </c>
      <c r="Y263" s="209">
        <f t="shared" si="67"/>
        <v>0</v>
      </c>
      <c r="Z263" s="209">
        <f t="shared" si="68"/>
        <v>0</v>
      </c>
      <c r="AA263" s="205">
        <f t="shared" si="69"/>
        <v>0</v>
      </c>
      <c r="AB263" s="209">
        <f t="shared" si="70"/>
        <v>-0.97</v>
      </c>
      <c r="AC263" s="205">
        <f t="shared" si="71"/>
        <v>0</v>
      </c>
      <c r="AD263" s="210">
        <f t="shared" si="72"/>
        <v>1.4423611111124046</v>
      </c>
      <c r="AE263" s="210">
        <f t="shared" si="73"/>
        <v>0</v>
      </c>
      <c r="AF263" s="210">
        <f t="shared" si="74"/>
        <v>1.4423611111124046</v>
      </c>
      <c r="AG263" s="210">
        <f t="shared" si="75"/>
        <v>0</v>
      </c>
    </row>
    <row r="264" spans="2:33" ht="15" customHeight="1" x14ac:dyDescent="0.3">
      <c r="B264" s="196" t="s">
        <v>19</v>
      </c>
      <c r="C264" s="197" t="s">
        <v>15</v>
      </c>
      <c r="D264" s="198" t="str">
        <f t="shared" si="57"/>
        <v>C</v>
      </c>
      <c r="E264" s="199">
        <v>43615.875</v>
      </c>
      <c r="F264" s="200" t="s">
        <v>88</v>
      </c>
      <c r="G264" s="201">
        <v>1288.07</v>
      </c>
      <c r="H264" s="201">
        <v>1277.7</v>
      </c>
      <c r="I264" s="202">
        <f t="shared" si="58"/>
        <v>10.369999999999891</v>
      </c>
      <c r="J264" s="201">
        <v>1354.41</v>
      </c>
      <c r="K264" s="199">
        <v>43621.800694444442</v>
      </c>
      <c r="L264" s="201">
        <v>1326.98</v>
      </c>
      <c r="M264" s="203">
        <f t="shared" si="59"/>
        <v>38.909999999999997</v>
      </c>
      <c r="N264" s="204">
        <f t="shared" si="60"/>
        <v>3.75</v>
      </c>
      <c r="O264" s="205">
        <f t="shared" si="61"/>
        <v>0</v>
      </c>
      <c r="P264" s="206">
        <f t="shared" si="62"/>
        <v>3.75</v>
      </c>
      <c r="Q264" s="206">
        <f t="shared" si="63"/>
        <v>0</v>
      </c>
      <c r="R26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6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191330</v>
      </c>
      <c r="T26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191330</v>
      </c>
      <c r="U264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264" s="209">
        <f t="shared" si="64"/>
        <v>0</v>
      </c>
      <c r="W264" s="209">
        <f t="shared" si="65"/>
        <v>0</v>
      </c>
      <c r="X264" s="209">
        <f t="shared" si="66"/>
        <v>3.75</v>
      </c>
      <c r="Y264" s="209">
        <f t="shared" si="67"/>
        <v>0</v>
      </c>
      <c r="Z264" s="209">
        <f t="shared" si="68"/>
        <v>0</v>
      </c>
      <c r="AA264" s="205">
        <f t="shared" si="69"/>
        <v>0</v>
      </c>
      <c r="AB264" s="209">
        <f t="shared" si="70"/>
        <v>0</v>
      </c>
      <c r="AC264" s="205">
        <f t="shared" si="71"/>
        <v>0</v>
      </c>
      <c r="AD264" s="210">
        <f t="shared" si="72"/>
        <v>5.9256944444423425</v>
      </c>
      <c r="AE264" s="210">
        <f t="shared" si="73"/>
        <v>5.9256944444423425</v>
      </c>
      <c r="AF264" s="210">
        <f t="shared" si="74"/>
        <v>0</v>
      </c>
      <c r="AG264" s="210">
        <f t="shared" si="75"/>
        <v>0</v>
      </c>
    </row>
    <row r="265" spans="2:33" ht="15" customHeight="1" x14ac:dyDescent="0.3">
      <c r="B265" s="196" t="s">
        <v>84</v>
      </c>
      <c r="C265" s="197" t="s">
        <v>13</v>
      </c>
      <c r="D265" s="198" t="str">
        <f t="shared" si="57"/>
        <v>C</v>
      </c>
      <c r="E265" s="199">
        <v>43621.333333333336</v>
      </c>
      <c r="F265" s="200" t="s">
        <v>82</v>
      </c>
      <c r="G265" s="201">
        <v>241.73</v>
      </c>
      <c r="H265" s="201">
        <v>253.95</v>
      </c>
      <c r="I265" s="202">
        <f t="shared" si="58"/>
        <v>12.219999999999999</v>
      </c>
      <c r="J265" s="201">
        <v>13.69</v>
      </c>
      <c r="K265" s="199">
        <v>43621.5</v>
      </c>
      <c r="L265" s="201">
        <v>247.16</v>
      </c>
      <c r="M265" s="203">
        <f t="shared" si="59"/>
        <v>-5.43</v>
      </c>
      <c r="N265" s="204">
        <f t="shared" si="60"/>
        <v>-0.44</v>
      </c>
      <c r="O265" s="205">
        <f t="shared" si="61"/>
        <v>0</v>
      </c>
      <c r="P265" s="206">
        <f t="shared" si="62"/>
        <v>0</v>
      </c>
      <c r="Q265" s="206">
        <f t="shared" si="63"/>
        <v>-0.44</v>
      </c>
      <c r="R26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6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187580</v>
      </c>
      <c r="T26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190020</v>
      </c>
      <c r="U265" s="208">
        <f ca="1">IF(Tabla33610673[[#This Row],[Equity]]&lt;Tabla33610673[[#This Row],[Equity Peak]],(Tabla33610673[[#This Row],[Equity Peak]]-Tabla33610673[[#This Row],[Equity]])/Tabla33610673[[#This Row],[Equity Peak]],"")</f>
        <v>1.2840753604883697E-2</v>
      </c>
      <c r="V265" s="209">
        <f t="shared" si="64"/>
        <v>0</v>
      </c>
      <c r="W265" s="209">
        <f t="shared" si="65"/>
        <v>0</v>
      </c>
      <c r="X265" s="209">
        <f t="shared" si="66"/>
        <v>0</v>
      </c>
      <c r="Y265" s="209">
        <f t="shared" si="67"/>
        <v>0</v>
      </c>
      <c r="Z265" s="209">
        <f t="shared" si="68"/>
        <v>0</v>
      </c>
      <c r="AA265" s="205">
        <f t="shared" si="69"/>
        <v>0</v>
      </c>
      <c r="AB265" s="209">
        <f t="shared" si="70"/>
        <v>-0.44</v>
      </c>
      <c r="AC265" s="205">
        <f t="shared" si="71"/>
        <v>0</v>
      </c>
      <c r="AD265" s="210">
        <f t="shared" si="72"/>
        <v>0.16666666666424135</v>
      </c>
      <c r="AE265" s="210">
        <f t="shared" si="73"/>
        <v>0</v>
      </c>
      <c r="AF265" s="210">
        <f t="shared" si="74"/>
        <v>0.16666666666424135</v>
      </c>
      <c r="AG265" s="210">
        <f t="shared" si="75"/>
        <v>0</v>
      </c>
    </row>
    <row r="266" spans="2:33" ht="15" customHeight="1" x14ac:dyDescent="0.3">
      <c r="B266" s="196" t="s">
        <v>7</v>
      </c>
      <c r="C266" s="197" t="s">
        <v>15</v>
      </c>
      <c r="D266" s="198" t="str">
        <f t="shared" si="57"/>
        <v>C</v>
      </c>
      <c r="E266" s="199">
        <v>43620.333333333336</v>
      </c>
      <c r="F266" s="200" t="s">
        <v>120</v>
      </c>
      <c r="G266" s="201">
        <v>1.6144700000000001</v>
      </c>
      <c r="H266" s="201">
        <v>1.60876</v>
      </c>
      <c r="I266" s="202">
        <f t="shared" si="58"/>
        <v>5.7100000000001039E-3</v>
      </c>
      <c r="J266" s="201">
        <v>1.67536</v>
      </c>
      <c r="K266" s="199">
        <v>43620.770138888889</v>
      </c>
      <c r="L266" s="201">
        <v>1.60876</v>
      </c>
      <c r="M266" s="203">
        <f t="shared" si="59"/>
        <v>-5.7000000000000002E-3</v>
      </c>
      <c r="N266" s="204">
        <f t="shared" si="60"/>
        <v>-1</v>
      </c>
      <c r="O266" s="205">
        <f t="shared" si="61"/>
        <v>0</v>
      </c>
      <c r="P266" s="206">
        <f t="shared" si="62"/>
        <v>0</v>
      </c>
      <c r="Q266" s="206">
        <f t="shared" si="63"/>
        <v>-1</v>
      </c>
      <c r="R26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6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188020</v>
      </c>
      <c r="T26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190020</v>
      </c>
      <c r="U266" s="208">
        <f ca="1">IF(Tabla33610673[[#This Row],[Equity]]&lt;Tabla33610673[[#This Row],[Equity Peak]],(Tabla33610673[[#This Row],[Equity Peak]]-Tabla33610673[[#This Row],[Equity]])/Tabla33610673[[#This Row],[Equity Peak]],"")</f>
        <v>1.0525207872855489E-2</v>
      </c>
      <c r="V266" s="209">
        <f t="shared" si="64"/>
        <v>-1</v>
      </c>
      <c r="W266" s="209">
        <f t="shared" si="65"/>
        <v>0</v>
      </c>
      <c r="X266" s="209">
        <f t="shared" si="66"/>
        <v>0</v>
      </c>
      <c r="Y266" s="209">
        <f t="shared" si="67"/>
        <v>0</v>
      </c>
      <c r="Z266" s="209">
        <f t="shared" si="68"/>
        <v>0</v>
      </c>
      <c r="AA266" s="205">
        <f t="shared" si="69"/>
        <v>0</v>
      </c>
      <c r="AB266" s="209">
        <f t="shared" si="70"/>
        <v>0</v>
      </c>
      <c r="AC266" s="205">
        <f t="shared" si="71"/>
        <v>0</v>
      </c>
      <c r="AD266" s="210">
        <f t="shared" si="72"/>
        <v>0.43680555555329192</v>
      </c>
      <c r="AE266" s="210">
        <f t="shared" si="73"/>
        <v>0</v>
      </c>
      <c r="AF266" s="210">
        <f t="shared" si="74"/>
        <v>0.43680555555329192</v>
      </c>
      <c r="AG266" s="210">
        <f t="shared" si="75"/>
        <v>0</v>
      </c>
    </row>
    <row r="267" spans="2:33" ht="15" customHeight="1" x14ac:dyDescent="0.3">
      <c r="B267" s="196" t="s">
        <v>5</v>
      </c>
      <c r="C267" s="197" t="s">
        <v>13</v>
      </c>
      <c r="D267" s="198" t="str">
        <f t="shared" si="57"/>
        <v>C</v>
      </c>
      <c r="E267" s="199">
        <v>43620.423611111109</v>
      </c>
      <c r="F267" s="200" t="s">
        <v>90</v>
      </c>
      <c r="G267" s="201">
        <v>6329.8</v>
      </c>
      <c r="H267" s="201">
        <v>6370.23</v>
      </c>
      <c r="I267" s="202">
        <f t="shared" si="58"/>
        <v>40.429999999999382</v>
      </c>
      <c r="J267" s="201">
        <v>5790.8</v>
      </c>
      <c r="K267" s="199">
        <v>43620.692361111112</v>
      </c>
      <c r="L267" s="201">
        <v>6370.23</v>
      </c>
      <c r="M267" s="203">
        <f t="shared" si="59"/>
        <v>-40.43</v>
      </c>
      <c r="N267" s="204">
        <f t="shared" si="60"/>
        <v>-1</v>
      </c>
      <c r="O267" s="205">
        <f t="shared" si="61"/>
        <v>0</v>
      </c>
      <c r="P267" s="206">
        <f t="shared" si="62"/>
        <v>0</v>
      </c>
      <c r="Q267" s="206">
        <f t="shared" si="63"/>
        <v>-1</v>
      </c>
      <c r="R26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6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189020</v>
      </c>
      <c r="T26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190020</v>
      </c>
      <c r="U267" s="208">
        <f ca="1">IF(Tabla33610673[[#This Row],[Equity]]&lt;Tabla33610673[[#This Row],[Equity Peak]],(Tabla33610673[[#This Row],[Equity Peak]]-Tabla33610673[[#This Row],[Equity]])/Tabla33610673[[#This Row],[Equity Peak]],"")</f>
        <v>5.2626039364277446E-3</v>
      </c>
      <c r="V267" s="209">
        <f t="shared" si="64"/>
        <v>0</v>
      </c>
      <c r="W267" s="209">
        <f t="shared" si="65"/>
        <v>0</v>
      </c>
      <c r="X267" s="209">
        <f t="shared" si="66"/>
        <v>0</v>
      </c>
      <c r="Y267" s="209">
        <f t="shared" si="67"/>
        <v>0</v>
      </c>
      <c r="Z267" s="209">
        <f t="shared" si="68"/>
        <v>-1</v>
      </c>
      <c r="AA267" s="205">
        <f t="shared" si="69"/>
        <v>0</v>
      </c>
      <c r="AB267" s="209">
        <f t="shared" si="70"/>
        <v>0</v>
      </c>
      <c r="AC267" s="205">
        <f t="shared" si="71"/>
        <v>0</v>
      </c>
      <c r="AD267" s="210">
        <f t="shared" si="72"/>
        <v>0.26875000000291038</v>
      </c>
      <c r="AE267" s="210">
        <f t="shared" si="73"/>
        <v>0</v>
      </c>
      <c r="AF267" s="210">
        <f t="shared" si="74"/>
        <v>0.26875000000291038</v>
      </c>
      <c r="AG267" s="210">
        <f t="shared" si="75"/>
        <v>0</v>
      </c>
    </row>
    <row r="268" spans="2:33" ht="15" customHeight="1" x14ac:dyDescent="0.3">
      <c r="B268" s="196" t="s">
        <v>7</v>
      </c>
      <c r="C268" s="197" t="s">
        <v>13</v>
      </c>
      <c r="D268" s="198" t="str">
        <f t="shared" si="57"/>
        <v>C</v>
      </c>
      <c r="E268" s="199">
        <v>43614.017361111109</v>
      </c>
      <c r="F268" s="200" t="s">
        <v>118</v>
      </c>
      <c r="G268" s="201">
        <v>121.947</v>
      </c>
      <c r="H268" s="201">
        <v>122.538</v>
      </c>
      <c r="I268" s="202">
        <f t="shared" si="58"/>
        <v>0.59099999999999397</v>
      </c>
      <c r="J268" s="201">
        <v>119.581</v>
      </c>
      <c r="K268" s="199">
        <v>43619.743750000001</v>
      </c>
      <c r="L268" s="201">
        <v>121.40300000000001</v>
      </c>
      <c r="M268" s="203">
        <f t="shared" si="59"/>
        <v>0.54400000000000004</v>
      </c>
      <c r="N268" s="204">
        <f t="shared" si="60"/>
        <v>0.92</v>
      </c>
      <c r="O268" s="205">
        <f t="shared" si="61"/>
        <v>0</v>
      </c>
      <c r="P268" s="206">
        <f t="shared" si="62"/>
        <v>0.92</v>
      </c>
      <c r="Q268" s="206">
        <f t="shared" si="63"/>
        <v>0</v>
      </c>
      <c r="R26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6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190020</v>
      </c>
      <c r="T26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190020</v>
      </c>
      <c r="U268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268" s="209">
        <f t="shared" si="64"/>
        <v>0.92</v>
      </c>
      <c r="W268" s="209">
        <f t="shared" si="65"/>
        <v>0</v>
      </c>
      <c r="X268" s="209">
        <f t="shared" si="66"/>
        <v>0</v>
      </c>
      <c r="Y268" s="209">
        <f t="shared" si="67"/>
        <v>0</v>
      </c>
      <c r="Z268" s="209">
        <f t="shared" si="68"/>
        <v>0</v>
      </c>
      <c r="AA268" s="205">
        <f t="shared" si="69"/>
        <v>0</v>
      </c>
      <c r="AB268" s="209">
        <f t="shared" si="70"/>
        <v>0</v>
      </c>
      <c r="AC268" s="205">
        <f t="shared" si="71"/>
        <v>0</v>
      </c>
      <c r="AD268" s="210">
        <f t="shared" si="72"/>
        <v>5.726388888891961</v>
      </c>
      <c r="AE268" s="210">
        <f t="shared" si="73"/>
        <v>5.726388888891961</v>
      </c>
      <c r="AF268" s="210">
        <f t="shared" si="74"/>
        <v>0</v>
      </c>
      <c r="AG268" s="210">
        <f t="shared" si="75"/>
        <v>0</v>
      </c>
    </row>
    <row r="269" spans="2:33" ht="15" customHeight="1" x14ac:dyDescent="0.3">
      <c r="B269" s="196" t="s">
        <v>5</v>
      </c>
      <c r="C269" s="197" t="s">
        <v>13</v>
      </c>
      <c r="D269" s="198" t="str">
        <f t="shared" si="57"/>
        <v>C</v>
      </c>
      <c r="E269" s="199">
        <v>43614.166666666664</v>
      </c>
      <c r="F269" s="200" t="s">
        <v>95</v>
      </c>
      <c r="G269" s="201">
        <v>25280.6</v>
      </c>
      <c r="H269" s="201">
        <v>25445.13</v>
      </c>
      <c r="I269" s="202">
        <f t="shared" si="58"/>
        <v>164.53000000000247</v>
      </c>
      <c r="J269" s="201">
        <v>24622.48</v>
      </c>
      <c r="K269" s="199">
        <v>43619.026388888888</v>
      </c>
      <c r="L269" s="201">
        <v>24622.48</v>
      </c>
      <c r="M269" s="203">
        <f t="shared" si="59"/>
        <v>658.12</v>
      </c>
      <c r="N269" s="204">
        <f t="shared" si="60"/>
        <v>4</v>
      </c>
      <c r="O269" s="205">
        <f t="shared" si="61"/>
        <v>0</v>
      </c>
      <c r="P269" s="206">
        <f t="shared" si="62"/>
        <v>4</v>
      </c>
      <c r="Q269" s="206">
        <f t="shared" si="63"/>
        <v>0</v>
      </c>
      <c r="R26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6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189100</v>
      </c>
      <c r="T26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189100</v>
      </c>
      <c r="U269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269" s="209">
        <f t="shared" si="64"/>
        <v>0</v>
      </c>
      <c r="W269" s="209">
        <f t="shared" si="65"/>
        <v>0</v>
      </c>
      <c r="X269" s="209">
        <f t="shared" si="66"/>
        <v>0</v>
      </c>
      <c r="Y269" s="209">
        <f t="shared" si="67"/>
        <v>0</v>
      </c>
      <c r="Z269" s="209">
        <f t="shared" si="68"/>
        <v>4</v>
      </c>
      <c r="AA269" s="205">
        <f t="shared" si="69"/>
        <v>0</v>
      </c>
      <c r="AB269" s="209">
        <f t="shared" si="70"/>
        <v>0</v>
      </c>
      <c r="AC269" s="205">
        <f t="shared" si="71"/>
        <v>0</v>
      </c>
      <c r="AD269" s="210">
        <f t="shared" si="72"/>
        <v>4.859722222223354</v>
      </c>
      <c r="AE269" s="210">
        <f t="shared" si="73"/>
        <v>4.859722222223354</v>
      </c>
      <c r="AF269" s="210">
        <f t="shared" si="74"/>
        <v>0</v>
      </c>
      <c r="AG269" s="210">
        <f t="shared" si="75"/>
        <v>0</v>
      </c>
    </row>
    <row r="270" spans="2:33" ht="15" customHeight="1" x14ac:dyDescent="0.3">
      <c r="B270" s="196" t="s">
        <v>7</v>
      </c>
      <c r="C270" s="197" t="s">
        <v>13</v>
      </c>
      <c r="D270" s="198" t="str">
        <f t="shared" si="57"/>
        <v>C</v>
      </c>
      <c r="E270" s="199">
        <v>43616.017361111109</v>
      </c>
      <c r="F270" s="200" t="s">
        <v>121</v>
      </c>
      <c r="G270" s="201">
        <v>0.69138999999999995</v>
      </c>
      <c r="H270" s="201">
        <v>0.69347999999999999</v>
      </c>
      <c r="I270" s="202">
        <f t="shared" si="58"/>
        <v>2.0900000000000363E-3</v>
      </c>
      <c r="J270" s="201">
        <v>0.68022000000000005</v>
      </c>
      <c r="K270" s="199">
        <v>43616.748611111114</v>
      </c>
      <c r="L270" s="201">
        <v>0.69347999999999999</v>
      </c>
      <c r="M270" s="203">
        <f t="shared" si="59"/>
        <v>-2.0999999999999999E-3</v>
      </c>
      <c r="N270" s="204">
        <f t="shared" si="60"/>
        <v>-1</v>
      </c>
      <c r="O270" s="205">
        <f t="shared" si="61"/>
        <v>0</v>
      </c>
      <c r="P270" s="206">
        <f t="shared" si="62"/>
        <v>0</v>
      </c>
      <c r="Q270" s="206">
        <f t="shared" si="63"/>
        <v>-1</v>
      </c>
      <c r="R27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7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185100</v>
      </c>
      <c r="T27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186100</v>
      </c>
      <c r="U270" s="208">
        <f ca="1">IF(Tabla33610673[[#This Row],[Equity]]&lt;Tabla33610673[[#This Row],[Equity Peak]],(Tabla33610673[[#This Row],[Equity Peak]]-Tabla33610673[[#This Row],[Equity]])/Tabla33610673[[#This Row],[Equity Peak]],"")</f>
        <v>5.3734551316496505E-3</v>
      </c>
      <c r="V270" s="209">
        <f t="shared" si="64"/>
        <v>-1</v>
      </c>
      <c r="W270" s="209">
        <f t="shared" si="65"/>
        <v>0</v>
      </c>
      <c r="X270" s="209">
        <f t="shared" si="66"/>
        <v>0</v>
      </c>
      <c r="Y270" s="209">
        <f t="shared" si="67"/>
        <v>0</v>
      </c>
      <c r="Z270" s="209">
        <f t="shared" si="68"/>
        <v>0</v>
      </c>
      <c r="AA270" s="205">
        <f t="shared" si="69"/>
        <v>0</v>
      </c>
      <c r="AB270" s="209">
        <f t="shared" si="70"/>
        <v>0</v>
      </c>
      <c r="AC270" s="205">
        <f t="shared" si="71"/>
        <v>0</v>
      </c>
      <c r="AD270" s="210">
        <f t="shared" si="72"/>
        <v>0.73125000000436557</v>
      </c>
      <c r="AE270" s="210">
        <f t="shared" si="73"/>
        <v>0</v>
      </c>
      <c r="AF270" s="210">
        <f t="shared" si="74"/>
        <v>0.73125000000436557</v>
      </c>
      <c r="AG270" s="210">
        <f t="shared" si="75"/>
        <v>0</v>
      </c>
    </row>
    <row r="271" spans="2:33" ht="15" customHeight="1" x14ac:dyDescent="0.3">
      <c r="B271" s="196" t="s">
        <v>5</v>
      </c>
      <c r="C271" s="197" t="s">
        <v>13</v>
      </c>
      <c r="D271" s="198" t="str">
        <f t="shared" si="57"/>
        <v>C</v>
      </c>
      <c r="E271" s="199">
        <v>43614.017361111109</v>
      </c>
      <c r="F271" s="200" t="s">
        <v>93</v>
      </c>
      <c r="G271" s="201">
        <v>2803.6</v>
      </c>
      <c r="H271" s="201">
        <v>2820.08</v>
      </c>
      <c r="I271" s="202">
        <f t="shared" si="58"/>
        <v>16.480000000000018</v>
      </c>
      <c r="J271" s="201">
        <v>2759.65</v>
      </c>
      <c r="K271" s="199">
        <v>43616.44027777778</v>
      </c>
      <c r="L271" s="201">
        <v>2759.65</v>
      </c>
      <c r="M271" s="203">
        <f t="shared" si="59"/>
        <v>43.95</v>
      </c>
      <c r="N271" s="204">
        <f t="shared" si="60"/>
        <v>2.67</v>
      </c>
      <c r="O271" s="205">
        <f t="shared" si="61"/>
        <v>0</v>
      </c>
      <c r="P271" s="206">
        <f t="shared" si="62"/>
        <v>2.67</v>
      </c>
      <c r="Q271" s="206">
        <f t="shared" si="63"/>
        <v>0</v>
      </c>
      <c r="R27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7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186100</v>
      </c>
      <c r="T27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186100</v>
      </c>
      <c r="U271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271" s="209">
        <f t="shared" si="64"/>
        <v>0</v>
      </c>
      <c r="W271" s="209">
        <f t="shared" si="65"/>
        <v>0</v>
      </c>
      <c r="X271" s="209">
        <f t="shared" si="66"/>
        <v>0</v>
      </c>
      <c r="Y271" s="209">
        <f t="shared" si="67"/>
        <v>0</v>
      </c>
      <c r="Z271" s="209">
        <f t="shared" si="68"/>
        <v>2.67</v>
      </c>
      <c r="AA271" s="205">
        <f t="shared" si="69"/>
        <v>0</v>
      </c>
      <c r="AB271" s="209">
        <f t="shared" si="70"/>
        <v>0</v>
      </c>
      <c r="AC271" s="205">
        <f t="shared" si="71"/>
        <v>0</v>
      </c>
      <c r="AD271" s="210">
        <f t="shared" si="72"/>
        <v>2.4229166666700621</v>
      </c>
      <c r="AE271" s="210">
        <f t="shared" si="73"/>
        <v>2.4229166666700621</v>
      </c>
      <c r="AF271" s="210">
        <f t="shared" si="74"/>
        <v>0</v>
      </c>
      <c r="AG271" s="210">
        <f t="shared" si="75"/>
        <v>0</v>
      </c>
    </row>
    <row r="272" spans="2:33" ht="15" customHeight="1" x14ac:dyDescent="0.3">
      <c r="B272" s="196" t="s">
        <v>84</v>
      </c>
      <c r="C272" s="197" t="s">
        <v>15</v>
      </c>
      <c r="D272" s="198" t="str">
        <f t="shared" si="57"/>
        <v>C</v>
      </c>
      <c r="E272" s="199">
        <v>43600.166666666664</v>
      </c>
      <c r="F272" s="200" t="s">
        <v>82</v>
      </c>
      <c r="G272" s="201">
        <v>222.39</v>
      </c>
      <c r="H272" s="201">
        <v>206.37</v>
      </c>
      <c r="I272" s="202">
        <f t="shared" si="58"/>
        <v>16.019999999999982</v>
      </c>
      <c r="J272" s="201">
        <v>521.37</v>
      </c>
      <c r="K272" s="199">
        <v>43616.11041666667</v>
      </c>
      <c r="L272" s="201">
        <v>238.74</v>
      </c>
      <c r="M272" s="203">
        <f t="shared" si="59"/>
        <v>16.350000000000001</v>
      </c>
      <c r="N272" s="204">
        <f t="shared" si="60"/>
        <v>1.02</v>
      </c>
      <c r="O272" s="205">
        <f t="shared" si="61"/>
        <v>0</v>
      </c>
      <c r="P272" s="206">
        <f t="shared" si="62"/>
        <v>1.02</v>
      </c>
      <c r="Q272" s="206">
        <f t="shared" si="63"/>
        <v>0</v>
      </c>
      <c r="R27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7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183430</v>
      </c>
      <c r="T27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184550</v>
      </c>
      <c r="U272" s="208">
        <f ca="1">IF(Tabla33610673[[#This Row],[Equity]]&lt;Tabla33610673[[#This Row],[Equity Peak]],(Tabla33610673[[#This Row],[Equity Peak]]-Tabla33610673[[#This Row],[Equity]])/Tabla33610673[[#This Row],[Equity Peak]],"")</f>
        <v>6.0688160390138177E-3</v>
      </c>
      <c r="V272" s="209">
        <f t="shared" si="64"/>
        <v>0</v>
      </c>
      <c r="W272" s="209">
        <f t="shared" si="65"/>
        <v>0</v>
      </c>
      <c r="X272" s="209">
        <f t="shared" si="66"/>
        <v>0</v>
      </c>
      <c r="Y272" s="209">
        <f t="shared" si="67"/>
        <v>0</v>
      </c>
      <c r="Z272" s="209">
        <f t="shared" si="68"/>
        <v>0</v>
      </c>
      <c r="AA272" s="205">
        <f t="shared" si="69"/>
        <v>0</v>
      </c>
      <c r="AB272" s="209">
        <f t="shared" si="70"/>
        <v>1.02</v>
      </c>
      <c r="AC272" s="205">
        <f t="shared" si="71"/>
        <v>0</v>
      </c>
      <c r="AD272" s="210">
        <f t="shared" si="72"/>
        <v>15.943750000005821</v>
      </c>
      <c r="AE272" s="210">
        <f t="shared" si="73"/>
        <v>15.943750000005821</v>
      </c>
      <c r="AF272" s="210">
        <f t="shared" si="74"/>
        <v>0</v>
      </c>
      <c r="AG272" s="210">
        <f t="shared" si="75"/>
        <v>0</v>
      </c>
    </row>
    <row r="273" spans="2:33" ht="15" customHeight="1" x14ac:dyDescent="0.3">
      <c r="B273" s="196" t="s">
        <v>19</v>
      </c>
      <c r="C273" s="197" t="s">
        <v>13</v>
      </c>
      <c r="D273" s="198" t="str">
        <f t="shared" ref="D273:D336" si="76">IF(E273&lt;&gt;"",IF(K273&lt;&gt;"","C","O"),"")</f>
        <v>C</v>
      </c>
      <c r="E273" s="199">
        <v>43601.875</v>
      </c>
      <c r="F273" s="200" t="s">
        <v>89</v>
      </c>
      <c r="G273" s="201">
        <v>14.536</v>
      </c>
      <c r="H273" s="201">
        <v>14.72</v>
      </c>
      <c r="I273" s="202">
        <f t="shared" ref="I273:I336" si="77">ABS(G273-H273)</f>
        <v>0.18400000000000105</v>
      </c>
      <c r="J273" s="201">
        <v>13.654</v>
      </c>
      <c r="K273" s="199">
        <v>43615.814583333333</v>
      </c>
      <c r="L273" s="201">
        <v>14.573</v>
      </c>
      <c r="M273" s="203">
        <f t="shared" ref="M273:M336" si="78">ROUND(IF(C273="L",(L273-G273),(G273-L273)),4)</f>
        <v>-3.6999999999999998E-2</v>
      </c>
      <c r="N273" s="204">
        <f t="shared" ref="N273:N336" si="79">IFERROR(ROUND((M273/I273),2),"")</f>
        <v>-0.2</v>
      </c>
      <c r="O273" s="205">
        <f t="shared" ref="O273:O336" si="80">IF(D273="O",IF(N273&lt;0,N273,0),0)</f>
        <v>0</v>
      </c>
      <c r="P273" s="206">
        <f t="shared" ref="P273:P336" si="81">IF(N273&gt;= 0,N273,0)</f>
        <v>0</v>
      </c>
      <c r="Q273" s="206">
        <f t="shared" ref="Q273:Q336" si="82">IF(N273&lt;0,N273,0)</f>
        <v>-0.2</v>
      </c>
      <c r="R27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7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182410</v>
      </c>
      <c r="T27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184550</v>
      </c>
      <c r="U273" s="208">
        <f ca="1">IF(Tabla33610673[[#This Row],[Equity]]&lt;Tabla33610673[[#This Row],[Equity Peak]],(Tabla33610673[[#This Row],[Equity Peak]]-Tabla33610673[[#This Row],[Equity]])/Tabla33610673[[#This Row],[Equity Peak]],"")</f>
        <v>1.1595773503115686E-2</v>
      </c>
      <c r="V273" s="209">
        <f t="shared" ref="V273:V336" si="83">IF(B273="FX",N273,0)</f>
        <v>0</v>
      </c>
      <c r="W273" s="209">
        <f t="shared" ref="W273:W336" si="84">IF(D273="O",IF(V273&lt;0,V273,0),0)</f>
        <v>0</v>
      </c>
      <c r="X273" s="209">
        <f t="shared" ref="X273:X336" si="85">IF(B273="COM",N273,0)</f>
        <v>-0.2</v>
      </c>
      <c r="Y273" s="209">
        <f t="shared" ref="Y273:Y336" si="86">IF(D273="O",IF(X273&lt;0,X273,0),0)</f>
        <v>0</v>
      </c>
      <c r="Z273" s="209">
        <f t="shared" ref="Z273:Z336" si="87">IF(B273="IND",N273,0)</f>
        <v>0</v>
      </c>
      <c r="AA273" s="205">
        <f t="shared" ref="AA273:AA336" si="88">IF(D273="O",IF(Z273&lt;0,Z273,0),0)</f>
        <v>0</v>
      </c>
      <c r="AB273" s="209">
        <f t="shared" ref="AB273:AB336" si="89">IF(B273="CRYPTO",N273,0)</f>
        <v>0</v>
      </c>
      <c r="AC273" s="205">
        <f t="shared" ref="AC273:AC336" si="90">IF(D273="O",IF(AB273&lt;0,AB273,0),0)</f>
        <v>0</v>
      </c>
      <c r="AD273" s="210">
        <f t="shared" ref="AD273:AD336" si="91">IF(K273&lt;&gt;"",K273-E273,0)</f>
        <v>13.939583333332848</v>
      </c>
      <c r="AE273" s="210">
        <f t="shared" ref="AE273:AE336" si="92">IF(N273&gt;0,AD273,0)</f>
        <v>0</v>
      </c>
      <c r="AF273" s="210">
        <f t="shared" ref="AF273:AF336" si="93">IF(N273&lt;0,AD273,0)</f>
        <v>13.939583333332848</v>
      </c>
      <c r="AG273" s="210">
        <f t="shared" ref="AG273:AG336" si="94">IF(N273=0,AD273,0)</f>
        <v>0</v>
      </c>
    </row>
    <row r="274" spans="2:33" ht="15" customHeight="1" x14ac:dyDescent="0.3">
      <c r="B274" s="196" t="s">
        <v>19</v>
      </c>
      <c r="C274" s="197" t="s">
        <v>13</v>
      </c>
      <c r="D274" s="198" t="str">
        <f t="shared" si="76"/>
        <v>C</v>
      </c>
      <c r="E274" s="199">
        <v>43613.708333333336</v>
      </c>
      <c r="F274" s="200" t="s">
        <v>88</v>
      </c>
      <c r="G274" s="201">
        <v>1278.58</v>
      </c>
      <c r="H274" s="201">
        <v>1285.4100000000001</v>
      </c>
      <c r="I274" s="202">
        <f t="shared" si="77"/>
        <v>6.8300000000001546</v>
      </c>
      <c r="J274" s="201">
        <v>1234.8399999999999</v>
      </c>
      <c r="K274" s="199">
        <v>43614.48333333333</v>
      </c>
      <c r="L274" s="201">
        <v>1285.26</v>
      </c>
      <c r="M274" s="203">
        <f t="shared" si="78"/>
        <v>-6.68</v>
      </c>
      <c r="N274" s="204">
        <f t="shared" si="79"/>
        <v>-0.98</v>
      </c>
      <c r="O274" s="205">
        <f t="shared" si="80"/>
        <v>0</v>
      </c>
      <c r="P274" s="206">
        <f t="shared" si="81"/>
        <v>0</v>
      </c>
      <c r="Q274" s="206">
        <f t="shared" si="82"/>
        <v>-0.98</v>
      </c>
      <c r="R27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7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182610</v>
      </c>
      <c r="T27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184550</v>
      </c>
      <c r="U274" s="208">
        <f ca="1">IF(Tabla33610673[[#This Row],[Equity]]&lt;Tabla33610673[[#This Row],[Equity Peak]],(Tabla33610673[[#This Row],[Equity Peak]]-Tabla33610673[[#This Row],[Equity]])/Tabla33610673[[#This Row],[Equity Peak]],"")</f>
        <v>1.051205635329179E-2</v>
      </c>
      <c r="V274" s="209">
        <f t="shared" si="83"/>
        <v>0</v>
      </c>
      <c r="W274" s="209">
        <f t="shared" si="84"/>
        <v>0</v>
      </c>
      <c r="X274" s="209">
        <f t="shared" si="85"/>
        <v>-0.98</v>
      </c>
      <c r="Y274" s="209">
        <f t="shared" si="86"/>
        <v>0</v>
      </c>
      <c r="Z274" s="209">
        <f t="shared" si="87"/>
        <v>0</v>
      </c>
      <c r="AA274" s="205">
        <f t="shared" si="88"/>
        <v>0</v>
      </c>
      <c r="AB274" s="209">
        <f t="shared" si="89"/>
        <v>0</v>
      </c>
      <c r="AC274" s="205">
        <f t="shared" si="90"/>
        <v>0</v>
      </c>
      <c r="AD274" s="210">
        <f t="shared" si="91"/>
        <v>0.77499999999417923</v>
      </c>
      <c r="AE274" s="210">
        <f t="shared" si="92"/>
        <v>0</v>
      </c>
      <c r="AF274" s="210">
        <f t="shared" si="93"/>
        <v>0.77499999999417923</v>
      </c>
      <c r="AG274" s="210">
        <f t="shared" si="94"/>
        <v>0</v>
      </c>
    </row>
    <row r="275" spans="2:33" ht="15" customHeight="1" x14ac:dyDescent="0.3">
      <c r="B275" s="196" t="s">
        <v>5</v>
      </c>
      <c r="C275" s="197" t="s">
        <v>15</v>
      </c>
      <c r="D275" s="198" t="str">
        <f t="shared" si="76"/>
        <v>C</v>
      </c>
      <c r="E275" s="199">
        <v>43602.5</v>
      </c>
      <c r="F275" s="200" t="s">
        <v>91</v>
      </c>
      <c r="G275" s="201">
        <v>12216.05</v>
      </c>
      <c r="H275" s="201">
        <v>11904.66</v>
      </c>
      <c r="I275" s="202">
        <f t="shared" si="77"/>
        <v>311.38999999999942</v>
      </c>
      <c r="J275" s="201">
        <v>13461.59</v>
      </c>
      <c r="K275" s="199">
        <v>43614.407638888886</v>
      </c>
      <c r="L275" s="201">
        <v>11916.65</v>
      </c>
      <c r="M275" s="203">
        <f t="shared" si="78"/>
        <v>-299.39999999999998</v>
      </c>
      <c r="N275" s="204">
        <f t="shared" si="79"/>
        <v>-0.96</v>
      </c>
      <c r="O275" s="205">
        <f t="shared" si="80"/>
        <v>0</v>
      </c>
      <c r="P275" s="206">
        <f t="shared" si="81"/>
        <v>0</v>
      </c>
      <c r="Q275" s="206">
        <f t="shared" si="82"/>
        <v>-0.96</v>
      </c>
      <c r="R27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7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183590</v>
      </c>
      <c r="T27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184550</v>
      </c>
      <c r="U275" s="208">
        <f ca="1">IF(Tabla33610673[[#This Row],[Equity]]&lt;Tabla33610673[[#This Row],[Equity Peak]],(Tabla33610673[[#This Row],[Equity Peak]]-Tabla33610673[[#This Row],[Equity]])/Tabla33610673[[#This Row],[Equity Peak]],"")</f>
        <v>5.2018423191547009E-3</v>
      </c>
      <c r="V275" s="209">
        <f t="shared" si="83"/>
        <v>0</v>
      </c>
      <c r="W275" s="209">
        <f t="shared" si="84"/>
        <v>0</v>
      </c>
      <c r="X275" s="209">
        <f t="shared" si="85"/>
        <v>0</v>
      </c>
      <c r="Y275" s="209">
        <f t="shared" si="86"/>
        <v>0</v>
      </c>
      <c r="Z275" s="209">
        <f t="shared" si="87"/>
        <v>-0.96</v>
      </c>
      <c r="AA275" s="205">
        <f t="shared" si="88"/>
        <v>0</v>
      </c>
      <c r="AB275" s="209">
        <f t="shared" si="89"/>
        <v>0</v>
      </c>
      <c r="AC275" s="205">
        <f t="shared" si="90"/>
        <v>0</v>
      </c>
      <c r="AD275" s="210">
        <f t="shared" si="91"/>
        <v>11.90763888888614</v>
      </c>
      <c r="AE275" s="210">
        <f t="shared" si="92"/>
        <v>0</v>
      </c>
      <c r="AF275" s="210">
        <f t="shared" si="93"/>
        <v>11.90763888888614</v>
      </c>
      <c r="AG275" s="210">
        <f t="shared" si="94"/>
        <v>0</v>
      </c>
    </row>
    <row r="276" spans="2:33" ht="15" customHeight="1" x14ac:dyDescent="0.3">
      <c r="B276" s="196" t="s">
        <v>5</v>
      </c>
      <c r="C276" s="197" t="s">
        <v>15</v>
      </c>
      <c r="D276" s="198" t="str">
        <f t="shared" si="76"/>
        <v>C</v>
      </c>
      <c r="E276" s="199">
        <v>43601.423611111109</v>
      </c>
      <c r="F276" s="200" t="s">
        <v>90</v>
      </c>
      <c r="G276" s="201">
        <v>6333.6</v>
      </c>
      <c r="H276" s="201">
        <v>6294.32</v>
      </c>
      <c r="I276" s="202">
        <f t="shared" si="77"/>
        <v>39.280000000000655</v>
      </c>
      <c r="J276" s="201">
        <v>6857.31</v>
      </c>
      <c r="K276" s="199">
        <v>43614.2</v>
      </c>
      <c r="L276" s="201">
        <v>6426.35</v>
      </c>
      <c r="M276" s="203">
        <f t="shared" si="78"/>
        <v>92.75</v>
      </c>
      <c r="N276" s="204">
        <f t="shared" si="79"/>
        <v>2.36</v>
      </c>
      <c r="O276" s="205">
        <f t="shared" si="80"/>
        <v>0</v>
      </c>
      <c r="P276" s="206">
        <f t="shared" si="81"/>
        <v>2.36</v>
      </c>
      <c r="Q276" s="206">
        <f t="shared" si="82"/>
        <v>0</v>
      </c>
      <c r="R27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7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184550</v>
      </c>
      <c r="T27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184550</v>
      </c>
      <c r="U276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276" s="209">
        <f t="shared" si="83"/>
        <v>0</v>
      </c>
      <c r="W276" s="209">
        <f t="shared" si="84"/>
        <v>0</v>
      </c>
      <c r="X276" s="209">
        <f t="shared" si="85"/>
        <v>0</v>
      </c>
      <c r="Y276" s="209">
        <f t="shared" si="86"/>
        <v>0</v>
      </c>
      <c r="Z276" s="209">
        <f t="shared" si="87"/>
        <v>2.36</v>
      </c>
      <c r="AA276" s="205">
        <f t="shared" si="88"/>
        <v>0</v>
      </c>
      <c r="AB276" s="209">
        <f t="shared" si="89"/>
        <v>0</v>
      </c>
      <c r="AC276" s="205">
        <f t="shared" si="90"/>
        <v>0</v>
      </c>
      <c r="AD276" s="210">
        <f t="shared" si="91"/>
        <v>12.776388888887595</v>
      </c>
      <c r="AE276" s="210">
        <f t="shared" si="92"/>
        <v>12.776388888887595</v>
      </c>
      <c r="AF276" s="210">
        <f t="shared" si="93"/>
        <v>0</v>
      </c>
      <c r="AG276" s="210">
        <f t="shared" si="94"/>
        <v>0</v>
      </c>
    </row>
    <row r="277" spans="2:33" ht="15" customHeight="1" x14ac:dyDescent="0.3">
      <c r="B277" s="196" t="s">
        <v>19</v>
      </c>
      <c r="C277" s="197" t="s">
        <v>15</v>
      </c>
      <c r="D277" s="198" t="str">
        <f t="shared" si="76"/>
        <v>C</v>
      </c>
      <c r="E277" s="199">
        <v>43609.208333333336</v>
      </c>
      <c r="F277" s="200" t="s">
        <v>88</v>
      </c>
      <c r="G277" s="201">
        <v>1282.78</v>
      </c>
      <c r="H277" s="201">
        <v>1275.8599999999999</v>
      </c>
      <c r="I277" s="202">
        <f t="shared" si="77"/>
        <v>6.9200000000000728</v>
      </c>
      <c r="J277" s="201">
        <v>1327.05</v>
      </c>
      <c r="K277" s="199">
        <v>43613.624305555553</v>
      </c>
      <c r="L277" s="201">
        <v>1279.7</v>
      </c>
      <c r="M277" s="203">
        <f t="shared" si="78"/>
        <v>-3.08</v>
      </c>
      <c r="N277" s="204">
        <f t="shared" si="79"/>
        <v>-0.45</v>
      </c>
      <c r="O277" s="205">
        <f t="shared" si="80"/>
        <v>0</v>
      </c>
      <c r="P277" s="206">
        <f t="shared" si="81"/>
        <v>0</v>
      </c>
      <c r="Q277" s="206">
        <f t="shared" si="82"/>
        <v>-0.45</v>
      </c>
      <c r="R27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7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182190</v>
      </c>
      <c r="T27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182800</v>
      </c>
      <c r="U277" s="208">
        <f ca="1">IF(Tabla33610673[[#This Row],[Equity]]&lt;Tabla33610673[[#This Row],[Equity Peak]],(Tabla33610673[[#This Row],[Equity Peak]]-Tabla33610673[[#This Row],[Equity]])/Tabla33610673[[#This Row],[Equity Peak]],"")</f>
        <v>3.3369803063457329E-3</v>
      </c>
      <c r="V277" s="209">
        <f t="shared" si="83"/>
        <v>0</v>
      </c>
      <c r="W277" s="209">
        <f t="shared" si="84"/>
        <v>0</v>
      </c>
      <c r="X277" s="209">
        <f t="shared" si="85"/>
        <v>-0.45</v>
      </c>
      <c r="Y277" s="209">
        <f t="shared" si="86"/>
        <v>0</v>
      </c>
      <c r="Z277" s="209">
        <f t="shared" si="87"/>
        <v>0</v>
      </c>
      <c r="AA277" s="205">
        <f t="shared" si="88"/>
        <v>0</v>
      </c>
      <c r="AB277" s="209">
        <f t="shared" si="89"/>
        <v>0</v>
      </c>
      <c r="AC277" s="205">
        <f t="shared" si="90"/>
        <v>0</v>
      </c>
      <c r="AD277" s="210">
        <f t="shared" si="91"/>
        <v>4.4159722222175333</v>
      </c>
      <c r="AE277" s="210">
        <f t="shared" si="92"/>
        <v>0</v>
      </c>
      <c r="AF277" s="210">
        <f t="shared" si="93"/>
        <v>4.4159722222175333</v>
      </c>
      <c r="AG277" s="210">
        <f t="shared" si="94"/>
        <v>0</v>
      </c>
    </row>
    <row r="278" spans="2:33" ht="15" customHeight="1" x14ac:dyDescent="0.3">
      <c r="B278" s="196" t="s">
        <v>7</v>
      </c>
      <c r="C278" s="197" t="s">
        <v>13</v>
      </c>
      <c r="D278" s="198" t="str">
        <f t="shared" si="76"/>
        <v>C</v>
      </c>
      <c r="E278" s="199">
        <v>43608.833333333336</v>
      </c>
      <c r="F278" s="200" t="s">
        <v>113</v>
      </c>
      <c r="G278" s="201">
        <v>109.515</v>
      </c>
      <c r="H278" s="201">
        <v>110.21599999999999</v>
      </c>
      <c r="I278" s="202">
        <f t="shared" si="77"/>
        <v>0.70099999999999341</v>
      </c>
      <c r="J278" s="201">
        <v>106.246</v>
      </c>
      <c r="K278" s="199">
        <v>43613.589583333334</v>
      </c>
      <c r="L278" s="201">
        <v>109.52200000000001</v>
      </c>
      <c r="M278" s="203">
        <f t="shared" si="78"/>
        <v>-7.0000000000000001E-3</v>
      </c>
      <c r="N278" s="204">
        <f t="shared" si="79"/>
        <v>-0.01</v>
      </c>
      <c r="O278" s="205">
        <f t="shared" si="80"/>
        <v>0</v>
      </c>
      <c r="P278" s="206">
        <f t="shared" si="81"/>
        <v>0</v>
      </c>
      <c r="Q278" s="206">
        <f t="shared" si="82"/>
        <v>-0.01</v>
      </c>
      <c r="R27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7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182640</v>
      </c>
      <c r="T27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182800</v>
      </c>
      <c r="U278" s="208">
        <f ca="1">IF(Tabla33610673[[#This Row],[Equity]]&lt;Tabla33610673[[#This Row],[Equity Peak]],(Tabla33610673[[#This Row],[Equity Peak]]-Tabla33610673[[#This Row],[Equity]])/Tabla33610673[[#This Row],[Equity Peak]],"")</f>
        <v>8.7527352297593001E-4</v>
      </c>
      <c r="V278" s="209">
        <f t="shared" si="83"/>
        <v>-0.01</v>
      </c>
      <c r="W278" s="209">
        <f t="shared" si="84"/>
        <v>0</v>
      </c>
      <c r="X278" s="209">
        <f t="shared" si="85"/>
        <v>0</v>
      </c>
      <c r="Y278" s="209">
        <f t="shared" si="86"/>
        <v>0</v>
      </c>
      <c r="Z278" s="209">
        <f t="shared" si="87"/>
        <v>0</v>
      </c>
      <c r="AA278" s="205">
        <f t="shared" si="88"/>
        <v>0</v>
      </c>
      <c r="AB278" s="209">
        <f t="shared" si="89"/>
        <v>0</v>
      </c>
      <c r="AC278" s="205">
        <f t="shared" si="90"/>
        <v>0</v>
      </c>
      <c r="AD278" s="210">
        <f t="shared" si="91"/>
        <v>4.7562499999985448</v>
      </c>
      <c r="AE278" s="210">
        <f t="shared" si="92"/>
        <v>0</v>
      </c>
      <c r="AF278" s="210">
        <f t="shared" si="93"/>
        <v>4.7562499999985448</v>
      </c>
      <c r="AG278" s="210">
        <f t="shared" si="94"/>
        <v>0</v>
      </c>
    </row>
    <row r="279" spans="2:33" ht="15" customHeight="1" x14ac:dyDescent="0.3">
      <c r="B279" s="196" t="s">
        <v>5</v>
      </c>
      <c r="C279" s="197" t="s">
        <v>13</v>
      </c>
      <c r="D279" s="198" t="str">
        <f t="shared" si="76"/>
        <v>C</v>
      </c>
      <c r="E279" s="199">
        <v>43608.5</v>
      </c>
      <c r="F279" s="200" t="s">
        <v>94</v>
      </c>
      <c r="G279" s="201">
        <v>7252.72</v>
      </c>
      <c r="H279" s="201">
        <v>7311.62</v>
      </c>
      <c r="I279" s="202">
        <f t="shared" si="77"/>
        <v>58.899999999999636</v>
      </c>
      <c r="J279" s="201">
        <v>6958.21</v>
      </c>
      <c r="K279" s="199">
        <v>43609.386111111111</v>
      </c>
      <c r="L279" s="201">
        <v>7261.44</v>
      </c>
      <c r="M279" s="203">
        <f t="shared" si="78"/>
        <v>-8.7200000000000006</v>
      </c>
      <c r="N279" s="204">
        <f t="shared" si="79"/>
        <v>-0.15</v>
      </c>
      <c r="O279" s="205">
        <f t="shared" si="80"/>
        <v>0</v>
      </c>
      <c r="P279" s="206">
        <f t="shared" si="81"/>
        <v>0</v>
      </c>
      <c r="Q279" s="206">
        <f t="shared" si="82"/>
        <v>-0.15</v>
      </c>
      <c r="R27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7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182650</v>
      </c>
      <c r="T27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182800</v>
      </c>
      <c r="U279" s="208">
        <f ca="1">IF(Tabla33610673[[#This Row],[Equity]]&lt;Tabla33610673[[#This Row],[Equity Peak]],(Tabla33610673[[#This Row],[Equity Peak]]-Tabla33610673[[#This Row],[Equity]])/Tabla33610673[[#This Row],[Equity Peak]],"")</f>
        <v>8.2056892778993432E-4</v>
      </c>
      <c r="V279" s="209">
        <f t="shared" si="83"/>
        <v>0</v>
      </c>
      <c r="W279" s="209">
        <f t="shared" si="84"/>
        <v>0</v>
      </c>
      <c r="X279" s="209">
        <f t="shared" si="85"/>
        <v>0</v>
      </c>
      <c r="Y279" s="209">
        <f t="shared" si="86"/>
        <v>0</v>
      </c>
      <c r="Z279" s="209">
        <f t="shared" si="87"/>
        <v>-0.15</v>
      </c>
      <c r="AA279" s="205">
        <f t="shared" si="88"/>
        <v>0</v>
      </c>
      <c r="AB279" s="209">
        <f t="shared" si="89"/>
        <v>0</v>
      </c>
      <c r="AC279" s="205">
        <f t="shared" si="90"/>
        <v>0</v>
      </c>
      <c r="AD279" s="210">
        <f t="shared" si="91"/>
        <v>0.88611111111094942</v>
      </c>
      <c r="AE279" s="210">
        <f t="shared" si="92"/>
        <v>0</v>
      </c>
      <c r="AF279" s="210">
        <f t="shared" si="93"/>
        <v>0.88611111111094942</v>
      </c>
      <c r="AG279" s="210">
        <f t="shared" si="94"/>
        <v>0</v>
      </c>
    </row>
    <row r="280" spans="2:33" ht="15" customHeight="1" x14ac:dyDescent="0.3">
      <c r="B280" s="196" t="s">
        <v>7</v>
      </c>
      <c r="C280" s="197" t="s">
        <v>13</v>
      </c>
      <c r="D280" s="198" t="str">
        <f t="shared" si="76"/>
        <v>C</v>
      </c>
      <c r="E280" s="199">
        <v>43600.666666666664</v>
      </c>
      <c r="F280" s="200" t="s">
        <v>117</v>
      </c>
      <c r="G280" s="201">
        <v>1.11836</v>
      </c>
      <c r="H280" s="201">
        <v>1.1233900000000001</v>
      </c>
      <c r="I280" s="202">
        <f t="shared" si="77"/>
        <v>5.03000000000009E-3</v>
      </c>
      <c r="J280" s="201">
        <v>1.0861499999999999</v>
      </c>
      <c r="K280" s="199">
        <v>43606.746527777781</v>
      </c>
      <c r="L280" s="201">
        <v>1.1173999999999999</v>
      </c>
      <c r="M280" s="203">
        <f t="shared" si="78"/>
        <v>1E-3</v>
      </c>
      <c r="N280" s="204">
        <f t="shared" si="79"/>
        <v>0.2</v>
      </c>
      <c r="O280" s="205">
        <f t="shared" si="80"/>
        <v>0</v>
      </c>
      <c r="P280" s="206">
        <f t="shared" si="81"/>
        <v>0.2</v>
      </c>
      <c r="Q280" s="206">
        <f t="shared" si="82"/>
        <v>0</v>
      </c>
      <c r="R28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8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182800</v>
      </c>
      <c r="T28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182800</v>
      </c>
      <c r="U280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280" s="209">
        <f t="shared" si="83"/>
        <v>0.2</v>
      </c>
      <c r="W280" s="209">
        <f t="shared" si="84"/>
        <v>0</v>
      </c>
      <c r="X280" s="209">
        <f t="shared" si="85"/>
        <v>0</v>
      </c>
      <c r="Y280" s="209">
        <f t="shared" si="86"/>
        <v>0</v>
      </c>
      <c r="Z280" s="209">
        <f t="shared" si="87"/>
        <v>0</v>
      </c>
      <c r="AA280" s="205">
        <f t="shared" si="88"/>
        <v>0</v>
      </c>
      <c r="AB280" s="209">
        <f t="shared" si="89"/>
        <v>0</v>
      </c>
      <c r="AC280" s="205">
        <f t="shared" si="90"/>
        <v>0</v>
      </c>
      <c r="AD280" s="210">
        <f t="shared" si="91"/>
        <v>6.0798611111167702</v>
      </c>
      <c r="AE280" s="210">
        <f t="shared" si="92"/>
        <v>6.0798611111167702</v>
      </c>
      <c r="AF280" s="210">
        <f t="shared" si="93"/>
        <v>0</v>
      </c>
      <c r="AG280" s="210">
        <f t="shared" si="94"/>
        <v>0</v>
      </c>
    </row>
    <row r="281" spans="2:33" ht="15" customHeight="1" x14ac:dyDescent="0.3">
      <c r="B281" s="196" t="s">
        <v>7</v>
      </c>
      <c r="C281" s="197" t="s">
        <v>13</v>
      </c>
      <c r="D281" s="198" t="str">
        <f t="shared" si="76"/>
        <v>C</v>
      </c>
      <c r="E281" s="199">
        <v>43591.833333333336</v>
      </c>
      <c r="F281" s="200" t="s">
        <v>115</v>
      </c>
      <c r="G281" s="201">
        <v>145.13399999999999</v>
      </c>
      <c r="H281" s="201">
        <v>146.411</v>
      </c>
      <c r="I281" s="202">
        <f t="shared" si="77"/>
        <v>1.2770000000000152</v>
      </c>
      <c r="J281" s="201">
        <v>137.98599999999999</v>
      </c>
      <c r="K281" s="199">
        <v>43606.602777777778</v>
      </c>
      <c r="L281" s="201">
        <v>140.643</v>
      </c>
      <c r="M281" s="203">
        <f t="shared" si="78"/>
        <v>4.4909999999999997</v>
      </c>
      <c r="N281" s="204">
        <f t="shared" si="79"/>
        <v>3.52</v>
      </c>
      <c r="O281" s="205">
        <f t="shared" si="80"/>
        <v>0</v>
      </c>
      <c r="P281" s="206">
        <f t="shared" si="81"/>
        <v>3.52</v>
      </c>
      <c r="Q281" s="206">
        <f t="shared" si="82"/>
        <v>0</v>
      </c>
      <c r="R28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8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182600</v>
      </c>
      <c r="T28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182600</v>
      </c>
      <c r="U281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281" s="209">
        <f t="shared" si="83"/>
        <v>3.52</v>
      </c>
      <c r="W281" s="209">
        <f t="shared" si="84"/>
        <v>0</v>
      </c>
      <c r="X281" s="209">
        <f t="shared" si="85"/>
        <v>0</v>
      </c>
      <c r="Y281" s="209">
        <f t="shared" si="86"/>
        <v>0</v>
      </c>
      <c r="Z281" s="209">
        <f t="shared" si="87"/>
        <v>0</v>
      </c>
      <c r="AA281" s="205">
        <f t="shared" si="88"/>
        <v>0</v>
      </c>
      <c r="AB281" s="209">
        <f t="shared" si="89"/>
        <v>0</v>
      </c>
      <c r="AC281" s="205">
        <f t="shared" si="90"/>
        <v>0</v>
      </c>
      <c r="AD281" s="210">
        <f t="shared" si="91"/>
        <v>14.769444444442343</v>
      </c>
      <c r="AE281" s="210">
        <f t="shared" si="92"/>
        <v>14.769444444442343</v>
      </c>
      <c r="AF281" s="210">
        <f t="shared" si="93"/>
        <v>0</v>
      </c>
      <c r="AG281" s="210">
        <f t="shared" si="94"/>
        <v>0</v>
      </c>
    </row>
    <row r="282" spans="2:33" ht="15" customHeight="1" x14ac:dyDescent="0.3">
      <c r="B282" s="196" t="s">
        <v>7</v>
      </c>
      <c r="C282" s="197" t="s">
        <v>13</v>
      </c>
      <c r="D282" s="198" t="str">
        <f t="shared" si="76"/>
        <v>C</v>
      </c>
      <c r="E282" s="199">
        <v>43595.017361111109</v>
      </c>
      <c r="F282" s="200" t="s">
        <v>114</v>
      </c>
      <c r="G282" s="201">
        <v>1.30043</v>
      </c>
      <c r="H282" s="201">
        <v>1.30796</v>
      </c>
      <c r="I282" s="202">
        <f t="shared" si="77"/>
        <v>7.5300000000000367E-3</v>
      </c>
      <c r="J282" s="201">
        <v>1.2703100000000001</v>
      </c>
      <c r="K282" s="199">
        <v>43606.412499999999</v>
      </c>
      <c r="L282" s="201">
        <v>1.2703100000000001</v>
      </c>
      <c r="M282" s="203">
        <f t="shared" si="78"/>
        <v>3.0099999999999998E-2</v>
      </c>
      <c r="N282" s="204">
        <f t="shared" si="79"/>
        <v>4</v>
      </c>
      <c r="O282" s="205">
        <f t="shared" si="80"/>
        <v>0</v>
      </c>
      <c r="P282" s="206">
        <f t="shared" si="81"/>
        <v>4</v>
      </c>
      <c r="Q282" s="206">
        <f t="shared" si="82"/>
        <v>0</v>
      </c>
      <c r="R28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8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179080</v>
      </c>
      <c r="T28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179310</v>
      </c>
      <c r="U282" s="208">
        <f ca="1">IF(Tabla33610673[[#This Row],[Equity]]&lt;Tabla33610673[[#This Row],[Equity Peak]],(Tabla33610673[[#This Row],[Equity Peak]]-Tabla33610673[[#This Row],[Equity]])/Tabla33610673[[#This Row],[Equity Peak]],"")</f>
        <v>1.2826947744130276E-3</v>
      </c>
      <c r="V282" s="209">
        <f t="shared" si="83"/>
        <v>4</v>
      </c>
      <c r="W282" s="209">
        <f t="shared" si="84"/>
        <v>0</v>
      </c>
      <c r="X282" s="209">
        <f t="shared" si="85"/>
        <v>0</v>
      </c>
      <c r="Y282" s="209">
        <f t="shared" si="86"/>
        <v>0</v>
      </c>
      <c r="Z282" s="209">
        <f t="shared" si="87"/>
        <v>0</v>
      </c>
      <c r="AA282" s="205">
        <f t="shared" si="88"/>
        <v>0</v>
      </c>
      <c r="AB282" s="209">
        <f t="shared" si="89"/>
        <v>0</v>
      </c>
      <c r="AC282" s="205">
        <f t="shared" si="90"/>
        <v>0</v>
      </c>
      <c r="AD282" s="210">
        <f t="shared" si="91"/>
        <v>11.395138888889051</v>
      </c>
      <c r="AE282" s="210">
        <f t="shared" si="92"/>
        <v>11.395138888889051</v>
      </c>
      <c r="AF282" s="210">
        <f t="shared" si="93"/>
        <v>0</v>
      </c>
      <c r="AG282" s="210">
        <f t="shared" si="94"/>
        <v>0</v>
      </c>
    </row>
    <row r="283" spans="2:33" ht="15" customHeight="1" x14ac:dyDescent="0.3">
      <c r="B283" s="196" t="s">
        <v>5</v>
      </c>
      <c r="C283" s="197" t="s">
        <v>15</v>
      </c>
      <c r="D283" s="198" t="str">
        <f t="shared" si="76"/>
        <v>C</v>
      </c>
      <c r="E283" s="199">
        <v>43601.666666666664</v>
      </c>
      <c r="F283" s="200" t="s">
        <v>94</v>
      </c>
      <c r="G283" s="201">
        <v>7316.11</v>
      </c>
      <c r="H283" s="201">
        <v>7248.22</v>
      </c>
      <c r="I283" s="202">
        <f t="shared" si="77"/>
        <v>67.889999999999418</v>
      </c>
      <c r="J283" s="201">
        <v>7655.56</v>
      </c>
      <c r="K283" s="199">
        <v>43605.479166666664</v>
      </c>
      <c r="L283" s="201">
        <v>7310.95</v>
      </c>
      <c r="M283" s="203">
        <f t="shared" si="78"/>
        <v>-5.16</v>
      </c>
      <c r="N283" s="204">
        <f t="shared" si="79"/>
        <v>-0.08</v>
      </c>
      <c r="O283" s="205">
        <f t="shared" si="80"/>
        <v>0</v>
      </c>
      <c r="P283" s="206">
        <f t="shared" si="81"/>
        <v>0</v>
      </c>
      <c r="Q283" s="206">
        <f t="shared" si="82"/>
        <v>-0.08</v>
      </c>
      <c r="R28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8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175080</v>
      </c>
      <c r="T28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179310</v>
      </c>
      <c r="U283" s="208">
        <f ca="1">IF(Tabla33610673[[#This Row],[Equity]]&lt;Tabla33610673[[#This Row],[Equity Peak]],(Tabla33610673[[#This Row],[Equity Peak]]-Tabla33610673[[#This Row],[Equity]])/Tabla33610673[[#This Row],[Equity Peak]],"")</f>
        <v>2.359042998159612E-2</v>
      </c>
      <c r="V283" s="209">
        <f t="shared" si="83"/>
        <v>0</v>
      </c>
      <c r="W283" s="209">
        <f t="shared" si="84"/>
        <v>0</v>
      </c>
      <c r="X283" s="209">
        <f t="shared" si="85"/>
        <v>0</v>
      </c>
      <c r="Y283" s="209">
        <f t="shared" si="86"/>
        <v>0</v>
      </c>
      <c r="Z283" s="209">
        <f t="shared" si="87"/>
        <v>-0.08</v>
      </c>
      <c r="AA283" s="205">
        <f t="shared" si="88"/>
        <v>0</v>
      </c>
      <c r="AB283" s="209">
        <f t="shared" si="89"/>
        <v>0</v>
      </c>
      <c r="AC283" s="205">
        <f t="shared" si="90"/>
        <v>0</v>
      </c>
      <c r="AD283" s="210">
        <f t="shared" si="91"/>
        <v>3.8125</v>
      </c>
      <c r="AE283" s="210">
        <f t="shared" si="92"/>
        <v>0</v>
      </c>
      <c r="AF283" s="210">
        <f t="shared" si="93"/>
        <v>3.8125</v>
      </c>
      <c r="AG283" s="210">
        <f t="shared" si="94"/>
        <v>0</v>
      </c>
    </row>
    <row r="284" spans="2:33" ht="15" customHeight="1" x14ac:dyDescent="0.3">
      <c r="B284" s="196" t="s">
        <v>7</v>
      </c>
      <c r="C284" s="197" t="s">
        <v>15</v>
      </c>
      <c r="D284" s="198" t="str">
        <f t="shared" si="76"/>
        <v>C</v>
      </c>
      <c r="E284" s="199">
        <v>43598.666666666664</v>
      </c>
      <c r="F284" s="200" t="s">
        <v>120</v>
      </c>
      <c r="G284" s="201">
        <v>1.6142399999999999</v>
      </c>
      <c r="H284" s="201">
        <v>1.6076299999999999</v>
      </c>
      <c r="I284" s="202">
        <f t="shared" si="77"/>
        <v>6.6100000000000048E-3</v>
      </c>
      <c r="J284" s="201">
        <v>1.6847099999999999</v>
      </c>
      <c r="K284" s="199">
        <v>43605</v>
      </c>
      <c r="L284" s="201">
        <v>1.6172299999999999</v>
      </c>
      <c r="M284" s="203">
        <f t="shared" si="78"/>
        <v>3.0000000000000001E-3</v>
      </c>
      <c r="N284" s="204">
        <f t="shared" si="79"/>
        <v>0.45</v>
      </c>
      <c r="O284" s="205">
        <f t="shared" si="80"/>
        <v>0</v>
      </c>
      <c r="P284" s="206">
        <f t="shared" si="81"/>
        <v>0.45</v>
      </c>
      <c r="Q284" s="206">
        <f t="shared" si="82"/>
        <v>0</v>
      </c>
      <c r="R28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8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175160</v>
      </c>
      <c r="T28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179310</v>
      </c>
      <c r="U284" s="208">
        <f ca="1">IF(Tabla33610673[[#This Row],[Equity]]&lt;Tabla33610673[[#This Row],[Equity Peak]],(Tabla33610673[[#This Row],[Equity Peak]]-Tabla33610673[[#This Row],[Equity]])/Tabla33610673[[#This Row],[Equity Peak]],"")</f>
        <v>2.3144275277452456E-2</v>
      </c>
      <c r="V284" s="209">
        <f t="shared" si="83"/>
        <v>0.45</v>
      </c>
      <c r="W284" s="209">
        <f t="shared" si="84"/>
        <v>0</v>
      </c>
      <c r="X284" s="209">
        <f t="shared" si="85"/>
        <v>0</v>
      </c>
      <c r="Y284" s="209">
        <f t="shared" si="86"/>
        <v>0</v>
      </c>
      <c r="Z284" s="209">
        <f t="shared" si="87"/>
        <v>0</v>
      </c>
      <c r="AA284" s="205">
        <f t="shared" si="88"/>
        <v>0</v>
      </c>
      <c r="AB284" s="209">
        <f t="shared" si="89"/>
        <v>0</v>
      </c>
      <c r="AC284" s="205">
        <f t="shared" si="90"/>
        <v>0</v>
      </c>
      <c r="AD284" s="210">
        <f t="shared" si="91"/>
        <v>6.3333333333357587</v>
      </c>
      <c r="AE284" s="210">
        <f t="shared" si="92"/>
        <v>6.3333333333357587</v>
      </c>
      <c r="AF284" s="210">
        <f t="shared" si="93"/>
        <v>0</v>
      </c>
      <c r="AG284" s="210">
        <f t="shared" si="94"/>
        <v>0</v>
      </c>
    </row>
    <row r="285" spans="2:33" ht="15" customHeight="1" x14ac:dyDescent="0.3">
      <c r="B285" s="196" t="s">
        <v>19</v>
      </c>
      <c r="C285" s="197" t="s">
        <v>15</v>
      </c>
      <c r="D285" s="198" t="str">
        <f t="shared" si="76"/>
        <v>C</v>
      </c>
      <c r="E285" s="199">
        <v>43601.791666666664</v>
      </c>
      <c r="F285" s="200" t="s">
        <v>108</v>
      </c>
      <c r="G285" s="201">
        <v>63.524999999999999</v>
      </c>
      <c r="H285" s="201">
        <v>62.371000000000002</v>
      </c>
      <c r="I285" s="202">
        <f t="shared" si="77"/>
        <v>1.1539999999999964</v>
      </c>
      <c r="J285" s="201">
        <v>77.37</v>
      </c>
      <c r="K285" s="199">
        <v>43602.870833333334</v>
      </c>
      <c r="L285" s="201">
        <v>62.829000000000001</v>
      </c>
      <c r="M285" s="203">
        <f t="shared" si="78"/>
        <v>-0.69599999999999995</v>
      </c>
      <c r="N285" s="204">
        <f t="shared" si="79"/>
        <v>-0.6</v>
      </c>
      <c r="O285" s="205">
        <f t="shared" si="80"/>
        <v>0</v>
      </c>
      <c r="P285" s="206">
        <f t="shared" si="81"/>
        <v>0</v>
      </c>
      <c r="Q285" s="206">
        <f t="shared" si="82"/>
        <v>-0.6</v>
      </c>
      <c r="R28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8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174710</v>
      </c>
      <c r="T28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179310</v>
      </c>
      <c r="U285" s="208">
        <f ca="1">IF(Tabla33610673[[#This Row],[Equity]]&lt;Tabla33610673[[#This Row],[Equity Peak]],(Tabla33610673[[#This Row],[Equity Peak]]-Tabla33610673[[#This Row],[Equity]])/Tabla33610673[[#This Row],[Equity Peak]],"")</f>
        <v>2.5653895488260553E-2</v>
      </c>
      <c r="V285" s="209">
        <f t="shared" si="83"/>
        <v>0</v>
      </c>
      <c r="W285" s="209">
        <f t="shared" si="84"/>
        <v>0</v>
      </c>
      <c r="X285" s="209">
        <f t="shared" si="85"/>
        <v>-0.6</v>
      </c>
      <c r="Y285" s="209">
        <f t="shared" si="86"/>
        <v>0</v>
      </c>
      <c r="Z285" s="209">
        <f t="shared" si="87"/>
        <v>0</v>
      </c>
      <c r="AA285" s="205">
        <f t="shared" si="88"/>
        <v>0</v>
      </c>
      <c r="AB285" s="209">
        <f t="shared" si="89"/>
        <v>0</v>
      </c>
      <c r="AC285" s="205">
        <f t="shared" si="90"/>
        <v>0</v>
      </c>
      <c r="AD285" s="210">
        <f t="shared" si="91"/>
        <v>1.0791666666700621</v>
      </c>
      <c r="AE285" s="210">
        <f t="shared" si="92"/>
        <v>0</v>
      </c>
      <c r="AF285" s="210">
        <f t="shared" si="93"/>
        <v>1.0791666666700621</v>
      </c>
      <c r="AG285" s="210">
        <f t="shared" si="94"/>
        <v>0</v>
      </c>
    </row>
    <row r="286" spans="2:33" ht="15" customHeight="1" x14ac:dyDescent="0.3">
      <c r="B286" s="196" t="s">
        <v>5</v>
      </c>
      <c r="C286" s="197" t="s">
        <v>13</v>
      </c>
      <c r="D286" s="198" t="str">
        <f t="shared" si="76"/>
        <v>C</v>
      </c>
      <c r="E286" s="199">
        <v>43598.708333333336</v>
      </c>
      <c r="F286" s="200" t="s">
        <v>93</v>
      </c>
      <c r="G286" s="201">
        <v>2822.39</v>
      </c>
      <c r="H286" s="201">
        <v>2858.65</v>
      </c>
      <c r="I286" s="202">
        <f t="shared" si="77"/>
        <v>36.260000000000218</v>
      </c>
      <c r="J286" s="201">
        <v>2725.7</v>
      </c>
      <c r="K286" s="199">
        <v>43600.943055555559</v>
      </c>
      <c r="L286" s="201">
        <v>2858.65</v>
      </c>
      <c r="M286" s="203">
        <f t="shared" si="78"/>
        <v>-36.26</v>
      </c>
      <c r="N286" s="204">
        <f t="shared" si="79"/>
        <v>-1</v>
      </c>
      <c r="O286" s="205">
        <f t="shared" si="80"/>
        <v>0</v>
      </c>
      <c r="P286" s="206">
        <f t="shared" si="81"/>
        <v>0</v>
      </c>
      <c r="Q286" s="206">
        <f t="shared" si="82"/>
        <v>-1</v>
      </c>
      <c r="R28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8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175310</v>
      </c>
      <c r="T28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179310</v>
      </c>
      <c r="U286" s="208">
        <f ca="1">IF(Tabla33610673[[#This Row],[Equity]]&lt;Tabla33610673[[#This Row],[Equity Peak]],(Tabla33610673[[#This Row],[Equity Peak]]-Tabla33610673[[#This Row],[Equity]])/Tabla33610673[[#This Row],[Equity Peak]],"")</f>
        <v>2.2307735207183092E-2</v>
      </c>
      <c r="V286" s="209">
        <f t="shared" si="83"/>
        <v>0</v>
      </c>
      <c r="W286" s="209">
        <f t="shared" si="84"/>
        <v>0</v>
      </c>
      <c r="X286" s="209">
        <f t="shared" si="85"/>
        <v>0</v>
      </c>
      <c r="Y286" s="209">
        <f t="shared" si="86"/>
        <v>0</v>
      </c>
      <c r="Z286" s="209">
        <f t="shared" si="87"/>
        <v>-1</v>
      </c>
      <c r="AA286" s="205">
        <f t="shared" si="88"/>
        <v>0</v>
      </c>
      <c r="AB286" s="209">
        <f t="shared" si="89"/>
        <v>0</v>
      </c>
      <c r="AC286" s="205">
        <f t="shared" si="90"/>
        <v>0</v>
      </c>
      <c r="AD286" s="210">
        <f t="shared" si="91"/>
        <v>2.234722222223354</v>
      </c>
      <c r="AE286" s="210">
        <f t="shared" si="92"/>
        <v>0</v>
      </c>
      <c r="AF286" s="210">
        <f t="shared" si="93"/>
        <v>2.234722222223354</v>
      </c>
      <c r="AG286" s="210">
        <f t="shared" si="94"/>
        <v>0</v>
      </c>
    </row>
    <row r="287" spans="2:33" ht="15" customHeight="1" x14ac:dyDescent="0.3">
      <c r="B287" s="196" t="s">
        <v>5</v>
      </c>
      <c r="C287" s="197" t="s">
        <v>13</v>
      </c>
      <c r="D287" s="198" t="str">
        <f t="shared" si="76"/>
        <v>C</v>
      </c>
      <c r="E287" s="199">
        <v>43599.423611111109</v>
      </c>
      <c r="F287" s="200" t="s">
        <v>90</v>
      </c>
      <c r="G287" s="201">
        <v>6231.7</v>
      </c>
      <c r="H287" s="201">
        <v>6283.62</v>
      </c>
      <c r="I287" s="202">
        <f t="shared" si="77"/>
        <v>51.920000000000073</v>
      </c>
      <c r="J287" s="201">
        <v>5539.41</v>
      </c>
      <c r="K287" s="199">
        <v>43600.298611111109</v>
      </c>
      <c r="L287" s="201">
        <v>6283.62</v>
      </c>
      <c r="M287" s="203">
        <f t="shared" si="78"/>
        <v>-51.92</v>
      </c>
      <c r="N287" s="204">
        <f t="shared" si="79"/>
        <v>-1</v>
      </c>
      <c r="O287" s="205">
        <f t="shared" si="80"/>
        <v>0</v>
      </c>
      <c r="P287" s="206">
        <f t="shared" si="81"/>
        <v>0</v>
      </c>
      <c r="Q287" s="206">
        <f t="shared" si="82"/>
        <v>-1</v>
      </c>
      <c r="R28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8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176310</v>
      </c>
      <c r="T28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179310</v>
      </c>
      <c r="U287" s="208">
        <f ca="1">IF(Tabla33610673[[#This Row],[Equity]]&lt;Tabla33610673[[#This Row],[Equity Peak]],(Tabla33610673[[#This Row],[Equity Peak]]-Tabla33610673[[#This Row],[Equity]])/Tabla33610673[[#This Row],[Equity Peak]],"")</f>
        <v>1.6730801405387317E-2</v>
      </c>
      <c r="V287" s="209">
        <f t="shared" si="83"/>
        <v>0</v>
      </c>
      <c r="W287" s="209">
        <f t="shared" si="84"/>
        <v>0</v>
      </c>
      <c r="X287" s="209">
        <f t="shared" si="85"/>
        <v>0</v>
      </c>
      <c r="Y287" s="209">
        <f t="shared" si="86"/>
        <v>0</v>
      </c>
      <c r="Z287" s="209">
        <f t="shared" si="87"/>
        <v>-1</v>
      </c>
      <c r="AA287" s="205">
        <f t="shared" si="88"/>
        <v>0</v>
      </c>
      <c r="AB287" s="209">
        <f t="shared" si="89"/>
        <v>0</v>
      </c>
      <c r="AC287" s="205">
        <f t="shared" si="90"/>
        <v>0</v>
      </c>
      <c r="AD287" s="210">
        <f t="shared" si="91"/>
        <v>0.875</v>
      </c>
      <c r="AE287" s="210">
        <f t="shared" si="92"/>
        <v>0</v>
      </c>
      <c r="AF287" s="210">
        <f t="shared" si="93"/>
        <v>0.875</v>
      </c>
      <c r="AG287" s="210">
        <f t="shared" si="94"/>
        <v>0</v>
      </c>
    </row>
    <row r="288" spans="2:33" ht="15" customHeight="1" x14ac:dyDescent="0.3">
      <c r="B288" s="196" t="s">
        <v>84</v>
      </c>
      <c r="C288" s="197" t="s">
        <v>15</v>
      </c>
      <c r="D288" s="198" t="str">
        <f t="shared" si="76"/>
        <v>C</v>
      </c>
      <c r="E288" s="199">
        <v>43599.333333333336</v>
      </c>
      <c r="F288" s="200" t="s">
        <v>82</v>
      </c>
      <c r="G288" s="201">
        <v>212.72</v>
      </c>
      <c r="H288" s="201">
        <v>200.42</v>
      </c>
      <c r="I288" s="202">
        <f t="shared" si="77"/>
        <v>12.300000000000011</v>
      </c>
      <c r="J288" s="201">
        <v>442.34</v>
      </c>
      <c r="K288" s="199">
        <v>43599.774305555555</v>
      </c>
      <c r="L288" s="201">
        <v>200.42</v>
      </c>
      <c r="M288" s="203">
        <f t="shared" si="78"/>
        <v>-12.3</v>
      </c>
      <c r="N288" s="204">
        <f t="shared" si="79"/>
        <v>-1</v>
      </c>
      <c r="O288" s="205">
        <f t="shared" si="80"/>
        <v>0</v>
      </c>
      <c r="P288" s="206">
        <f t="shared" si="81"/>
        <v>0</v>
      </c>
      <c r="Q288" s="206">
        <f t="shared" si="82"/>
        <v>-1</v>
      </c>
      <c r="R28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8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177310</v>
      </c>
      <c r="T28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179310</v>
      </c>
      <c r="U288" s="208">
        <f ca="1">IF(Tabla33610673[[#This Row],[Equity]]&lt;Tabla33610673[[#This Row],[Equity Peak]],(Tabla33610673[[#This Row],[Equity Peak]]-Tabla33610673[[#This Row],[Equity]])/Tabla33610673[[#This Row],[Equity Peak]],"")</f>
        <v>1.1153867603591546E-2</v>
      </c>
      <c r="V288" s="209">
        <f t="shared" si="83"/>
        <v>0</v>
      </c>
      <c r="W288" s="209">
        <f t="shared" si="84"/>
        <v>0</v>
      </c>
      <c r="X288" s="209">
        <f t="shared" si="85"/>
        <v>0</v>
      </c>
      <c r="Y288" s="209">
        <f t="shared" si="86"/>
        <v>0</v>
      </c>
      <c r="Z288" s="209">
        <f t="shared" si="87"/>
        <v>0</v>
      </c>
      <c r="AA288" s="205">
        <f t="shared" si="88"/>
        <v>0</v>
      </c>
      <c r="AB288" s="209">
        <f t="shared" si="89"/>
        <v>-1</v>
      </c>
      <c r="AC288" s="205">
        <f t="shared" si="90"/>
        <v>0</v>
      </c>
      <c r="AD288" s="210">
        <f t="shared" si="91"/>
        <v>0.44097222221898846</v>
      </c>
      <c r="AE288" s="210">
        <f t="shared" si="92"/>
        <v>0</v>
      </c>
      <c r="AF288" s="210">
        <f t="shared" si="93"/>
        <v>0.44097222221898846</v>
      </c>
      <c r="AG288" s="210">
        <f t="shared" si="94"/>
        <v>0</v>
      </c>
    </row>
    <row r="289" spans="2:33" ht="15" customHeight="1" x14ac:dyDescent="0.3">
      <c r="B289" s="196" t="s">
        <v>5</v>
      </c>
      <c r="C289" s="197" t="s">
        <v>13</v>
      </c>
      <c r="D289" s="198" t="str">
        <f t="shared" si="76"/>
        <v>C</v>
      </c>
      <c r="E289" s="199">
        <v>43598.708333333336</v>
      </c>
      <c r="F289" s="200" t="s">
        <v>95</v>
      </c>
      <c r="G289" s="201">
        <v>25450.7</v>
      </c>
      <c r="H289" s="201">
        <v>25609.66</v>
      </c>
      <c r="I289" s="202">
        <f t="shared" si="77"/>
        <v>158.95999999999913</v>
      </c>
      <c r="J289" s="201">
        <v>24814.880000000001</v>
      </c>
      <c r="K289" s="199">
        <v>43599.769444444442</v>
      </c>
      <c r="L289" s="201">
        <v>25609.66</v>
      </c>
      <c r="M289" s="203">
        <f t="shared" si="78"/>
        <v>-158.96</v>
      </c>
      <c r="N289" s="204">
        <f t="shared" si="79"/>
        <v>-1</v>
      </c>
      <c r="O289" s="205">
        <f t="shared" si="80"/>
        <v>0</v>
      </c>
      <c r="P289" s="206">
        <f t="shared" si="81"/>
        <v>0</v>
      </c>
      <c r="Q289" s="206">
        <f t="shared" si="82"/>
        <v>-1</v>
      </c>
      <c r="R28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8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178310</v>
      </c>
      <c r="T28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179310</v>
      </c>
      <c r="U289" s="208">
        <f ca="1">IF(Tabla33610673[[#This Row],[Equity]]&lt;Tabla33610673[[#This Row],[Equity Peak]],(Tabla33610673[[#This Row],[Equity Peak]]-Tabla33610673[[#This Row],[Equity]])/Tabla33610673[[#This Row],[Equity Peak]],"")</f>
        <v>5.5769338017957731E-3</v>
      </c>
      <c r="V289" s="209">
        <f t="shared" si="83"/>
        <v>0</v>
      </c>
      <c r="W289" s="209">
        <f t="shared" si="84"/>
        <v>0</v>
      </c>
      <c r="X289" s="209">
        <f t="shared" si="85"/>
        <v>0</v>
      </c>
      <c r="Y289" s="209">
        <f t="shared" si="86"/>
        <v>0</v>
      </c>
      <c r="Z289" s="209">
        <f t="shared" si="87"/>
        <v>-1</v>
      </c>
      <c r="AA289" s="205">
        <f t="shared" si="88"/>
        <v>0</v>
      </c>
      <c r="AB289" s="209">
        <f t="shared" si="89"/>
        <v>0</v>
      </c>
      <c r="AC289" s="205">
        <f t="shared" si="90"/>
        <v>0</v>
      </c>
      <c r="AD289" s="210">
        <f t="shared" si="91"/>
        <v>1.0611111111065838</v>
      </c>
      <c r="AE289" s="210">
        <f t="shared" si="92"/>
        <v>0</v>
      </c>
      <c r="AF289" s="210">
        <f t="shared" si="93"/>
        <v>1.0611111111065838</v>
      </c>
      <c r="AG289" s="210">
        <f t="shared" si="94"/>
        <v>0</v>
      </c>
    </row>
    <row r="290" spans="2:33" ht="15" customHeight="1" x14ac:dyDescent="0.3">
      <c r="B290" s="196" t="s">
        <v>84</v>
      </c>
      <c r="C290" s="197" t="s">
        <v>15</v>
      </c>
      <c r="D290" s="198" t="str">
        <f t="shared" si="76"/>
        <v>C</v>
      </c>
      <c r="E290" s="199">
        <v>43586.333333333336</v>
      </c>
      <c r="F290" s="200" t="s">
        <v>80</v>
      </c>
      <c r="G290" s="201">
        <v>5302.58</v>
      </c>
      <c r="H290" s="201">
        <v>5192.7299999999996</v>
      </c>
      <c r="I290" s="202">
        <f t="shared" si="77"/>
        <v>109.85000000000036</v>
      </c>
      <c r="J290" s="201">
        <v>6950.33</v>
      </c>
      <c r="K290" s="199">
        <v>43598</v>
      </c>
      <c r="L290" s="201">
        <v>6950.33</v>
      </c>
      <c r="M290" s="203">
        <f t="shared" si="78"/>
        <v>1647.75</v>
      </c>
      <c r="N290" s="204">
        <f t="shared" si="79"/>
        <v>15</v>
      </c>
      <c r="O290" s="205">
        <f t="shared" si="80"/>
        <v>0</v>
      </c>
      <c r="P290" s="206">
        <f t="shared" si="81"/>
        <v>15</v>
      </c>
      <c r="Q290" s="206">
        <f t="shared" si="82"/>
        <v>0</v>
      </c>
      <c r="R29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9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179310</v>
      </c>
      <c r="T29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179310</v>
      </c>
      <c r="U290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290" s="209">
        <f t="shared" si="83"/>
        <v>0</v>
      </c>
      <c r="W290" s="209">
        <f t="shared" si="84"/>
        <v>0</v>
      </c>
      <c r="X290" s="209">
        <f t="shared" si="85"/>
        <v>0</v>
      </c>
      <c r="Y290" s="209">
        <f t="shared" si="86"/>
        <v>0</v>
      </c>
      <c r="Z290" s="209">
        <f t="shared" si="87"/>
        <v>0</v>
      </c>
      <c r="AA290" s="205">
        <f t="shared" si="88"/>
        <v>0</v>
      </c>
      <c r="AB290" s="209">
        <f t="shared" si="89"/>
        <v>15</v>
      </c>
      <c r="AC290" s="205">
        <f t="shared" si="90"/>
        <v>0</v>
      </c>
      <c r="AD290" s="210">
        <f t="shared" si="91"/>
        <v>11.666666666664241</v>
      </c>
      <c r="AE290" s="210">
        <f t="shared" si="92"/>
        <v>11.666666666664241</v>
      </c>
      <c r="AF290" s="210">
        <f t="shared" si="93"/>
        <v>0</v>
      </c>
      <c r="AG290" s="210">
        <f t="shared" si="94"/>
        <v>0</v>
      </c>
    </row>
    <row r="291" spans="2:33" ht="15" customHeight="1" x14ac:dyDescent="0.3">
      <c r="B291" s="196" t="s">
        <v>19</v>
      </c>
      <c r="C291" s="197" t="s">
        <v>15</v>
      </c>
      <c r="D291" s="198" t="str">
        <f t="shared" si="76"/>
        <v>C</v>
      </c>
      <c r="E291" s="199">
        <v>43591.375</v>
      </c>
      <c r="F291" s="200" t="s">
        <v>88</v>
      </c>
      <c r="G291" s="201">
        <v>1282.77</v>
      </c>
      <c r="H291" s="201">
        <v>1273.03</v>
      </c>
      <c r="I291" s="202">
        <f t="shared" si="77"/>
        <v>9.7400000000000091</v>
      </c>
      <c r="J291" s="201">
        <v>1345.1</v>
      </c>
      <c r="K291" s="199">
        <v>43593.789583333331</v>
      </c>
      <c r="L291" s="201">
        <v>1281.04</v>
      </c>
      <c r="M291" s="203">
        <f t="shared" si="78"/>
        <v>-1.73</v>
      </c>
      <c r="N291" s="204">
        <f t="shared" si="79"/>
        <v>-0.18</v>
      </c>
      <c r="O291" s="205">
        <f t="shared" si="80"/>
        <v>0</v>
      </c>
      <c r="P291" s="206">
        <f t="shared" si="81"/>
        <v>0</v>
      </c>
      <c r="Q291" s="206">
        <f t="shared" si="82"/>
        <v>-0.18</v>
      </c>
      <c r="R29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9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164310</v>
      </c>
      <c r="T29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166650</v>
      </c>
      <c r="U291" s="208">
        <f ca="1">IF(Tabla33610673[[#This Row],[Equity]]&lt;Tabla33610673[[#This Row],[Equity Peak]],(Tabla33610673[[#This Row],[Equity Peak]]-Tabla33610673[[#This Row],[Equity]])/Tabla33610673[[#This Row],[Equity Peak]],"")</f>
        <v>1.4041404140414042E-2</v>
      </c>
      <c r="V291" s="209">
        <f t="shared" si="83"/>
        <v>0</v>
      </c>
      <c r="W291" s="209">
        <f t="shared" si="84"/>
        <v>0</v>
      </c>
      <c r="X291" s="209">
        <f t="shared" si="85"/>
        <v>-0.18</v>
      </c>
      <c r="Y291" s="209">
        <f t="shared" si="86"/>
        <v>0</v>
      </c>
      <c r="Z291" s="209">
        <f t="shared" si="87"/>
        <v>0</v>
      </c>
      <c r="AA291" s="205">
        <f t="shared" si="88"/>
        <v>0</v>
      </c>
      <c r="AB291" s="209">
        <f t="shared" si="89"/>
        <v>0</v>
      </c>
      <c r="AC291" s="205">
        <f t="shared" si="90"/>
        <v>0</v>
      </c>
      <c r="AD291" s="210">
        <f t="shared" si="91"/>
        <v>2.4145833333313931</v>
      </c>
      <c r="AE291" s="210">
        <f t="shared" si="92"/>
        <v>0</v>
      </c>
      <c r="AF291" s="210">
        <f t="shared" si="93"/>
        <v>2.4145833333313931</v>
      </c>
      <c r="AG291" s="210">
        <f t="shared" si="94"/>
        <v>0</v>
      </c>
    </row>
    <row r="292" spans="2:33" ht="15" customHeight="1" x14ac:dyDescent="0.3">
      <c r="B292" s="196" t="s">
        <v>7</v>
      </c>
      <c r="C292" s="197" t="s">
        <v>15</v>
      </c>
      <c r="D292" s="198" t="str">
        <f t="shared" si="76"/>
        <v>C</v>
      </c>
      <c r="E292" s="199">
        <v>43586.333333333336</v>
      </c>
      <c r="F292" s="200" t="s">
        <v>114</v>
      </c>
      <c r="G292" s="201">
        <v>1.3040799999999999</v>
      </c>
      <c r="H292" s="201">
        <v>1.29802</v>
      </c>
      <c r="I292" s="202">
        <f t="shared" si="77"/>
        <v>6.0599999999999543E-3</v>
      </c>
      <c r="J292" s="201">
        <v>1.3283100000000001</v>
      </c>
      <c r="K292" s="199">
        <v>43593.442361111112</v>
      </c>
      <c r="L292" s="201">
        <v>1.30365</v>
      </c>
      <c r="M292" s="203">
        <f t="shared" si="78"/>
        <v>-4.0000000000000002E-4</v>
      </c>
      <c r="N292" s="204">
        <f t="shared" si="79"/>
        <v>-7.0000000000000007E-2</v>
      </c>
      <c r="O292" s="205">
        <f t="shared" si="80"/>
        <v>0</v>
      </c>
      <c r="P292" s="206">
        <f t="shared" si="81"/>
        <v>0</v>
      </c>
      <c r="Q292" s="206">
        <f t="shared" si="82"/>
        <v>-7.0000000000000007E-2</v>
      </c>
      <c r="R29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9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164490</v>
      </c>
      <c r="T29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166650</v>
      </c>
      <c r="U292" s="208">
        <f ca="1">IF(Tabla33610673[[#This Row],[Equity]]&lt;Tabla33610673[[#This Row],[Equity Peak]],(Tabla33610673[[#This Row],[Equity Peak]]-Tabla33610673[[#This Row],[Equity]])/Tabla33610673[[#This Row],[Equity Peak]],"")</f>
        <v>1.2961296129612962E-2</v>
      </c>
      <c r="V292" s="209">
        <f t="shared" si="83"/>
        <v>-7.0000000000000007E-2</v>
      </c>
      <c r="W292" s="209">
        <f t="shared" si="84"/>
        <v>0</v>
      </c>
      <c r="X292" s="209">
        <f t="shared" si="85"/>
        <v>0</v>
      </c>
      <c r="Y292" s="209">
        <f t="shared" si="86"/>
        <v>0</v>
      </c>
      <c r="Z292" s="209">
        <f t="shared" si="87"/>
        <v>0</v>
      </c>
      <c r="AA292" s="205">
        <f t="shared" si="88"/>
        <v>0</v>
      </c>
      <c r="AB292" s="209">
        <f t="shared" si="89"/>
        <v>0</v>
      </c>
      <c r="AC292" s="205">
        <f t="shared" si="90"/>
        <v>0</v>
      </c>
      <c r="AD292" s="210">
        <f t="shared" si="91"/>
        <v>7.109027777776646</v>
      </c>
      <c r="AE292" s="210">
        <f t="shared" si="92"/>
        <v>0</v>
      </c>
      <c r="AF292" s="210">
        <f t="shared" si="93"/>
        <v>7.109027777776646</v>
      </c>
      <c r="AG292" s="210">
        <f t="shared" si="94"/>
        <v>0</v>
      </c>
    </row>
    <row r="293" spans="2:33" ht="15" customHeight="1" x14ac:dyDescent="0.3">
      <c r="B293" s="196" t="s">
        <v>7</v>
      </c>
      <c r="C293" s="197" t="s">
        <v>15</v>
      </c>
      <c r="D293" s="198" t="str">
        <f t="shared" si="76"/>
        <v>C</v>
      </c>
      <c r="E293" s="199">
        <v>43591.017361111109</v>
      </c>
      <c r="F293" s="200" t="s">
        <v>115</v>
      </c>
      <c r="G293" s="201">
        <v>145.85</v>
      </c>
      <c r="H293" s="201">
        <v>144.762</v>
      </c>
      <c r="I293" s="202">
        <f t="shared" si="77"/>
        <v>1.0879999999999939</v>
      </c>
      <c r="J293" s="201">
        <v>151.941</v>
      </c>
      <c r="K293" s="199">
        <v>43591.10833333333</v>
      </c>
      <c r="L293" s="201">
        <v>145.06700000000001</v>
      </c>
      <c r="M293" s="203">
        <f t="shared" si="78"/>
        <v>-0.78300000000000003</v>
      </c>
      <c r="N293" s="204">
        <f t="shared" si="79"/>
        <v>-0.72</v>
      </c>
      <c r="O293" s="205">
        <f t="shared" si="80"/>
        <v>0</v>
      </c>
      <c r="P293" s="206">
        <f t="shared" si="81"/>
        <v>0</v>
      </c>
      <c r="Q293" s="206">
        <f t="shared" si="82"/>
        <v>-0.72</v>
      </c>
      <c r="R29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9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164560</v>
      </c>
      <c r="T29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166650</v>
      </c>
      <c r="U293" s="208">
        <f ca="1">IF(Tabla33610673[[#This Row],[Equity]]&lt;Tabla33610673[[#This Row],[Equity Peak]],(Tabla33610673[[#This Row],[Equity Peak]]-Tabla33610673[[#This Row],[Equity]])/Tabla33610673[[#This Row],[Equity Peak]],"")</f>
        <v>1.2541254125412541E-2</v>
      </c>
      <c r="V293" s="209">
        <f t="shared" si="83"/>
        <v>-0.72</v>
      </c>
      <c r="W293" s="209">
        <f t="shared" si="84"/>
        <v>0</v>
      </c>
      <c r="X293" s="209">
        <f t="shared" si="85"/>
        <v>0</v>
      </c>
      <c r="Y293" s="209">
        <f t="shared" si="86"/>
        <v>0</v>
      </c>
      <c r="Z293" s="209">
        <f t="shared" si="87"/>
        <v>0</v>
      </c>
      <c r="AA293" s="205">
        <f t="shared" si="88"/>
        <v>0</v>
      </c>
      <c r="AB293" s="209">
        <f t="shared" si="89"/>
        <v>0</v>
      </c>
      <c r="AC293" s="205">
        <f t="shared" si="90"/>
        <v>0</v>
      </c>
      <c r="AD293" s="210">
        <f t="shared" si="91"/>
        <v>9.0972222220443655E-2</v>
      </c>
      <c r="AE293" s="210">
        <f t="shared" si="92"/>
        <v>0</v>
      </c>
      <c r="AF293" s="210">
        <f t="shared" si="93"/>
        <v>9.0972222220443655E-2</v>
      </c>
      <c r="AG293" s="210">
        <f t="shared" si="94"/>
        <v>0</v>
      </c>
    </row>
    <row r="294" spans="2:33" ht="15" customHeight="1" x14ac:dyDescent="0.3">
      <c r="B294" s="196" t="s">
        <v>5</v>
      </c>
      <c r="C294" s="197" t="s">
        <v>15</v>
      </c>
      <c r="D294" s="198" t="str">
        <f t="shared" si="76"/>
        <v>C</v>
      </c>
      <c r="E294" s="199">
        <v>43588.833333333336</v>
      </c>
      <c r="F294" s="200" t="s">
        <v>95</v>
      </c>
      <c r="G294" s="201">
        <v>26504.400000000001</v>
      </c>
      <c r="H294" s="201">
        <v>26357.19</v>
      </c>
      <c r="I294" s="202">
        <f t="shared" si="77"/>
        <v>147.21000000000276</v>
      </c>
      <c r="J294" s="201">
        <v>27093.24</v>
      </c>
      <c r="K294" s="199">
        <v>43591</v>
      </c>
      <c r="L294" s="201">
        <v>26357.19</v>
      </c>
      <c r="M294" s="203">
        <f t="shared" si="78"/>
        <v>-147.21</v>
      </c>
      <c r="N294" s="204">
        <f t="shared" si="79"/>
        <v>-1</v>
      </c>
      <c r="O294" s="205">
        <f t="shared" si="80"/>
        <v>0</v>
      </c>
      <c r="P294" s="206">
        <f t="shared" si="81"/>
        <v>0</v>
      </c>
      <c r="Q294" s="206">
        <f t="shared" si="82"/>
        <v>-1</v>
      </c>
      <c r="R29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9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165280</v>
      </c>
      <c r="T29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166650</v>
      </c>
      <c r="U294" s="208">
        <f ca="1">IF(Tabla33610673[[#This Row],[Equity]]&lt;Tabla33610673[[#This Row],[Equity Peak]],(Tabla33610673[[#This Row],[Equity Peak]]-Tabla33610673[[#This Row],[Equity]])/Tabla33610673[[#This Row],[Equity Peak]],"")</f>
        <v>8.2208220822082203E-3</v>
      </c>
      <c r="V294" s="209">
        <f t="shared" si="83"/>
        <v>0</v>
      </c>
      <c r="W294" s="209">
        <f t="shared" si="84"/>
        <v>0</v>
      </c>
      <c r="X294" s="209">
        <f t="shared" si="85"/>
        <v>0</v>
      </c>
      <c r="Y294" s="209">
        <f t="shared" si="86"/>
        <v>0</v>
      </c>
      <c r="Z294" s="209">
        <f t="shared" si="87"/>
        <v>-1</v>
      </c>
      <c r="AA294" s="205">
        <f t="shared" si="88"/>
        <v>0</v>
      </c>
      <c r="AB294" s="209">
        <f t="shared" si="89"/>
        <v>0</v>
      </c>
      <c r="AC294" s="205">
        <f t="shared" si="90"/>
        <v>0</v>
      </c>
      <c r="AD294" s="210">
        <f t="shared" si="91"/>
        <v>2.1666666666642413</v>
      </c>
      <c r="AE294" s="210">
        <f t="shared" si="92"/>
        <v>0</v>
      </c>
      <c r="AF294" s="210">
        <f t="shared" si="93"/>
        <v>2.1666666666642413</v>
      </c>
      <c r="AG294" s="210">
        <f t="shared" si="94"/>
        <v>0</v>
      </c>
    </row>
    <row r="295" spans="2:33" ht="15" customHeight="1" x14ac:dyDescent="0.3">
      <c r="B295" s="196" t="s">
        <v>19</v>
      </c>
      <c r="C295" s="197" t="s">
        <v>13</v>
      </c>
      <c r="D295" s="198" t="str">
        <f t="shared" si="76"/>
        <v>C</v>
      </c>
      <c r="E295" s="199">
        <v>43587.041666666664</v>
      </c>
      <c r="F295" s="200" t="s">
        <v>88</v>
      </c>
      <c r="G295" s="201">
        <v>1276.92</v>
      </c>
      <c r="H295" s="201">
        <v>1287.17</v>
      </c>
      <c r="I295" s="202">
        <f t="shared" si="77"/>
        <v>10.25</v>
      </c>
      <c r="J295" s="201">
        <v>1211.32</v>
      </c>
      <c r="K295" s="199">
        <v>43588.754861111112</v>
      </c>
      <c r="L295" s="201">
        <v>1280.69</v>
      </c>
      <c r="M295" s="203">
        <f t="shared" si="78"/>
        <v>-3.77</v>
      </c>
      <c r="N295" s="204">
        <f t="shared" si="79"/>
        <v>-0.37</v>
      </c>
      <c r="O295" s="205">
        <f t="shared" si="80"/>
        <v>0</v>
      </c>
      <c r="P295" s="206">
        <f t="shared" si="81"/>
        <v>0</v>
      </c>
      <c r="Q295" s="206">
        <f t="shared" si="82"/>
        <v>-0.37</v>
      </c>
      <c r="R29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9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166280</v>
      </c>
      <c r="T29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166650</v>
      </c>
      <c r="U295" s="208">
        <f ca="1">IF(Tabla33610673[[#This Row],[Equity]]&lt;Tabla33610673[[#This Row],[Equity Peak]],(Tabla33610673[[#This Row],[Equity Peak]]-Tabla33610673[[#This Row],[Equity]])/Tabla33610673[[#This Row],[Equity Peak]],"")</f>
        <v>2.2202220222022201E-3</v>
      </c>
      <c r="V295" s="209">
        <f t="shared" si="83"/>
        <v>0</v>
      </c>
      <c r="W295" s="209">
        <f t="shared" si="84"/>
        <v>0</v>
      </c>
      <c r="X295" s="209">
        <f t="shared" si="85"/>
        <v>-0.37</v>
      </c>
      <c r="Y295" s="209">
        <f t="shared" si="86"/>
        <v>0</v>
      </c>
      <c r="Z295" s="209">
        <f t="shared" si="87"/>
        <v>0</v>
      </c>
      <c r="AA295" s="205">
        <f t="shared" si="88"/>
        <v>0</v>
      </c>
      <c r="AB295" s="209">
        <f t="shared" si="89"/>
        <v>0</v>
      </c>
      <c r="AC295" s="205">
        <f t="shared" si="90"/>
        <v>0</v>
      </c>
      <c r="AD295" s="210">
        <f t="shared" si="91"/>
        <v>1.7131944444481633</v>
      </c>
      <c r="AE295" s="210">
        <f t="shared" si="92"/>
        <v>0</v>
      </c>
      <c r="AF295" s="210">
        <f t="shared" si="93"/>
        <v>1.7131944444481633</v>
      </c>
      <c r="AG295" s="210">
        <f t="shared" si="94"/>
        <v>0</v>
      </c>
    </row>
    <row r="296" spans="2:33" ht="15" customHeight="1" x14ac:dyDescent="0.3">
      <c r="B296" s="196" t="s">
        <v>7</v>
      </c>
      <c r="C296" s="197" t="s">
        <v>13</v>
      </c>
      <c r="D296" s="198" t="str">
        <f t="shared" si="76"/>
        <v>C</v>
      </c>
      <c r="E296" s="199">
        <v>43586.166666666664</v>
      </c>
      <c r="F296" s="200" t="s">
        <v>119</v>
      </c>
      <c r="G296" s="201">
        <v>0.86007</v>
      </c>
      <c r="H296" s="201">
        <v>0.86199999999999999</v>
      </c>
      <c r="I296" s="202">
        <f t="shared" si="77"/>
        <v>1.9299999999999873E-3</v>
      </c>
      <c r="J296" s="201">
        <v>0.85492000000000001</v>
      </c>
      <c r="K296" s="199">
        <v>43588.72152777778</v>
      </c>
      <c r="L296" s="201">
        <v>0.85492000000000001</v>
      </c>
      <c r="M296" s="203">
        <f t="shared" si="78"/>
        <v>5.1000000000000004E-3</v>
      </c>
      <c r="N296" s="204">
        <f t="shared" si="79"/>
        <v>2.64</v>
      </c>
      <c r="O296" s="205">
        <f t="shared" si="80"/>
        <v>0</v>
      </c>
      <c r="P296" s="206">
        <f t="shared" si="81"/>
        <v>2.64</v>
      </c>
      <c r="Q296" s="206">
        <f t="shared" si="82"/>
        <v>0</v>
      </c>
      <c r="R29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9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166650</v>
      </c>
      <c r="T29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166650</v>
      </c>
      <c r="U296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296" s="209">
        <f t="shared" si="83"/>
        <v>2.64</v>
      </c>
      <c r="W296" s="209">
        <f t="shared" si="84"/>
        <v>0</v>
      </c>
      <c r="X296" s="209">
        <f t="shared" si="85"/>
        <v>0</v>
      </c>
      <c r="Y296" s="209">
        <f t="shared" si="86"/>
        <v>0</v>
      </c>
      <c r="Z296" s="209">
        <f t="shared" si="87"/>
        <v>0</v>
      </c>
      <c r="AA296" s="205">
        <f t="shared" si="88"/>
        <v>0</v>
      </c>
      <c r="AB296" s="209">
        <f t="shared" si="89"/>
        <v>0</v>
      </c>
      <c r="AC296" s="205">
        <f t="shared" si="90"/>
        <v>0</v>
      </c>
      <c r="AD296" s="210">
        <f t="shared" si="91"/>
        <v>2.554861111115315</v>
      </c>
      <c r="AE296" s="210">
        <f t="shared" si="92"/>
        <v>2.554861111115315</v>
      </c>
      <c r="AF296" s="210">
        <f t="shared" si="93"/>
        <v>0</v>
      </c>
      <c r="AG296" s="210">
        <f t="shared" si="94"/>
        <v>0</v>
      </c>
    </row>
    <row r="297" spans="2:33" ht="15" customHeight="1" x14ac:dyDescent="0.3">
      <c r="B297" s="196" t="s">
        <v>5</v>
      </c>
      <c r="C297" s="197" t="s">
        <v>15</v>
      </c>
      <c r="D297" s="198" t="str">
        <f t="shared" si="76"/>
        <v>C</v>
      </c>
      <c r="E297" s="199">
        <v>43556.375</v>
      </c>
      <c r="F297" s="200" t="s">
        <v>91</v>
      </c>
      <c r="G297" s="201">
        <v>11633.9</v>
      </c>
      <c r="H297" s="201">
        <v>11438.08</v>
      </c>
      <c r="I297" s="202">
        <f t="shared" si="77"/>
        <v>195.81999999999971</v>
      </c>
      <c r="J297" s="201">
        <v>12417.16</v>
      </c>
      <c r="K297" s="199">
        <v>43588.578472222223</v>
      </c>
      <c r="L297" s="201">
        <v>12417.16</v>
      </c>
      <c r="M297" s="203">
        <f t="shared" si="78"/>
        <v>783.26</v>
      </c>
      <c r="N297" s="204">
        <f t="shared" si="79"/>
        <v>4</v>
      </c>
      <c r="O297" s="205">
        <f t="shared" si="80"/>
        <v>0</v>
      </c>
      <c r="P297" s="206">
        <f t="shared" si="81"/>
        <v>4</v>
      </c>
      <c r="Q297" s="206">
        <f t="shared" si="82"/>
        <v>0</v>
      </c>
      <c r="R29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9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164010</v>
      </c>
      <c r="T29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164010</v>
      </c>
      <c r="U297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297" s="209">
        <f t="shared" si="83"/>
        <v>0</v>
      </c>
      <c r="W297" s="209">
        <f t="shared" si="84"/>
        <v>0</v>
      </c>
      <c r="X297" s="209">
        <f t="shared" si="85"/>
        <v>0</v>
      </c>
      <c r="Y297" s="209">
        <f t="shared" si="86"/>
        <v>0</v>
      </c>
      <c r="Z297" s="209">
        <f t="shared" si="87"/>
        <v>4</v>
      </c>
      <c r="AA297" s="205">
        <f t="shared" si="88"/>
        <v>0</v>
      </c>
      <c r="AB297" s="209">
        <f t="shared" si="89"/>
        <v>0</v>
      </c>
      <c r="AC297" s="205">
        <f t="shared" si="90"/>
        <v>0</v>
      </c>
      <c r="AD297" s="210">
        <f t="shared" si="91"/>
        <v>32.203472222223354</v>
      </c>
      <c r="AE297" s="210">
        <f t="shared" si="92"/>
        <v>32.203472222223354</v>
      </c>
      <c r="AF297" s="210">
        <f t="shared" si="93"/>
        <v>0</v>
      </c>
      <c r="AG297" s="210">
        <f t="shared" si="94"/>
        <v>0</v>
      </c>
    </row>
    <row r="298" spans="2:33" ht="15" customHeight="1" x14ac:dyDescent="0.3">
      <c r="B298" s="196" t="s">
        <v>19</v>
      </c>
      <c r="C298" s="197" t="s">
        <v>15</v>
      </c>
      <c r="D298" s="198" t="str">
        <f t="shared" si="76"/>
        <v>C</v>
      </c>
      <c r="E298" s="199">
        <v>43585.208333333336</v>
      </c>
      <c r="F298" s="200" t="s">
        <v>88</v>
      </c>
      <c r="G298" s="201">
        <v>1282.33</v>
      </c>
      <c r="H298" s="201">
        <v>1273.6600000000001</v>
      </c>
      <c r="I298" s="202">
        <f t="shared" si="77"/>
        <v>8.6699999999998454</v>
      </c>
      <c r="J298" s="201">
        <v>1337.8</v>
      </c>
      <c r="K298" s="199">
        <v>43586.979861111111</v>
      </c>
      <c r="L298" s="201">
        <v>1275.6300000000001</v>
      </c>
      <c r="M298" s="203">
        <f t="shared" si="78"/>
        <v>-6.7</v>
      </c>
      <c r="N298" s="204">
        <f t="shared" si="79"/>
        <v>-0.77</v>
      </c>
      <c r="O298" s="205">
        <f t="shared" si="80"/>
        <v>0</v>
      </c>
      <c r="P298" s="206">
        <f t="shared" si="81"/>
        <v>0</v>
      </c>
      <c r="Q298" s="206">
        <f t="shared" si="82"/>
        <v>-0.77</v>
      </c>
      <c r="R29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9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160010</v>
      </c>
      <c r="T29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162090</v>
      </c>
      <c r="U298" s="208">
        <f ca="1">IF(Tabla33610673[[#This Row],[Equity]]&lt;Tabla33610673[[#This Row],[Equity Peak]],(Tabla33610673[[#This Row],[Equity Peak]]-Tabla33610673[[#This Row],[Equity]])/Tabla33610673[[#This Row],[Equity Peak]],"")</f>
        <v>1.2832377074464803E-2</v>
      </c>
      <c r="V298" s="209">
        <f t="shared" si="83"/>
        <v>0</v>
      </c>
      <c r="W298" s="209">
        <f t="shared" si="84"/>
        <v>0</v>
      </c>
      <c r="X298" s="209">
        <f t="shared" si="85"/>
        <v>-0.77</v>
      </c>
      <c r="Y298" s="209">
        <f t="shared" si="86"/>
        <v>0</v>
      </c>
      <c r="Z298" s="209">
        <f t="shared" si="87"/>
        <v>0</v>
      </c>
      <c r="AA298" s="205">
        <f t="shared" si="88"/>
        <v>0</v>
      </c>
      <c r="AB298" s="209">
        <f t="shared" si="89"/>
        <v>0</v>
      </c>
      <c r="AC298" s="205">
        <f t="shared" si="90"/>
        <v>0</v>
      </c>
      <c r="AD298" s="210">
        <f t="shared" si="91"/>
        <v>1.7715277777751908</v>
      </c>
      <c r="AE298" s="210">
        <f t="shared" si="92"/>
        <v>0</v>
      </c>
      <c r="AF298" s="210">
        <f t="shared" si="93"/>
        <v>1.7715277777751908</v>
      </c>
      <c r="AG298" s="210">
        <f t="shared" si="94"/>
        <v>0</v>
      </c>
    </row>
    <row r="299" spans="2:33" ht="15" customHeight="1" x14ac:dyDescent="0.3">
      <c r="B299" s="196" t="s">
        <v>84</v>
      </c>
      <c r="C299" s="197" t="s">
        <v>13</v>
      </c>
      <c r="D299" s="198" t="str">
        <f t="shared" si="76"/>
        <v>C</v>
      </c>
      <c r="E299" s="199">
        <v>43581.5</v>
      </c>
      <c r="F299" s="200" t="s">
        <v>80</v>
      </c>
      <c r="G299" s="201">
        <v>5158.3100000000004</v>
      </c>
      <c r="H299" s="201">
        <v>5386.55</v>
      </c>
      <c r="I299" s="202">
        <f t="shared" si="77"/>
        <v>228.23999999999978</v>
      </c>
      <c r="J299" s="201">
        <v>1734.67</v>
      </c>
      <c r="K299" s="199">
        <v>43585.72152777778</v>
      </c>
      <c r="L299" s="201">
        <v>5227.3999999999996</v>
      </c>
      <c r="M299" s="203">
        <f t="shared" si="78"/>
        <v>-69.09</v>
      </c>
      <c r="N299" s="204">
        <f t="shared" si="79"/>
        <v>-0.3</v>
      </c>
      <c r="O299" s="205">
        <f t="shared" si="80"/>
        <v>0</v>
      </c>
      <c r="P299" s="206">
        <f t="shared" si="81"/>
        <v>0</v>
      </c>
      <c r="Q299" s="206">
        <f t="shared" si="82"/>
        <v>-0.3</v>
      </c>
      <c r="R29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29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160780</v>
      </c>
      <c r="T29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162090</v>
      </c>
      <c r="U299" s="208">
        <f ca="1">IF(Tabla33610673[[#This Row],[Equity]]&lt;Tabla33610673[[#This Row],[Equity Peak]],(Tabla33610673[[#This Row],[Equity Peak]]-Tabla33610673[[#This Row],[Equity]])/Tabla33610673[[#This Row],[Equity Peak]],"")</f>
        <v>8.0819297920908129E-3</v>
      </c>
      <c r="V299" s="209">
        <f t="shared" si="83"/>
        <v>0</v>
      </c>
      <c r="W299" s="209">
        <f t="shared" si="84"/>
        <v>0</v>
      </c>
      <c r="X299" s="209">
        <f t="shared" si="85"/>
        <v>0</v>
      </c>
      <c r="Y299" s="209">
        <f t="shared" si="86"/>
        <v>0</v>
      </c>
      <c r="Z299" s="209">
        <f t="shared" si="87"/>
        <v>0</v>
      </c>
      <c r="AA299" s="205">
        <f t="shared" si="88"/>
        <v>0</v>
      </c>
      <c r="AB299" s="209">
        <f t="shared" si="89"/>
        <v>-0.3</v>
      </c>
      <c r="AC299" s="205">
        <f t="shared" si="90"/>
        <v>0</v>
      </c>
      <c r="AD299" s="210">
        <f t="shared" si="91"/>
        <v>4.2215277777795563</v>
      </c>
      <c r="AE299" s="210">
        <f t="shared" si="92"/>
        <v>0</v>
      </c>
      <c r="AF299" s="210">
        <f t="shared" si="93"/>
        <v>4.2215277777795563</v>
      </c>
      <c r="AG299" s="210">
        <f t="shared" si="94"/>
        <v>0</v>
      </c>
    </row>
    <row r="300" spans="2:33" ht="15" customHeight="1" x14ac:dyDescent="0.3">
      <c r="B300" s="196" t="s">
        <v>5</v>
      </c>
      <c r="C300" s="197" t="s">
        <v>15</v>
      </c>
      <c r="D300" s="198" t="str">
        <f t="shared" si="76"/>
        <v>C</v>
      </c>
      <c r="E300" s="199">
        <v>43578.284722222219</v>
      </c>
      <c r="F300" s="200" t="s">
        <v>90</v>
      </c>
      <c r="G300" s="201">
        <v>6306.2</v>
      </c>
      <c r="H300" s="201">
        <v>6278.3</v>
      </c>
      <c r="I300" s="202">
        <f t="shared" si="77"/>
        <v>27.899999999999636</v>
      </c>
      <c r="J300" s="201">
        <v>6678.2</v>
      </c>
      <c r="K300" s="199">
        <v>43585.223611111112</v>
      </c>
      <c r="L300" s="201">
        <v>6320.58</v>
      </c>
      <c r="M300" s="203">
        <f t="shared" si="78"/>
        <v>14.38</v>
      </c>
      <c r="N300" s="204">
        <f t="shared" si="79"/>
        <v>0.52</v>
      </c>
      <c r="O300" s="205">
        <f t="shared" si="80"/>
        <v>0</v>
      </c>
      <c r="P300" s="206">
        <f t="shared" si="81"/>
        <v>0.52</v>
      </c>
      <c r="Q300" s="206">
        <f t="shared" si="82"/>
        <v>0</v>
      </c>
      <c r="R30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0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161080</v>
      </c>
      <c r="T30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162090</v>
      </c>
      <c r="U300" s="208">
        <f ca="1">IF(Tabla33610673[[#This Row],[Equity]]&lt;Tabla33610673[[#This Row],[Equity Peak]],(Tabla33610673[[#This Row],[Equity Peak]]-Tabla33610673[[#This Row],[Equity]])/Tabla33610673[[#This Row],[Equity Peak]],"")</f>
        <v>6.231106175581467E-3</v>
      </c>
      <c r="V300" s="209">
        <f t="shared" si="83"/>
        <v>0</v>
      </c>
      <c r="W300" s="209">
        <f t="shared" si="84"/>
        <v>0</v>
      </c>
      <c r="X300" s="209">
        <f t="shared" si="85"/>
        <v>0</v>
      </c>
      <c r="Y300" s="209">
        <f t="shared" si="86"/>
        <v>0</v>
      </c>
      <c r="Z300" s="209">
        <f t="shared" si="87"/>
        <v>0.52</v>
      </c>
      <c r="AA300" s="205">
        <f t="shared" si="88"/>
        <v>0</v>
      </c>
      <c r="AB300" s="209">
        <f t="shared" si="89"/>
        <v>0</v>
      </c>
      <c r="AC300" s="205">
        <f t="shared" si="90"/>
        <v>0</v>
      </c>
      <c r="AD300" s="210">
        <f t="shared" si="91"/>
        <v>6.9388888888934162</v>
      </c>
      <c r="AE300" s="210">
        <f t="shared" si="92"/>
        <v>6.9388888888934162</v>
      </c>
      <c r="AF300" s="210">
        <f t="shared" si="93"/>
        <v>0</v>
      </c>
      <c r="AG300" s="210">
        <f t="shared" si="94"/>
        <v>0</v>
      </c>
    </row>
    <row r="301" spans="2:33" ht="15" customHeight="1" x14ac:dyDescent="0.3">
      <c r="B301" s="196" t="s">
        <v>19</v>
      </c>
      <c r="C301" s="197" t="s">
        <v>13</v>
      </c>
      <c r="D301" s="198" t="str">
        <f t="shared" si="76"/>
        <v>C</v>
      </c>
      <c r="E301" s="199">
        <v>43584.875</v>
      </c>
      <c r="F301" s="200" t="s">
        <v>88</v>
      </c>
      <c r="G301" s="201">
        <v>1279.1099999999999</v>
      </c>
      <c r="H301" s="201">
        <v>1289.31</v>
      </c>
      <c r="I301" s="202">
        <f t="shared" si="77"/>
        <v>10.200000000000045</v>
      </c>
      <c r="J301" s="201">
        <v>1213.82</v>
      </c>
      <c r="K301" s="199">
        <v>43585.208333333336</v>
      </c>
      <c r="L301" s="201">
        <v>1282.33</v>
      </c>
      <c r="M301" s="203">
        <f t="shared" si="78"/>
        <v>-3.22</v>
      </c>
      <c r="N301" s="204">
        <f t="shared" si="79"/>
        <v>-0.32</v>
      </c>
      <c r="O301" s="205">
        <f t="shared" si="80"/>
        <v>0</v>
      </c>
      <c r="P301" s="206">
        <f t="shared" si="81"/>
        <v>0</v>
      </c>
      <c r="Q301" s="206">
        <f t="shared" si="82"/>
        <v>-0.32</v>
      </c>
      <c r="R30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0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160560</v>
      </c>
      <c r="T30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162090</v>
      </c>
      <c r="U301" s="208">
        <f ca="1">IF(Tabla33610673[[#This Row],[Equity]]&lt;Tabla33610673[[#This Row],[Equity Peak]],(Tabla33610673[[#This Row],[Equity Peak]]-Tabla33610673[[#This Row],[Equity]])/Tabla33610673[[#This Row],[Equity Peak]],"")</f>
        <v>9.4392004441976683E-3</v>
      </c>
      <c r="V301" s="209">
        <f t="shared" si="83"/>
        <v>0</v>
      </c>
      <c r="W301" s="209">
        <f t="shared" si="84"/>
        <v>0</v>
      </c>
      <c r="X301" s="209">
        <f t="shared" si="85"/>
        <v>-0.32</v>
      </c>
      <c r="Y301" s="209">
        <f t="shared" si="86"/>
        <v>0</v>
      </c>
      <c r="Z301" s="209">
        <f t="shared" si="87"/>
        <v>0</v>
      </c>
      <c r="AA301" s="205">
        <f t="shared" si="88"/>
        <v>0</v>
      </c>
      <c r="AB301" s="209">
        <f t="shared" si="89"/>
        <v>0</v>
      </c>
      <c r="AC301" s="205">
        <f t="shared" si="90"/>
        <v>0</v>
      </c>
      <c r="AD301" s="210">
        <f t="shared" si="91"/>
        <v>0.33333333333575865</v>
      </c>
      <c r="AE301" s="210">
        <f t="shared" si="92"/>
        <v>0</v>
      </c>
      <c r="AF301" s="210">
        <f t="shared" si="93"/>
        <v>0.33333333333575865</v>
      </c>
      <c r="AG301" s="210">
        <f t="shared" si="94"/>
        <v>0</v>
      </c>
    </row>
    <row r="302" spans="2:33" ht="15" customHeight="1" x14ac:dyDescent="0.3">
      <c r="B302" s="196" t="s">
        <v>19</v>
      </c>
      <c r="C302" s="197" t="s">
        <v>15</v>
      </c>
      <c r="D302" s="198" t="str">
        <f t="shared" si="76"/>
        <v>C</v>
      </c>
      <c r="E302" s="199">
        <v>43581.708333333336</v>
      </c>
      <c r="F302" s="200" t="s">
        <v>88</v>
      </c>
      <c r="G302" s="201">
        <v>1285.68</v>
      </c>
      <c r="H302" s="201">
        <v>1274.8699999999999</v>
      </c>
      <c r="I302" s="202">
        <f t="shared" si="77"/>
        <v>10.810000000000173</v>
      </c>
      <c r="J302" s="201">
        <v>1354.87</v>
      </c>
      <c r="K302" s="199">
        <v>43584.875</v>
      </c>
      <c r="L302" s="201">
        <v>1279.1099999999999</v>
      </c>
      <c r="M302" s="203">
        <f t="shared" si="78"/>
        <v>-6.57</v>
      </c>
      <c r="N302" s="204">
        <f t="shared" si="79"/>
        <v>-0.61</v>
      </c>
      <c r="O302" s="205">
        <f t="shared" si="80"/>
        <v>0</v>
      </c>
      <c r="P302" s="206">
        <f t="shared" si="81"/>
        <v>0</v>
      </c>
      <c r="Q302" s="206">
        <f t="shared" si="82"/>
        <v>-0.61</v>
      </c>
      <c r="R30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0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160880</v>
      </c>
      <c r="T30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162090</v>
      </c>
      <c r="U302" s="208">
        <f ca="1">IF(Tabla33610673[[#This Row],[Equity]]&lt;Tabla33610673[[#This Row],[Equity Peak]],(Tabla33610673[[#This Row],[Equity Peak]]-Tabla33610673[[#This Row],[Equity]])/Tabla33610673[[#This Row],[Equity Peak]],"")</f>
        <v>7.4649885865876982E-3</v>
      </c>
      <c r="V302" s="209">
        <f t="shared" si="83"/>
        <v>0</v>
      </c>
      <c r="W302" s="209">
        <f t="shared" si="84"/>
        <v>0</v>
      </c>
      <c r="X302" s="209">
        <f t="shared" si="85"/>
        <v>-0.61</v>
      </c>
      <c r="Y302" s="209">
        <f t="shared" si="86"/>
        <v>0</v>
      </c>
      <c r="Z302" s="209">
        <f t="shared" si="87"/>
        <v>0</v>
      </c>
      <c r="AA302" s="205">
        <f t="shared" si="88"/>
        <v>0</v>
      </c>
      <c r="AB302" s="209">
        <f t="shared" si="89"/>
        <v>0</v>
      </c>
      <c r="AC302" s="205">
        <f t="shared" si="90"/>
        <v>0</v>
      </c>
      <c r="AD302" s="210">
        <f t="shared" si="91"/>
        <v>3.1666666666642413</v>
      </c>
      <c r="AE302" s="210">
        <f t="shared" si="92"/>
        <v>0</v>
      </c>
      <c r="AF302" s="210">
        <f t="shared" si="93"/>
        <v>3.1666666666642413</v>
      </c>
      <c r="AG302" s="210">
        <f t="shared" si="94"/>
        <v>0</v>
      </c>
    </row>
    <row r="303" spans="2:33" ht="15" customHeight="1" x14ac:dyDescent="0.3">
      <c r="B303" s="196" t="s">
        <v>19</v>
      </c>
      <c r="C303" s="197" t="s">
        <v>13</v>
      </c>
      <c r="D303" s="198" t="str">
        <f t="shared" si="76"/>
        <v>C</v>
      </c>
      <c r="E303" s="199">
        <v>43584.017361111109</v>
      </c>
      <c r="F303" s="200" t="s">
        <v>108</v>
      </c>
      <c r="G303" s="201">
        <v>62.857999999999997</v>
      </c>
      <c r="H303" s="201">
        <v>63.856999999999999</v>
      </c>
      <c r="I303" s="202">
        <f t="shared" si="77"/>
        <v>0.99900000000000233</v>
      </c>
      <c r="J303" s="201">
        <v>50.871000000000002</v>
      </c>
      <c r="K303" s="199">
        <v>43584.866666666669</v>
      </c>
      <c r="L303" s="201">
        <v>63.457000000000001</v>
      </c>
      <c r="M303" s="203">
        <f t="shared" si="78"/>
        <v>-0.59899999999999998</v>
      </c>
      <c r="N303" s="204">
        <f t="shared" si="79"/>
        <v>-0.6</v>
      </c>
      <c r="O303" s="205">
        <f t="shared" si="80"/>
        <v>0</v>
      </c>
      <c r="P303" s="206">
        <f t="shared" si="81"/>
        <v>0</v>
      </c>
      <c r="Q303" s="206">
        <f t="shared" si="82"/>
        <v>-0.6</v>
      </c>
      <c r="R30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0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161490</v>
      </c>
      <c r="T30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162090</v>
      </c>
      <c r="U303" s="208">
        <f ca="1">IF(Tabla33610673[[#This Row],[Equity]]&lt;Tabla33610673[[#This Row],[Equity Peak]],(Tabla33610673[[#This Row],[Equity Peak]]-Tabla33610673[[#This Row],[Equity]])/Tabla33610673[[#This Row],[Equity Peak]],"")</f>
        <v>3.7016472330186935E-3</v>
      </c>
      <c r="V303" s="209">
        <f t="shared" si="83"/>
        <v>0</v>
      </c>
      <c r="W303" s="209">
        <f t="shared" si="84"/>
        <v>0</v>
      </c>
      <c r="X303" s="209">
        <f t="shared" si="85"/>
        <v>-0.6</v>
      </c>
      <c r="Y303" s="209">
        <f t="shared" si="86"/>
        <v>0</v>
      </c>
      <c r="Z303" s="209">
        <f t="shared" si="87"/>
        <v>0</v>
      </c>
      <c r="AA303" s="205">
        <f t="shared" si="88"/>
        <v>0</v>
      </c>
      <c r="AB303" s="209">
        <f t="shared" si="89"/>
        <v>0</v>
      </c>
      <c r="AC303" s="205">
        <f t="shared" si="90"/>
        <v>0</v>
      </c>
      <c r="AD303" s="210">
        <f t="shared" si="91"/>
        <v>0.84930555555911269</v>
      </c>
      <c r="AE303" s="210">
        <f t="shared" si="92"/>
        <v>0</v>
      </c>
      <c r="AF303" s="210">
        <f t="shared" si="93"/>
        <v>0.84930555555911269</v>
      </c>
      <c r="AG303" s="210">
        <f t="shared" si="94"/>
        <v>0</v>
      </c>
    </row>
    <row r="304" spans="2:33" ht="15" customHeight="1" x14ac:dyDescent="0.3">
      <c r="B304" s="196" t="s">
        <v>7</v>
      </c>
      <c r="C304" s="197" t="s">
        <v>13</v>
      </c>
      <c r="D304" s="198" t="str">
        <f t="shared" si="76"/>
        <v>C</v>
      </c>
      <c r="E304" s="199">
        <v>43578.833333333336</v>
      </c>
      <c r="F304" s="200" t="s">
        <v>122</v>
      </c>
      <c r="G304" s="201">
        <v>79.313000000000002</v>
      </c>
      <c r="H304" s="201">
        <v>79.540000000000006</v>
      </c>
      <c r="I304" s="202">
        <f t="shared" si="77"/>
        <v>0.22700000000000387</v>
      </c>
      <c r="J304" s="201">
        <v>75.373999999999995</v>
      </c>
      <c r="K304" s="199">
        <v>43584.769444444442</v>
      </c>
      <c r="L304" s="201">
        <v>78.906999999999996</v>
      </c>
      <c r="M304" s="203">
        <f t="shared" si="78"/>
        <v>0.40600000000000003</v>
      </c>
      <c r="N304" s="204">
        <f t="shared" si="79"/>
        <v>1.79</v>
      </c>
      <c r="O304" s="205">
        <f t="shared" si="80"/>
        <v>0</v>
      </c>
      <c r="P304" s="206">
        <f t="shared" si="81"/>
        <v>1.79</v>
      </c>
      <c r="Q304" s="206">
        <f t="shared" si="82"/>
        <v>0</v>
      </c>
      <c r="R30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0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162090</v>
      </c>
      <c r="T30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162090</v>
      </c>
      <c r="U304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304" s="209">
        <f t="shared" si="83"/>
        <v>1.79</v>
      </c>
      <c r="W304" s="209">
        <f t="shared" si="84"/>
        <v>0</v>
      </c>
      <c r="X304" s="209">
        <f t="shared" si="85"/>
        <v>0</v>
      </c>
      <c r="Y304" s="209">
        <f t="shared" si="86"/>
        <v>0</v>
      </c>
      <c r="Z304" s="209">
        <f t="shared" si="87"/>
        <v>0</v>
      </c>
      <c r="AA304" s="205">
        <f t="shared" si="88"/>
        <v>0</v>
      </c>
      <c r="AB304" s="209">
        <f t="shared" si="89"/>
        <v>0</v>
      </c>
      <c r="AC304" s="205">
        <f t="shared" si="90"/>
        <v>0</v>
      </c>
      <c r="AD304" s="210">
        <f t="shared" si="91"/>
        <v>5.9361111111065838</v>
      </c>
      <c r="AE304" s="210">
        <f t="shared" si="92"/>
        <v>5.9361111111065838</v>
      </c>
      <c r="AF304" s="210">
        <f t="shared" si="93"/>
        <v>0</v>
      </c>
      <c r="AG304" s="210">
        <f t="shared" si="94"/>
        <v>0</v>
      </c>
    </row>
    <row r="305" spans="2:33" ht="15" customHeight="1" x14ac:dyDescent="0.3">
      <c r="B305" s="196" t="s">
        <v>7</v>
      </c>
      <c r="C305" s="197" t="s">
        <v>13</v>
      </c>
      <c r="D305" s="198" t="str">
        <f t="shared" si="76"/>
        <v>C</v>
      </c>
      <c r="E305" s="199">
        <v>43578.833333333336</v>
      </c>
      <c r="F305" s="200" t="s">
        <v>118</v>
      </c>
      <c r="G305" s="201">
        <v>125.36</v>
      </c>
      <c r="H305" s="201">
        <v>125.85</v>
      </c>
      <c r="I305" s="202">
        <f t="shared" si="77"/>
        <v>0.48999999999999488</v>
      </c>
      <c r="J305" s="201">
        <v>123.399</v>
      </c>
      <c r="K305" s="199">
        <v>43584.739583333336</v>
      </c>
      <c r="L305" s="201">
        <v>124.928</v>
      </c>
      <c r="M305" s="203">
        <f t="shared" si="78"/>
        <v>0.432</v>
      </c>
      <c r="N305" s="204">
        <f t="shared" si="79"/>
        <v>0.88</v>
      </c>
      <c r="O305" s="205">
        <f t="shared" si="80"/>
        <v>0</v>
      </c>
      <c r="P305" s="206">
        <f t="shared" si="81"/>
        <v>0.88</v>
      </c>
      <c r="Q305" s="206">
        <f t="shared" si="82"/>
        <v>0</v>
      </c>
      <c r="R30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0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160300</v>
      </c>
      <c r="T30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160300</v>
      </c>
      <c r="U305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305" s="209">
        <f t="shared" si="83"/>
        <v>0.88</v>
      </c>
      <c r="W305" s="209">
        <f t="shared" si="84"/>
        <v>0</v>
      </c>
      <c r="X305" s="209">
        <f t="shared" si="85"/>
        <v>0</v>
      </c>
      <c r="Y305" s="209">
        <f t="shared" si="86"/>
        <v>0</v>
      </c>
      <c r="Z305" s="209">
        <f t="shared" si="87"/>
        <v>0</v>
      </c>
      <c r="AA305" s="205">
        <f t="shared" si="88"/>
        <v>0</v>
      </c>
      <c r="AB305" s="209">
        <f t="shared" si="89"/>
        <v>0</v>
      </c>
      <c r="AC305" s="205">
        <f t="shared" si="90"/>
        <v>0</v>
      </c>
      <c r="AD305" s="210">
        <f t="shared" si="91"/>
        <v>5.90625</v>
      </c>
      <c r="AE305" s="210">
        <f t="shared" si="92"/>
        <v>5.90625</v>
      </c>
      <c r="AF305" s="210">
        <f t="shared" si="93"/>
        <v>0</v>
      </c>
      <c r="AG305" s="210">
        <f t="shared" si="94"/>
        <v>0</v>
      </c>
    </row>
    <row r="306" spans="2:33" ht="15" customHeight="1" x14ac:dyDescent="0.3">
      <c r="B306" s="196" t="s">
        <v>5</v>
      </c>
      <c r="C306" s="197" t="s">
        <v>13</v>
      </c>
      <c r="D306" s="198" t="str">
        <f t="shared" si="76"/>
        <v>C</v>
      </c>
      <c r="E306" s="199">
        <v>43580.833333333336</v>
      </c>
      <c r="F306" s="200" t="s">
        <v>94</v>
      </c>
      <c r="G306" s="201">
        <v>7445.34</v>
      </c>
      <c r="H306" s="201">
        <v>7497.91</v>
      </c>
      <c r="I306" s="202">
        <f t="shared" si="77"/>
        <v>52.569999999999709</v>
      </c>
      <c r="J306" s="201">
        <v>7182.48</v>
      </c>
      <c r="K306" s="199">
        <v>43584.649305555555</v>
      </c>
      <c r="L306" s="201">
        <v>7445.93</v>
      </c>
      <c r="M306" s="203">
        <f t="shared" si="78"/>
        <v>-0.59</v>
      </c>
      <c r="N306" s="204">
        <f t="shared" si="79"/>
        <v>-0.01</v>
      </c>
      <c r="O306" s="205">
        <f t="shared" si="80"/>
        <v>0</v>
      </c>
      <c r="P306" s="206">
        <f t="shared" si="81"/>
        <v>0</v>
      </c>
      <c r="Q306" s="206">
        <f t="shared" si="82"/>
        <v>-0.01</v>
      </c>
      <c r="R30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0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159420</v>
      </c>
      <c r="T30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159430</v>
      </c>
      <c r="U306" s="208">
        <f ca="1">IF(Tabla33610673[[#This Row],[Equity]]&lt;Tabla33610673[[#This Row],[Equity Peak]],(Tabla33610673[[#This Row],[Equity Peak]]-Tabla33610673[[#This Row],[Equity]])/Tabla33610673[[#This Row],[Equity Peak]],"")</f>
        <v>6.272345229881452E-5</v>
      </c>
      <c r="V306" s="209">
        <f t="shared" si="83"/>
        <v>0</v>
      </c>
      <c r="W306" s="209">
        <f t="shared" si="84"/>
        <v>0</v>
      </c>
      <c r="X306" s="209">
        <f t="shared" si="85"/>
        <v>0</v>
      </c>
      <c r="Y306" s="209">
        <f t="shared" si="86"/>
        <v>0</v>
      </c>
      <c r="Z306" s="209">
        <f t="shared" si="87"/>
        <v>-0.01</v>
      </c>
      <c r="AA306" s="205">
        <f t="shared" si="88"/>
        <v>0</v>
      </c>
      <c r="AB306" s="209">
        <f t="shared" si="89"/>
        <v>0</v>
      </c>
      <c r="AC306" s="205">
        <f t="shared" si="90"/>
        <v>0</v>
      </c>
      <c r="AD306" s="210">
        <f t="shared" si="91"/>
        <v>3.8159722222189885</v>
      </c>
      <c r="AE306" s="210">
        <f t="shared" si="92"/>
        <v>0</v>
      </c>
      <c r="AF306" s="210">
        <f t="shared" si="93"/>
        <v>3.8159722222189885</v>
      </c>
      <c r="AG306" s="210">
        <f t="shared" si="94"/>
        <v>0</v>
      </c>
    </row>
    <row r="307" spans="2:33" ht="15" customHeight="1" x14ac:dyDescent="0.3">
      <c r="B307" s="196" t="s">
        <v>7</v>
      </c>
      <c r="C307" s="197" t="s">
        <v>13</v>
      </c>
      <c r="D307" s="198" t="str">
        <f t="shared" si="76"/>
        <v>C</v>
      </c>
      <c r="E307" s="199">
        <v>43574.166666666664</v>
      </c>
      <c r="F307" s="200" t="s">
        <v>117</v>
      </c>
      <c r="G307" s="201">
        <v>1.1239699999999999</v>
      </c>
      <c r="H307" s="201">
        <v>1.12846</v>
      </c>
      <c r="I307" s="202">
        <f t="shared" si="77"/>
        <v>4.490000000000105E-3</v>
      </c>
      <c r="J307" s="201">
        <v>1.0952500000000001</v>
      </c>
      <c r="K307" s="199">
        <v>43581.775694444441</v>
      </c>
      <c r="L307" s="201">
        <v>1.11727</v>
      </c>
      <c r="M307" s="203">
        <f t="shared" si="78"/>
        <v>6.7000000000000002E-3</v>
      </c>
      <c r="N307" s="204">
        <f t="shared" si="79"/>
        <v>1.49</v>
      </c>
      <c r="O307" s="205">
        <f t="shared" si="80"/>
        <v>0</v>
      </c>
      <c r="P307" s="206">
        <f t="shared" si="81"/>
        <v>1.49</v>
      </c>
      <c r="Q307" s="206">
        <f t="shared" si="82"/>
        <v>0</v>
      </c>
      <c r="R30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0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159430</v>
      </c>
      <c r="T30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159430</v>
      </c>
      <c r="U307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307" s="209">
        <f t="shared" si="83"/>
        <v>1.49</v>
      </c>
      <c r="W307" s="209">
        <f t="shared" si="84"/>
        <v>0</v>
      </c>
      <c r="X307" s="209">
        <f t="shared" si="85"/>
        <v>0</v>
      </c>
      <c r="Y307" s="209">
        <f t="shared" si="86"/>
        <v>0</v>
      </c>
      <c r="Z307" s="209">
        <f t="shared" si="87"/>
        <v>0</v>
      </c>
      <c r="AA307" s="205">
        <f t="shared" si="88"/>
        <v>0</v>
      </c>
      <c r="AB307" s="209">
        <f t="shared" si="89"/>
        <v>0</v>
      </c>
      <c r="AC307" s="205">
        <f t="shared" si="90"/>
        <v>0</v>
      </c>
      <c r="AD307" s="210">
        <f t="shared" si="91"/>
        <v>7.609027777776646</v>
      </c>
      <c r="AE307" s="210">
        <f t="shared" si="92"/>
        <v>7.609027777776646</v>
      </c>
      <c r="AF307" s="210">
        <f t="shared" si="93"/>
        <v>0</v>
      </c>
      <c r="AG307" s="210">
        <f t="shared" si="94"/>
        <v>0</v>
      </c>
    </row>
    <row r="308" spans="2:33" ht="15" customHeight="1" x14ac:dyDescent="0.3">
      <c r="B308" s="196" t="s">
        <v>19</v>
      </c>
      <c r="C308" s="197" t="s">
        <v>15</v>
      </c>
      <c r="D308" s="198" t="str">
        <f t="shared" si="76"/>
        <v>C</v>
      </c>
      <c r="E308" s="199">
        <v>43535.458333333336</v>
      </c>
      <c r="F308" s="200" t="s">
        <v>108</v>
      </c>
      <c r="G308" s="201">
        <v>56.712000000000003</v>
      </c>
      <c r="H308" s="201">
        <v>55.408000000000001</v>
      </c>
      <c r="I308" s="202">
        <f t="shared" si="77"/>
        <v>1.304000000000002</v>
      </c>
      <c r="J308" s="201">
        <v>72.364999999999995</v>
      </c>
      <c r="K308" s="199">
        <v>43581.677777777775</v>
      </c>
      <c r="L308" s="201">
        <v>63.728000000000002</v>
      </c>
      <c r="M308" s="203">
        <f t="shared" si="78"/>
        <v>7.016</v>
      </c>
      <c r="N308" s="204">
        <f t="shared" si="79"/>
        <v>5.38</v>
      </c>
      <c r="O308" s="205">
        <f t="shared" si="80"/>
        <v>0</v>
      </c>
      <c r="P308" s="206">
        <f t="shared" si="81"/>
        <v>5.38</v>
      </c>
      <c r="Q308" s="206">
        <f t="shared" si="82"/>
        <v>0</v>
      </c>
      <c r="R30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0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157940</v>
      </c>
      <c r="T30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157940</v>
      </c>
      <c r="U308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308" s="209">
        <f t="shared" si="83"/>
        <v>0</v>
      </c>
      <c r="W308" s="209">
        <f t="shared" si="84"/>
        <v>0</v>
      </c>
      <c r="X308" s="209">
        <f t="shared" si="85"/>
        <v>5.38</v>
      </c>
      <c r="Y308" s="209">
        <f t="shared" si="86"/>
        <v>0</v>
      </c>
      <c r="Z308" s="209">
        <f t="shared" si="87"/>
        <v>0</v>
      </c>
      <c r="AA308" s="205">
        <f t="shared" si="88"/>
        <v>0</v>
      </c>
      <c r="AB308" s="209">
        <f t="shared" si="89"/>
        <v>0</v>
      </c>
      <c r="AC308" s="205">
        <f t="shared" si="90"/>
        <v>0</v>
      </c>
      <c r="AD308" s="210">
        <f t="shared" si="91"/>
        <v>46.219444444439432</v>
      </c>
      <c r="AE308" s="210">
        <f t="shared" si="92"/>
        <v>46.219444444439432</v>
      </c>
      <c r="AF308" s="210">
        <f t="shared" si="93"/>
        <v>0</v>
      </c>
      <c r="AG308" s="210">
        <f t="shared" si="94"/>
        <v>0</v>
      </c>
    </row>
    <row r="309" spans="2:33" ht="15" customHeight="1" x14ac:dyDescent="0.3">
      <c r="B309" s="196" t="s">
        <v>7</v>
      </c>
      <c r="C309" s="197" t="s">
        <v>15</v>
      </c>
      <c r="D309" s="198" t="str">
        <f t="shared" si="76"/>
        <v>C</v>
      </c>
      <c r="E309" s="199">
        <v>43579.333333333336</v>
      </c>
      <c r="F309" s="200" t="s">
        <v>116</v>
      </c>
      <c r="G309" s="201">
        <v>1.8389599999999999</v>
      </c>
      <c r="H309" s="201">
        <v>1.8212900000000001</v>
      </c>
      <c r="I309" s="202">
        <f t="shared" si="77"/>
        <v>1.7669999999999852E-2</v>
      </c>
      <c r="J309" s="201">
        <v>1.89785</v>
      </c>
      <c r="K309" s="199">
        <v>43581.55</v>
      </c>
      <c r="L309" s="201">
        <v>1.83412</v>
      </c>
      <c r="M309" s="203">
        <f t="shared" si="78"/>
        <v>-4.7999999999999996E-3</v>
      </c>
      <c r="N309" s="204">
        <f t="shared" si="79"/>
        <v>-0.27</v>
      </c>
      <c r="O309" s="205">
        <f t="shared" si="80"/>
        <v>0</v>
      </c>
      <c r="P309" s="206">
        <f t="shared" si="81"/>
        <v>0</v>
      </c>
      <c r="Q309" s="206">
        <f t="shared" si="82"/>
        <v>-0.27</v>
      </c>
      <c r="R30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0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152560</v>
      </c>
      <c r="T30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152830</v>
      </c>
      <c r="U309" s="208">
        <f ca="1">IF(Tabla33610673[[#This Row],[Equity]]&lt;Tabla33610673[[#This Row],[Equity Peak]],(Tabla33610673[[#This Row],[Equity Peak]]-Tabla33610673[[#This Row],[Equity]])/Tabla33610673[[#This Row],[Equity Peak]],"")</f>
        <v>1.7666688477393183E-3</v>
      </c>
      <c r="V309" s="209">
        <f t="shared" si="83"/>
        <v>-0.27</v>
      </c>
      <c r="W309" s="209">
        <f t="shared" si="84"/>
        <v>0</v>
      </c>
      <c r="X309" s="209">
        <f t="shared" si="85"/>
        <v>0</v>
      </c>
      <c r="Y309" s="209">
        <f t="shared" si="86"/>
        <v>0</v>
      </c>
      <c r="Z309" s="209">
        <f t="shared" si="87"/>
        <v>0</v>
      </c>
      <c r="AA309" s="205">
        <f t="shared" si="88"/>
        <v>0</v>
      </c>
      <c r="AB309" s="209">
        <f t="shared" si="89"/>
        <v>0</v>
      </c>
      <c r="AC309" s="205">
        <f t="shared" si="90"/>
        <v>0</v>
      </c>
      <c r="AD309" s="210">
        <f t="shared" si="91"/>
        <v>2.2166666666671517</v>
      </c>
      <c r="AE309" s="210">
        <f t="shared" si="92"/>
        <v>0</v>
      </c>
      <c r="AF309" s="210">
        <f t="shared" si="93"/>
        <v>2.2166666666671517</v>
      </c>
      <c r="AG309" s="210">
        <f t="shared" si="94"/>
        <v>0</v>
      </c>
    </row>
    <row r="310" spans="2:33" ht="15" customHeight="1" x14ac:dyDescent="0.3">
      <c r="B310" s="196" t="s">
        <v>5</v>
      </c>
      <c r="C310" s="197" t="s">
        <v>15</v>
      </c>
      <c r="D310" s="198" t="str">
        <f t="shared" si="76"/>
        <v>C</v>
      </c>
      <c r="E310" s="199">
        <v>43558.166666666664</v>
      </c>
      <c r="F310" s="200" t="s">
        <v>92</v>
      </c>
      <c r="G310" s="201">
        <v>7525.6</v>
      </c>
      <c r="H310" s="201">
        <v>7398.96</v>
      </c>
      <c r="I310" s="202">
        <f t="shared" si="77"/>
        <v>126.64000000000033</v>
      </c>
      <c r="J310" s="201">
        <v>8369.8799999999992</v>
      </c>
      <c r="K310" s="199">
        <v>43580.773611111108</v>
      </c>
      <c r="L310" s="201">
        <v>7785.72</v>
      </c>
      <c r="M310" s="203">
        <f t="shared" si="78"/>
        <v>260.12</v>
      </c>
      <c r="N310" s="204">
        <f t="shared" si="79"/>
        <v>2.0499999999999998</v>
      </c>
      <c r="O310" s="205">
        <f t="shared" si="80"/>
        <v>0</v>
      </c>
      <c r="P310" s="206">
        <f t="shared" si="81"/>
        <v>2.0499999999999998</v>
      </c>
      <c r="Q310" s="206">
        <f t="shared" si="82"/>
        <v>0</v>
      </c>
      <c r="R31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1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152830</v>
      </c>
      <c r="T31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152830</v>
      </c>
      <c r="U310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310" s="209">
        <f t="shared" si="83"/>
        <v>0</v>
      </c>
      <c r="W310" s="209">
        <f t="shared" si="84"/>
        <v>0</v>
      </c>
      <c r="X310" s="209">
        <f t="shared" si="85"/>
        <v>0</v>
      </c>
      <c r="Y310" s="209">
        <f t="shared" si="86"/>
        <v>0</v>
      </c>
      <c r="Z310" s="209">
        <f t="shared" si="87"/>
        <v>2.0499999999999998</v>
      </c>
      <c r="AA310" s="205">
        <f t="shared" si="88"/>
        <v>0</v>
      </c>
      <c r="AB310" s="209">
        <f t="shared" si="89"/>
        <v>0</v>
      </c>
      <c r="AC310" s="205">
        <f t="shared" si="90"/>
        <v>0</v>
      </c>
      <c r="AD310" s="210">
        <f t="shared" si="91"/>
        <v>22.606944444443798</v>
      </c>
      <c r="AE310" s="210">
        <f t="shared" si="92"/>
        <v>22.606944444443798</v>
      </c>
      <c r="AF310" s="210">
        <f t="shared" si="93"/>
        <v>0</v>
      </c>
      <c r="AG310" s="210">
        <f t="shared" si="94"/>
        <v>0</v>
      </c>
    </row>
    <row r="311" spans="2:33" ht="15" customHeight="1" x14ac:dyDescent="0.3">
      <c r="B311" s="196" t="s">
        <v>19</v>
      </c>
      <c r="C311" s="197" t="s">
        <v>13</v>
      </c>
      <c r="D311" s="198" t="str">
        <f t="shared" si="76"/>
        <v>C</v>
      </c>
      <c r="E311" s="199">
        <v>43571.708333333336</v>
      </c>
      <c r="F311" s="200" t="s">
        <v>88</v>
      </c>
      <c r="G311" s="201">
        <v>1276.29</v>
      </c>
      <c r="H311" s="201">
        <v>1287.0899999999999</v>
      </c>
      <c r="I311" s="202">
        <f t="shared" si="77"/>
        <v>10.799999999999955</v>
      </c>
      <c r="J311" s="201">
        <v>1207.19</v>
      </c>
      <c r="K311" s="199">
        <v>43579.81527777778</v>
      </c>
      <c r="L311" s="201">
        <v>1277.99</v>
      </c>
      <c r="M311" s="203">
        <f t="shared" si="78"/>
        <v>-1.7</v>
      </c>
      <c r="N311" s="204">
        <f t="shared" si="79"/>
        <v>-0.16</v>
      </c>
      <c r="O311" s="205">
        <f t="shared" si="80"/>
        <v>0</v>
      </c>
      <c r="P311" s="206">
        <f t="shared" si="81"/>
        <v>0</v>
      </c>
      <c r="Q311" s="206">
        <f t="shared" si="82"/>
        <v>-0.16</v>
      </c>
      <c r="R31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1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150780</v>
      </c>
      <c r="T31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150940</v>
      </c>
      <c r="U311" s="208">
        <f ca="1">IF(Tabla33610673[[#This Row],[Equity]]&lt;Tabla33610673[[#This Row],[Equity Peak]],(Tabla33610673[[#This Row],[Equity Peak]]-Tabla33610673[[#This Row],[Equity]])/Tabla33610673[[#This Row],[Equity Peak]],"")</f>
        <v>1.060023850536637E-3</v>
      </c>
      <c r="V311" s="209">
        <f t="shared" si="83"/>
        <v>0</v>
      </c>
      <c r="W311" s="209">
        <f t="shared" si="84"/>
        <v>0</v>
      </c>
      <c r="X311" s="209">
        <f t="shared" si="85"/>
        <v>-0.16</v>
      </c>
      <c r="Y311" s="209">
        <f t="shared" si="86"/>
        <v>0</v>
      </c>
      <c r="Z311" s="209">
        <f t="shared" si="87"/>
        <v>0</v>
      </c>
      <c r="AA311" s="205">
        <f t="shared" si="88"/>
        <v>0</v>
      </c>
      <c r="AB311" s="209">
        <f t="shared" si="89"/>
        <v>0</v>
      </c>
      <c r="AC311" s="205">
        <f t="shared" si="90"/>
        <v>0</v>
      </c>
      <c r="AD311" s="210">
        <f t="shared" si="91"/>
        <v>8.1069444444437977</v>
      </c>
      <c r="AE311" s="210">
        <f t="shared" si="92"/>
        <v>0</v>
      </c>
      <c r="AF311" s="210">
        <f t="shared" si="93"/>
        <v>8.1069444444437977</v>
      </c>
      <c r="AG311" s="210">
        <f t="shared" si="94"/>
        <v>0</v>
      </c>
    </row>
    <row r="312" spans="2:33" ht="15" customHeight="1" x14ac:dyDescent="0.3">
      <c r="B312" s="196" t="s">
        <v>7</v>
      </c>
      <c r="C312" s="197" t="s">
        <v>13</v>
      </c>
      <c r="D312" s="198" t="str">
        <f t="shared" si="76"/>
        <v>C</v>
      </c>
      <c r="E312" s="199">
        <v>43578.166666666664</v>
      </c>
      <c r="F312" s="200" t="s">
        <v>121</v>
      </c>
      <c r="G312" s="201">
        <v>0.71257000000000004</v>
      </c>
      <c r="H312" s="201">
        <v>0.71404999999999996</v>
      </c>
      <c r="I312" s="202">
        <f t="shared" si="77"/>
        <v>1.4799999999999258E-3</v>
      </c>
      <c r="J312" s="201">
        <v>0.70467999999999997</v>
      </c>
      <c r="K312" s="199">
        <v>43579.268750000003</v>
      </c>
      <c r="L312" s="201">
        <v>0.70467999999999997</v>
      </c>
      <c r="M312" s="203">
        <f t="shared" si="78"/>
        <v>7.9000000000000008E-3</v>
      </c>
      <c r="N312" s="204">
        <f t="shared" si="79"/>
        <v>5.34</v>
      </c>
      <c r="O312" s="205">
        <f t="shared" si="80"/>
        <v>0</v>
      </c>
      <c r="P312" s="206">
        <f t="shared" si="81"/>
        <v>5.34</v>
      </c>
      <c r="Q312" s="206">
        <f t="shared" si="82"/>
        <v>0</v>
      </c>
      <c r="R31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1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150940</v>
      </c>
      <c r="T31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150940</v>
      </c>
      <c r="U312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312" s="209">
        <f t="shared" si="83"/>
        <v>5.34</v>
      </c>
      <c r="W312" s="209">
        <f t="shared" si="84"/>
        <v>0</v>
      </c>
      <c r="X312" s="209">
        <f t="shared" si="85"/>
        <v>0</v>
      </c>
      <c r="Y312" s="209">
        <f t="shared" si="86"/>
        <v>0</v>
      </c>
      <c r="Z312" s="209">
        <f t="shared" si="87"/>
        <v>0</v>
      </c>
      <c r="AA312" s="205">
        <f t="shared" si="88"/>
        <v>0</v>
      </c>
      <c r="AB312" s="209">
        <f t="shared" si="89"/>
        <v>0</v>
      </c>
      <c r="AC312" s="205">
        <f t="shared" si="90"/>
        <v>0</v>
      </c>
      <c r="AD312" s="210">
        <f t="shared" si="91"/>
        <v>1.102083333338669</v>
      </c>
      <c r="AE312" s="210">
        <f t="shared" si="92"/>
        <v>1.102083333338669</v>
      </c>
      <c r="AF312" s="210">
        <f t="shared" si="93"/>
        <v>0</v>
      </c>
      <c r="AG312" s="210">
        <f t="shared" si="94"/>
        <v>0</v>
      </c>
    </row>
    <row r="313" spans="2:33" ht="15" customHeight="1" x14ac:dyDescent="0.3">
      <c r="B313" s="196" t="s">
        <v>7</v>
      </c>
      <c r="C313" s="197" t="s">
        <v>13</v>
      </c>
      <c r="D313" s="198" t="str">
        <f t="shared" si="76"/>
        <v>C</v>
      </c>
      <c r="E313" s="199">
        <v>43574.166666666664</v>
      </c>
      <c r="F313" s="200" t="s">
        <v>115</v>
      </c>
      <c r="G313" s="201">
        <v>145.429</v>
      </c>
      <c r="H313" s="201">
        <v>146.096</v>
      </c>
      <c r="I313" s="202">
        <f t="shared" si="77"/>
        <v>0.66700000000000159</v>
      </c>
      <c r="J313" s="201">
        <v>141.697</v>
      </c>
      <c r="K313" s="199">
        <v>43578.512499999997</v>
      </c>
      <c r="L313" s="201">
        <v>145.56700000000001</v>
      </c>
      <c r="M313" s="203">
        <f t="shared" si="78"/>
        <v>-0.13800000000000001</v>
      </c>
      <c r="N313" s="204">
        <f t="shared" si="79"/>
        <v>-0.21</v>
      </c>
      <c r="O313" s="205">
        <f t="shared" si="80"/>
        <v>0</v>
      </c>
      <c r="P313" s="206">
        <f t="shared" si="81"/>
        <v>0</v>
      </c>
      <c r="Q313" s="206">
        <f t="shared" si="82"/>
        <v>-0.21</v>
      </c>
      <c r="R31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1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145600</v>
      </c>
      <c r="T31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146630</v>
      </c>
      <c r="U313" s="208">
        <f ca="1">IF(Tabla33610673[[#This Row],[Equity]]&lt;Tabla33610673[[#This Row],[Equity Peak]],(Tabla33610673[[#This Row],[Equity Peak]]-Tabla33610673[[#This Row],[Equity]])/Tabla33610673[[#This Row],[Equity Peak]],"")</f>
        <v>7.0244833935756666E-3</v>
      </c>
      <c r="V313" s="209">
        <f t="shared" si="83"/>
        <v>-0.21</v>
      </c>
      <c r="W313" s="209">
        <f t="shared" si="84"/>
        <v>0</v>
      </c>
      <c r="X313" s="209">
        <f t="shared" si="85"/>
        <v>0</v>
      </c>
      <c r="Y313" s="209">
        <f t="shared" si="86"/>
        <v>0</v>
      </c>
      <c r="Z313" s="209">
        <f t="shared" si="87"/>
        <v>0</v>
      </c>
      <c r="AA313" s="205">
        <f t="shared" si="88"/>
        <v>0</v>
      </c>
      <c r="AB313" s="209">
        <f t="shared" si="89"/>
        <v>0</v>
      </c>
      <c r="AC313" s="205">
        <f t="shared" si="90"/>
        <v>0</v>
      </c>
      <c r="AD313" s="210">
        <f t="shared" si="91"/>
        <v>4.3458333333328483</v>
      </c>
      <c r="AE313" s="210">
        <f t="shared" si="92"/>
        <v>0</v>
      </c>
      <c r="AF313" s="210">
        <f t="shared" si="93"/>
        <v>4.3458333333328483</v>
      </c>
      <c r="AG313" s="210">
        <f t="shared" si="94"/>
        <v>0</v>
      </c>
    </row>
    <row r="314" spans="2:33" ht="15" customHeight="1" x14ac:dyDescent="0.3">
      <c r="B314" s="196" t="s">
        <v>7</v>
      </c>
      <c r="C314" s="197" t="s">
        <v>15</v>
      </c>
      <c r="D314" s="198" t="str">
        <f t="shared" si="76"/>
        <v>C</v>
      </c>
      <c r="E314" s="199">
        <v>43566.833333333336</v>
      </c>
      <c r="F314" s="200" t="s">
        <v>113</v>
      </c>
      <c r="G314" s="201">
        <v>111.569</v>
      </c>
      <c r="H314" s="201">
        <v>110.98399999999999</v>
      </c>
      <c r="I314" s="202">
        <f t="shared" si="77"/>
        <v>0.58500000000000796</v>
      </c>
      <c r="J314" s="201">
        <v>114.29900000000001</v>
      </c>
      <c r="K314" s="199">
        <v>43573.406944444447</v>
      </c>
      <c r="L314" s="201">
        <v>111.87</v>
      </c>
      <c r="M314" s="203">
        <f t="shared" si="78"/>
        <v>0.30099999999999999</v>
      </c>
      <c r="N314" s="204">
        <f t="shared" si="79"/>
        <v>0.51</v>
      </c>
      <c r="O314" s="205">
        <f t="shared" si="80"/>
        <v>0</v>
      </c>
      <c r="P314" s="206">
        <f t="shared" si="81"/>
        <v>0.51</v>
      </c>
      <c r="Q314" s="206">
        <f t="shared" si="82"/>
        <v>0</v>
      </c>
      <c r="R31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1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145810</v>
      </c>
      <c r="T31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146630</v>
      </c>
      <c r="U314" s="208">
        <f ca="1">IF(Tabla33610673[[#This Row],[Equity]]&lt;Tabla33610673[[#This Row],[Equity Peak]],(Tabla33610673[[#This Row],[Equity Peak]]-Tabla33610673[[#This Row],[Equity]])/Tabla33610673[[#This Row],[Equity Peak]],"")</f>
        <v>5.5923071677010158E-3</v>
      </c>
      <c r="V314" s="209">
        <f t="shared" si="83"/>
        <v>0.51</v>
      </c>
      <c r="W314" s="209">
        <f t="shared" si="84"/>
        <v>0</v>
      </c>
      <c r="X314" s="209">
        <f t="shared" si="85"/>
        <v>0</v>
      </c>
      <c r="Y314" s="209">
        <f t="shared" si="86"/>
        <v>0</v>
      </c>
      <c r="Z314" s="209">
        <f t="shared" si="87"/>
        <v>0</v>
      </c>
      <c r="AA314" s="205">
        <f t="shared" si="88"/>
        <v>0</v>
      </c>
      <c r="AB314" s="209">
        <f t="shared" si="89"/>
        <v>0</v>
      </c>
      <c r="AC314" s="205">
        <f t="shared" si="90"/>
        <v>0</v>
      </c>
      <c r="AD314" s="210">
        <f t="shared" si="91"/>
        <v>6.5736111111109494</v>
      </c>
      <c r="AE314" s="210">
        <f t="shared" si="92"/>
        <v>6.5736111111109494</v>
      </c>
      <c r="AF314" s="210">
        <f t="shared" si="93"/>
        <v>0</v>
      </c>
      <c r="AG314" s="210">
        <f t="shared" si="94"/>
        <v>0</v>
      </c>
    </row>
    <row r="315" spans="2:33" ht="15" customHeight="1" x14ac:dyDescent="0.3">
      <c r="B315" s="196" t="s">
        <v>7</v>
      </c>
      <c r="C315" s="197" t="s">
        <v>15</v>
      </c>
      <c r="D315" s="198" t="str">
        <f t="shared" si="76"/>
        <v>C</v>
      </c>
      <c r="E315" s="199">
        <v>43566.5</v>
      </c>
      <c r="F315" s="200" t="s">
        <v>118</v>
      </c>
      <c r="G315" s="201">
        <v>125.33199999999999</v>
      </c>
      <c r="H315" s="201">
        <v>124.78100000000001</v>
      </c>
      <c r="I315" s="202">
        <f t="shared" si="77"/>
        <v>0.55099999999998772</v>
      </c>
      <c r="J315" s="201">
        <v>127.538</v>
      </c>
      <c r="K315" s="199">
        <v>43573.386111111111</v>
      </c>
      <c r="L315" s="201">
        <v>126.25</v>
      </c>
      <c r="M315" s="203">
        <f t="shared" si="78"/>
        <v>0.91800000000000004</v>
      </c>
      <c r="N315" s="204">
        <f t="shared" si="79"/>
        <v>1.67</v>
      </c>
      <c r="O315" s="205">
        <f t="shared" si="80"/>
        <v>0</v>
      </c>
      <c r="P315" s="206">
        <f t="shared" si="81"/>
        <v>1.67</v>
      </c>
      <c r="Q315" s="206">
        <f t="shared" si="82"/>
        <v>0</v>
      </c>
      <c r="R31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1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145300</v>
      </c>
      <c r="T31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146630</v>
      </c>
      <c r="U315" s="208">
        <f ca="1">IF(Tabla33610673[[#This Row],[Equity]]&lt;Tabla33610673[[#This Row],[Equity Peak]],(Tabla33610673[[#This Row],[Equity Peak]]-Tabla33610673[[#This Row],[Equity]])/Tabla33610673[[#This Row],[Equity Peak]],"")</f>
        <v>9.0704494305394526E-3</v>
      </c>
      <c r="V315" s="209">
        <f t="shared" si="83"/>
        <v>1.67</v>
      </c>
      <c r="W315" s="209">
        <f t="shared" si="84"/>
        <v>0</v>
      </c>
      <c r="X315" s="209">
        <f t="shared" si="85"/>
        <v>0</v>
      </c>
      <c r="Y315" s="209">
        <f t="shared" si="86"/>
        <v>0</v>
      </c>
      <c r="Z315" s="209">
        <f t="shared" si="87"/>
        <v>0</v>
      </c>
      <c r="AA315" s="205">
        <f t="shared" si="88"/>
        <v>0</v>
      </c>
      <c r="AB315" s="209">
        <f t="shared" si="89"/>
        <v>0</v>
      </c>
      <c r="AC315" s="205">
        <f t="shared" si="90"/>
        <v>0</v>
      </c>
      <c r="AD315" s="210">
        <f t="shared" si="91"/>
        <v>6.8861111111109494</v>
      </c>
      <c r="AE315" s="210">
        <f t="shared" si="92"/>
        <v>6.8861111111109494</v>
      </c>
      <c r="AF315" s="210">
        <f t="shared" si="93"/>
        <v>0</v>
      </c>
      <c r="AG315" s="210">
        <f t="shared" si="94"/>
        <v>0</v>
      </c>
    </row>
    <row r="316" spans="2:33" ht="15" customHeight="1" x14ac:dyDescent="0.3">
      <c r="B316" s="196" t="s">
        <v>7</v>
      </c>
      <c r="C316" s="197" t="s">
        <v>15</v>
      </c>
      <c r="D316" s="198" t="str">
        <f t="shared" si="76"/>
        <v>C</v>
      </c>
      <c r="E316" s="199">
        <v>43571.166666666664</v>
      </c>
      <c r="F316" s="200" t="s">
        <v>114</v>
      </c>
      <c r="G316" s="201">
        <v>1.3099099999999999</v>
      </c>
      <c r="H316" s="201">
        <v>1.3030200000000001</v>
      </c>
      <c r="I316" s="202">
        <f t="shared" si="77"/>
        <v>6.8899999999998407E-3</v>
      </c>
      <c r="J316" s="201">
        <v>1.3374900000000001</v>
      </c>
      <c r="K316" s="199">
        <v>43572.775694444441</v>
      </c>
      <c r="L316" s="201">
        <v>1.3030200000000001</v>
      </c>
      <c r="M316" s="203">
        <f t="shared" si="78"/>
        <v>-6.8999999999999999E-3</v>
      </c>
      <c r="N316" s="204">
        <f t="shared" si="79"/>
        <v>-1</v>
      </c>
      <c r="O316" s="205">
        <f t="shared" si="80"/>
        <v>0</v>
      </c>
      <c r="P316" s="206">
        <f t="shared" si="81"/>
        <v>0</v>
      </c>
      <c r="Q316" s="206">
        <f t="shared" si="82"/>
        <v>-1</v>
      </c>
      <c r="R31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1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143630</v>
      </c>
      <c r="T31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146630</v>
      </c>
      <c r="U316" s="208">
        <f ca="1">IF(Tabla33610673[[#This Row],[Equity]]&lt;Tabla33610673[[#This Row],[Equity Peak]],(Tabla33610673[[#This Row],[Equity Peak]]-Tabla33610673[[#This Row],[Equity]])/Tabla33610673[[#This Row],[Equity Peak]],"")</f>
        <v>2.0459660369637863E-2</v>
      </c>
      <c r="V316" s="209">
        <f t="shared" si="83"/>
        <v>-1</v>
      </c>
      <c r="W316" s="209">
        <f t="shared" si="84"/>
        <v>0</v>
      </c>
      <c r="X316" s="209">
        <f t="shared" si="85"/>
        <v>0</v>
      </c>
      <c r="Y316" s="209">
        <f t="shared" si="86"/>
        <v>0</v>
      </c>
      <c r="Z316" s="209">
        <f t="shared" si="87"/>
        <v>0</v>
      </c>
      <c r="AA316" s="205">
        <f t="shared" si="88"/>
        <v>0</v>
      </c>
      <c r="AB316" s="209">
        <f t="shared" si="89"/>
        <v>0</v>
      </c>
      <c r="AC316" s="205">
        <f t="shared" si="90"/>
        <v>0</v>
      </c>
      <c r="AD316" s="210">
        <f t="shared" si="91"/>
        <v>1.609027777776646</v>
      </c>
      <c r="AE316" s="210">
        <f t="shared" si="92"/>
        <v>0</v>
      </c>
      <c r="AF316" s="210">
        <f t="shared" si="93"/>
        <v>1.609027777776646</v>
      </c>
      <c r="AG316" s="210">
        <f t="shared" si="94"/>
        <v>0</v>
      </c>
    </row>
    <row r="317" spans="2:33" ht="15" customHeight="1" x14ac:dyDescent="0.3">
      <c r="B317" s="196" t="s">
        <v>7</v>
      </c>
      <c r="C317" s="197" t="s">
        <v>15</v>
      </c>
      <c r="D317" s="198" t="str">
        <f t="shared" si="76"/>
        <v>C</v>
      </c>
      <c r="E317" s="199">
        <v>43567.666666666664</v>
      </c>
      <c r="F317" s="200" t="s">
        <v>115</v>
      </c>
      <c r="G317" s="201">
        <v>146.904</v>
      </c>
      <c r="H317" s="201">
        <v>145.92699999999999</v>
      </c>
      <c r="I317" s="202">
        <f t="shared" si="77"/>
        <v>0.97700000000000387</v>
      </c>
      <c r="J317" s="201">
        <v>152.37700000000001</v>
      </c>
      <c r="K317" s="199">
        <v>43572.609722222223</v>
      </c>
      <c r="L317" s="201">
        <v>145.92699999999999</v>
      </c>
      <c r="M317" s="203">
        <f t="shared" si="78"/>
        <v>-0.97699999999999998</v>
      </c>
      <c r="N317" s="204">
        <f t="shared" si="79"/>
        <v>-1</v>
      </c>
      <c r="O317" s="205">
        <f t="shared" si="80"/>
        <v>0</v>
      </c>
      <c r="P317" s="206">
        <f t="shared" si="81"/>
        <v>0</v>
      </c>
      <c r="Q317" s="206">
        <f t="shared" si="82"/>
        <v>-1</v>
      </c>
      <c r="R31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1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144630</v>
      </c>
      <c r="T31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146630</v>
      </c>
      <c r="U317" s="208">
        <f ca="1">IF(Tabla33610673[[#This Row],[Equity]]&lt;Tabla33610673[[#This Row],[Equity Peak]],(Tabla33610673[[#This Row],[Equity Peak]]-Tabla33610673[[#This Row],[Equity]])/Tabla33610673[[#This Row],[Equity Peak]],"")</f>
        <v>1.3639773579758575E-2</v>
      </c>
      <c r="V317" s="209">
        <f t="shared" si="83"/>
        <v>-1</v>
      </c>
      <c r="W317" s="209">
        <f t="shared" si="84"/>
        <v>0</v>
      </c>
      <c r="X317" s="209">
        <f t="shared" si="85"/>
        <v>0</v>
      </c>
      <c r="Y317" s="209">
        <f t="shared" si="86"/>
        <v>0</v>
      </c>
      <c r="Z317" s="209">
        <f t="shared" si="87"/>
        <v>0</v>
      </c>
      <c r="AA317" s="205">
        <f t="shared" si="88"/>
        <v>0</v>
      </c>
      <c r="AB317" s="209">
        <f t="shared" si="89"/>
        <v>0</v>
      </c>
      <c r="AC317" s="205">
        <f t="shared" si="90"/>
        <v>0</v>
      </c>
      <c r="AD317" s="210">
        <f t="shared" si="91"/>
        <v>4.9430555555591127</v>
      </c>
      <c r="AE317" s="210">
        <f t="shared" si="92"/>
        <v>0</v>
      </c>
      <c r="AF317" s="210">
        <f t="shared" si="93"/>
        <v>4.9430555555591127</v>
      </c>
      <c r="AG317" s="210">
        <f t="shared" si="94"/>
        <v>0</v>
      </c>
    </row>
    <row r="318" spans="2:33" ht="15" customHeight="1" x14ac:dyDescent="0.3">
      <c r="B318" s="196" t="s">
        <v>5</v>
      </c>
      <c r="C318" s="197" t="s">
        <v>15</v>
      </c>
      <c r="D318" s="198" t="str">
        <f t="shared" si="76"/>
        <v>C</v>
      </c>
      <c r="E318" s="199">
        <v>43571.590277777781</v>
      </c>
      <c r="F318" s="200" t="s">
        <v>90</v>
      </c>
      <c r="G318" s="201">
        <v>6295.9</v>
      </c>
      <c r="H318" s="201">
        <v>6269.66</v>
      </c>
      <c r="I318" s="202">
        <f t="shared" si="77"/>
        <v>26.239999999999782</v>
      </c>
      <c r="J318" s="201">
        <v>6645.76</v>
      </c>
      <c r="K318" s="199">
        <v>43571.857638888891</v>
      </c>
      <c r="L318" s="201">
        <v>6269.66</v>
      </c>
      <c r="M318" s="203">
        <f t="shared" si="78"/>
        <v>-26.24</v>
      </c>
      <c r="N318" s="204">
        <f t="shared" si="79"/>
        <v>-1</v>
      </c>
      <c r="O318" s="205">
        <f t="shared" si="80"/>
        <v>0</v>
      </c>
      <c r="P318" s="206">
        <f t="shared" si="81"/>
        <v>0</v>
      </c>
      <c r="Q318" s="206">
        <f t="shared" si="82"/>
        <v>-1</v>
      </c>
      <c r="R31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1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145630</v>
      </c>
      <c r="T31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146630</v>
      </c>
      <c r="U318" s="208">
        <f ca="1">IF(Tabla33610673[[#This Row],[Equity]]&lt;Tabla33610673[[#This Row],[Equity Peak]],(Tabla33610673[[#This Row],[Equity Peak]]-Tabla33610673[[#This Row],[Equity]])/Tabla33610673[[#This Row],[Equity Peak]],"")</f>
        <v>6.8198867898792877E-3</v>
      </c>
      <c r="V318" s="209">
        <f t="shared" si="83"/>
        <v>0</v>
      </c>
      <c r="W318" s="209">
        <f t="shared" si="84"/>
        <v>0</v>
      </c>
      <c r="X318" s="209">
        <f t="shared" si="85"/>
        <v>0</v>
      </c>
      <c r="Y318" s="209">
        <f t="shared" si="86"/>
        <v>0</v>
      </c>
      <c r="Z318" s="209">
        <f t="shared" si="87"/>
        <v>-1</v>
      </c>
      <c r="AA318" s="205">
        <f t="shared" si="88"/>
        <v>0</v>
      </c>
      <c r="AB318" s="209">
        <f t="shared" si="89"/>
        <v>0</v>
      </c>
      <c r="AC318" s="205">
        <f t="shared" si="90"/>
        <v>0</v>
      </c>
      <c r="AD318" s="210">
        <f t="shared" si="91"/>
        <v>0.26736111110949423</v>
      </c>
      <c r="AE318" s="210">
        <f t="shared" si="92"/>
        <v>0</v>
      </c>
      <c r="AF318" s="210">
        <f t="shared" si="93"/>
        <v>0.26736111110949423</v>
      </c>
      <c r="AG318" s="210">
        <f t="shared" si="94"/>
        <v>0</v>
      </c>
    </row>
    <row r="319" spans="2:33" ht="15" customHeight="1" x14ac:dyDescent="0.3">
      <c r="B319" s="196" t="s">
        <v>5</v>
      </c>
      <c r="C319" s="197" t="s">
        <v>15</v>
      </c>
      <c r="D319" s="198" t="str">
        <f t="shared" si="76"/>
        <v>C</v>
      </c>
      <c r="E319" s="199">
        <v>43553.166666666664</v>
      </c>
      <c r="F319" s="200" t="s">
        <v>95</v>
      </c>
      <c r="G319" s="201">
        <v>25779.599999999999</v>
      </c>
      <c r="H319" s="201">
        <v>25594.720000000001</v>
      </c>
      <c r="I319" s="202">
        <f t="shared" si="77"/>
        <v>184.87999999999738</v>
      </c>
      <c r="J319" s="201">
        <v>26519.13</v>
      </c>
      <c r="K319" s="199">
        <v>43571.579861111109</v>
      </c>
      <c r="L319" s="201">
        <v>26519.13</v>
      </c>
      <c r="M319" s="203">
        <f t="shared" si="78"/>
        <v>739.53</v>
      </c>
      <c r="N319" s="204">
        <f t="shared" si="79"/>
        <v>4</v>
      </c>
      <c r="O319" s="205">
        <f t="shared" si="80"/>
        <v>0</v>
      </c>
      <c r="P319" s="206">
        <f t="shared" si="81"/>
        <v>4</v>
      </c>
      <c r="Q319" s="206">
        <f t="shared" si="82"/>
        <v>0</v>
      </c>
      <c r="R31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1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146630</v>
      </c>
      <c r="T31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146630</v>
      </c>
      <c r="U319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319" s="209">
        <f t="shared" si="83"/>
        <v>0</v>
      </c>
      <c r="W319" s="209">
        <f t="shared" si="84"/>
        <v>0</v>
      </c>
      <c r="X319" s="209">
        <f t="shared" si="85"/>
        <v>0</v>
      </c>
      <c r="Y319" s="209">
        <f t="shared" si="86"/>
        <v>0</v>
      </c>
      <c r="Z319" s="209">
        <f t="shared" si="87"/>
        <v>4</v>
      </c>
      <c r="AA319" s="205">
        <f t="shared" si="88"/>
        <v>0</v>
      </c>
      <c r="AB319" s="209">
        <f t="shared" si="89"/>
        <v>0</v>
      </c>
      <c r="AC319" s="205">
        <f t="shared" si="90"/>
        <v>0</v>
      </c>
      <c r="AD319" s="210">
        <f t="shared" si="91"/>
        <v>18.413194444445253</v>
      </c>
      <c r="AE319" s="210">
        <f t="shared" si="92"/>
        <v>18.413194444445253</v>
      </c>
      <c r="AF319" s="210">
        <f t="shared" si="93"/>
        <v>0</v>
      </c>
      <c r="AG319" s="210">
        <f t="shared" si="94"/>
        <v>0</v>
      </c>
    </row>
    <row r="320" spans="2:33" ht="15" customHeight="1" x14ac:dyDescent="0.3">
      <c r="B320" s="196" t="s">
        <v>7</v>
      </c>
      <c r="C320" s="197" t="s">
        <v>15</v>
      </c>
      <c r="D320" s="198" t="str">
        <f t="shared" si="76"/>
        <v>C</v>
      </c>
      <c r="E320" s="199">
        <v>43567.5</v>
      </c>
      <c r="F320" s="200" t="s">
        <v>122</v>
      </c>
      <c r="G320" s="201">
        <v>80.123999999999995</v>
      </c>
      <c r="H320" s="201">
        <v>79.783000000000001</v>
      </c>
      <c r="I320" s="202">
        <f t="shared" si="77"/>
        <v>0.34099999999999397</v>
      </c>
      <c r="J320" s="201">
        <v>86.037000000000006</v>
      </c>
      <c r="K320" s="199">
        <v>43571.277083333334</v>
      </c>
      <c r="L320" s="201">
        <v>79.903999999999996</v>
      </c>
      <c r="M320" s="203">
        <f t="shared" si="78"/>
        <v>-0.22</v>
      </c>
      <c r="N320" s="204">
        <f t="shared" si="79"/>
        <v>-0.65</v>
      </c>
      <c r="O320" s="205">
        <f t="shared" si="80"/>
        <v>0</v>
      </c>
      <c r="P320" s="206">
        <f t="shared" si="81"/>
        <v>0</v>
      </c>
      <c r="Q320" s="206">
        <f t="shared" si="82"/>
        <v>-0.65</v>
      </c>
      <c r="R32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2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142630</v>
      </c>
      <c r="T32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143280</v>
      </c>
      <c r="U320" s="208">
        <f ca="1">IF(Tabla33610673[[#This Row],[Equity]]&lt;Tabla33610673[[#This Row],[Equity Peak]],(Tabla33610673[[#This Row],[Equity Peak]]-Tabla33610673[[#This Row],[Equity]])/Tabla33610673[[#This Row],[Equity Peak]],"")</f>
        <v>4.5365717476270242E-3</v>
      </c>
      <c r="V320" s="209">
        <f t="shared" si="83"/>
        <v>-0.65</v>
      </c>
      <c r="W320" s="209">
        <f t="shared" si="84"/>
        <v>0</v>
      </c>
      <c r="X320" s="209">
        <f t="shared" si="85"/>
        <v>0</v>
      </c>
      <c r="Y320" s="209">
        <f t="shared" si="86"/>
        <v>0</v>
      </c>
      <c r="Z320" s="209">
        <f t="shared" si="87"/>
        <v>0</v>
      </c>
      <c r="AA320" s="205">
        <f t="shared" si="88"/>
        <v>0</v>
      </c>
      <c r="AB320" s="209">
        <f t="shared" si="89"/>
        <v>0</v>
      </c>
      <c r="AC320" s="205">
        <f t="shared" si="90"/>
        <v>0</v>
      </c>
      <c r="AD320" s="210">
        <f t="shared" si="91"/>
        <v>3.7770833333343035</v>
      </c>
      <c r="AE320" s="210">
        <f t="shared" si="92"/>
        <v>0</v>
      </c>
      <c r="AF320" s="210">
        <f t="shared" si="93"/>
        <v>3.7770833333343035</v>
      </c>
      <c r="AG320" s="210">
        <f t="shared" si="94"/>
        <v>0</v>
      </c>
    </row>
    <row r="321" spans="2:33" ht="15" customHeight="1" x14ac:dyDescent="0.3">
      <c r="B321" s="196" t="s">
        <v>5</v>
      </c>
      <c r="C321" s="197" t="s">
        <v>15</v>
      </c>
      <c r="D321" s="198" t="str">
        <f t="shared" si="76"/>
        <v>C</v>
      </c>
      <c r="E321" s="199">
        <v>43556.875</v>
      </c>
      <c r="F321" s="200" t="s">
        <v>93</v>
      </c>
      <c r="G321" s="201">
        <v>2863.05</v>
      </c>
      <c r="H321" s="201">
        <v>2848.19</v>
      </c>
      <c r="I321" s="202">
        <f t="shared" si="77"/>
        <v>14.860000000000127</v>
      </c>
      <c r="J321" s="201">
        <v>2902.68</v>
      </c>
      <c r="K321" s="199">
        <v>43567.574999999997</v>
      </c>
      <c r="L321" s="201">
        <v>2902.68</v>
      </c>
      <c r="M321" s="203">
        <f t="shared" si="78"/>
        <v>39.630000000000003</v>
      </c>
      <c r="N321" s="204">
        <f t="shared" si="79"/>
        <v>2.67</v>
      </c>
      <c r="O321" s="205">
        <f t="shared" si="80"/>
        <v>0</v>
      </c>
      <c r="P321" s="206">
        <f t="shared" si="81"/>
        <v>2.67</v>
      </c>
      <c r="Q321" s="206">
        <f t="shared" si="82"/>
        <v>0</v>
      </c>
      <c r="R32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2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143280</v>
      </c>
      <c r="T32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143280</v>
      </c>
      <c r="U321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321" s="209">
        <f t="shared" si="83"/>
        <v>0</v>
      </c>
      <c r="W321" s="209">
        <f t="shared" si="84"/>
        <v>0</v>
      </c>
      <c r="X321" s="209">
        <f t="shared" si="85"/>
        <v>0</v>
      </c>
      <c r="Y321" s="209">
        <f t="shared" si="86"/>
        <v>0</v>
      </c>
      <c r="Z321" s="209">
        <f t="shared" si="87"/>
        <v>2.67</v>
      </c>
      <c r="AA321" s="205">
        <f t="shared" si="88"/>
        <v>0</v>
      </c>
      <c r="AB321" s="209">
        <f t="shared" si="89"/>
        <v>0</v>
      </c>
      <c r="AC321" s="205">
        <f t="shared" si="90"/>
        <v>0</v>
      </c>
      <c r="AD321" s="210">
        <f t="shared" si="91"/>
        <v>10.69999999999709</v>
      </c>
      <c r="AE321" s="210">
        <f t="shared" si="92"/>
        <v>10.69999999999709</v>
      </c>
      <c r="AF321" s="210">
        <f t="shared" si="93"/>
        <v>0</v>
      </c>
      <c r="AG321" s="210">
        <f t="shared" si="94"/>
        <v>0</v>
      </c>
    </row>
    <row r="322" spans="2:33" ht="15" customHeight="1" x14ac:dyDescent="0.3">
      <c r="B322" s="196" t="s">
        <v>7</v>
      </c>
      <c r="C322" s="197" t="s">
        <v>13</v>
      </c>
      <c r="D322" s="198" t="str">
        <f t="shared" si="76"/>
        <v>C</v>
      </c>
      <c r="E322" s="199">
        <v>43563.666666666664</v>
      </c>
      <c r="F322" s="200" t="s">
        <v>115</v>
      </c>
      <c r="G322" s="201">
        <v>145.42400000000001</v>
      </c>
      <c r="H322" s="201">
        <v>146.34800000000001</v>
      </c>
      <c r="I322" s="202">
        <f t="shared" si="77"/>
        <v>0.92400000000000659</v>
      </c>
      <c r="J322" s="201">
        <v>140.25200000000001</v>
      </c>
      <c r="K322" s="199">
        <v>43567.246527777781</v>
      </c>
      <c r="L322" s="201">
        <v>146.1</v>
      </c>
      <c r="M322" s="203">
        <f t="shared" si="78"/>
        <v>-0.67600000000000005</v>
      </c>
      <c r="N322" s="204">
        <f t="shared" si="79"/>
        <v>-0.73</v>
      </c>
      <c r="O322" s="205">
        <f t="shared" si="80"/>
        <v>0</v>
      </c>
      <c r="P322" s="206">
        <f t="shared" si="81"/>
        <v>0</v>
      </c>
      <c r="Q322" s="206">
        <f t="shared" si="82"/>
        <v>-0.73</v>
      </c>
      <c r="R32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2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140610</v>
      </c>
      <c r="T32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142700</v>
      </c>
      <c r="U322" s="208">
        <f ca="1">IF(Tabla33610673[[#This Row],[Equity]]&lt;Tabla33610673[[#This Row],[Equity Peak]],(Tabla33610673[[#This Row],[Equity Peak]]-Tabla33610673[[#This Row],[Equity]])/Tabla33610673[[#This Row],[Equity Peak]],"")</f>
        <v>1.4646110721793974E-2</v>
      </c>
      <c r="V322" s="209">
        <f t="shared" si="83"/>
        <v>-0.73</v>
      </c>
      <c r="W322" s="209">
        <f t="shared" si="84"/>
        <v>0</v>
      </c>
      <c r="X322" s="209">
        <f t="shared" si="85"/>
        <v>0</v>
      </c>
      <c r="Y322" s="209">
        <f t="shared" si="86"/>
        <v>0</v>
      </c>
      <c r="Z322" s="209">
        <f t="shared" si="87"/>
        <v>0</v>
      </c>
      <c r="AA322" s="205">
        <f t="shared" si="88"/>
        <v>0</v>
      </c>
      <c r="AB322" s="209">
        <f t="shared" si="89"/>
        <v>0</v>
      </c>
      <c r="AC322" s="205">
        <f t="shared" si="90"/>
        <v>0</v>
      </c>
      <c r="AD322" s="210">
        <f t="shared" si="91"/>
        <v>3.5798611111167702</v>
      </c>
      <c r="AE322" s="210">
        <f t="shared" si="92"/>
        <v>0</v>
      </c>
      <c r="AF322" s="210">
        <f t="shared" si="93"/>
        <v>3.5798611111167702</v>
      </c>
      <c r="AG322" s="210">
        <f t="shared" si="94"/>
        <v>0</v>
      </c>
    </row>
    <row r="323" spans="2:33" ht="15" customHeight="1" x14ac:dyDescent="0.3">
      <c r="B323" s="196" t="s">
        <v>19</v>
      </c>
      <c r="C323" s="197" t="s">
        <v>15</v>
      </c>
      <c r="D323" s="198" t="str">
        <f t="shared" si="76"/>
        <v>C</v>
      </c>
      <c r="E323" s="199">
        <v>43563.708333333336</v>
      </c>
      <c r="F323" s="200" t="s">
        <v>88</v>
      </c>
      <c r="G323" s="201">
        <v>1301.04</v>
      </c>
      <c r="H323" s="201">
        <v>1289.2</v>
      </c>
      <c r="I323" s="202">
        <f t="shared" si="77"/>
        <v>11.839999999999918</v>
      </c>
      <c r="J323" s="201">
        <v>1376.82</v>
      </c>
      <c r="K323" s="199">
        <v>43566.620833333334</v>
      </c>
      <c r="L323" s="201">
        <v>1299.5999999999999</v>
      </c>
      <c r="M323" s="203">
        <f t="shared" si="78"/>
        <v>-1.44</v>
      </c>
      <c r="N323" s="204">
        <f t="shared" si="79"/>
        <v>-0.12</v>
      </c>
      <c r="O323" s="205">
        <f t="shared" si="80"/>
        <v>0</v>
      </c>
      <c r="P323" s="206">
        <f t="shared" si="81"/>
        <v>0</v>
      </c>
      <c r="Q323" s="206">
        <f t="shared" si="82"/>
        <v>-0.12</v>
      </c>
      <c r="R32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2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141340</v>
      </c>
      <c r="T32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142700</v>
      </c>
      <c r="U323" s="208">
        <f ca="1">IF(Tabla33610673[[#This Row],[Equity]]&lt;Tabla33610673[[#This Row],[Equity Peak]],(Tabla33610673[[#This Row],[Equity Peak]]-Tabla33610673[[#This Row],[Equity]])/Tabla33610673[[#This Row],[Equity Peak]],"")</f>
        <v>9.5304835318850735E-3</v>
      </c>
      <c r="V323" s="209">
        <f t="shared" si="83"/>
        <v>0</v>
      </c>
      <c r="W323" s="209">
        <f t="shared" si="84"/>
        <v>0</v>
      </c>
      <c r="X323" s="209">
        <f t="shared" si="85"/>
        <v>-0.12</v>
      </c>
      <c r="Y323" s="209">
        <f t="shared" si="86"/>
        <v>0</v>
      </c>
      <c r="Z323" s="209">
        <f t="shared" si="87"/>
        <v>0</v>
      </c>
      <c r="AA323" s="205">
        <f t="shared" si="88"/>
        <v>0</v>
      </c>
      <c r="AB323" s="209">
        <f t="shared" si="89"/>
        <v>0</v>
      </c>
      <c r="AC323" s="205">
        <f t="shared" si="90"/>
        <v>0</v>
      </c>
      <c r="AD323" s="210">
        <f t="shared" si="91"/>
        <v>2.9124999999985448</v>
      </c>
      <c r="AE323" s="210">
        <f t="shared" si="92"/>
        <v>0</v>
      </c>
      <c r="AF323" s="210">
        <f t="shared" si="93"/>
        <v>2.9124999999985448</v>
      </c>
      <c r="AG323" s="210">
        <f t="shared" si="94"/>
        <v>0</v>
      </c>
    </row>
    <row r="324" spans="2:33" ht="15" customHeight="1" x14ac:dyDescent="0.3">
      <c r="B324" s="196" t="s">
        <v>7</v>
      </c>
      <c r="C324" s="197" t="s">
        <v>13</v>
      </c>
      <c r="D324" s="198" t="str">
        <f t="shared" si="76"/>
        <v>C</v>
      </c>
      <c r="E324" s="199">
        <v>43565.333333333336</v>
      </c>
      <c r="F324" s="200" t="s">
        <v>118</v>
      </c>
      <c r="G324" s="201">
        <v>125.139</v>
      </c>
      <c r="H324" s="201">
        <v>125.65600000000001</v>
      </c>
      <c r="I324" s="202">
        <f t="shared" si="77"/>
        <v>0.51700000000001012</v>
      </c>
      <c r="J324" s="201">
        <v>123.071</v>
      </c>
      <c r="K324" s="199">
        <v>43566.5</v>
      </c>
      <c r="L324" s="201">
        <v>125.33199999999999</v>
      </c>
      <c r="M324" s="203">
        <f t="shared" si="78"/>
        <v>-0.193</v>
      </c>
      <c r="N324" s="204">
        <f t="shared" si="79"/>
        <v>-0.37</v>
      </c>
      <c r="O324" s="205">
        <f t="shared" si="80"/>
        <v>0</v>
      </c>
      <c r="P324" s="206">
        <f t="shared" si="81"/>
        <v>0</v>
      </c>
      <c r="Q324" s="206">
        <f t="shared" si="82"/>
        <v>-0.37</v>
      </c>
      <c r="R32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2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141460</v>
      </c>
      <c r="T32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142700</v>
      </c>
      <c r="U324" s="208">
        <f ca="1">IF(Tabla33610673[[#This Row],[Equity]]&lt;Tabla33610673[[#This Row],[Equity Peak]],(Tabla33610673[[#This Row],[Equity Peak]]-Tabla33610673[[#This Row],[Equity]])/Tabla33610673[[#This Row],[Equity Peak]],"")</f>
        <v>8.6895585143658017E-3</v>
      </c>
      <c r="V324" s="209">
        <f t="shared" si="83"/>
        <v>-0.37</v>
      </c>
      <c r="W324" s="209">
        <f t="shared" si="84"/>
        <v>0</v>
      </c>
      <c r="X324" s="209">
        <f t="shared" si="85"/>
        <v>0</v>
      </c>
      <c r="Y324" s="209">
        <f t="shared" si="86"/>
        <v>0</v>
      </c>
      <c r="Z324" s="209">
        <f t="shared" si="87"/>
        <v>0</v>
      </c>
      <c r="AA324" s="205">
        <f t="shared" si="88"/>
        <v>0</v>
      </c>
      <c r="AB324" s="209">
        <f t="shared" si="89"/>
        <v>0</v>
      </c>
      <c r="AC324" s="205">
        <f t="shared" si="90"/>
        <v>0</v>
      </c>
      <c r="AD324" s="210">
        <f t="shared" si="91"/>
        <v>1.1666666666642413</v>
      </c>
      <c r="AE324" s="210">
        <f t="shared" si="92"/>
        <v>0</v>
      </c>
      <c r="AF324" s="210">
        <f t="shared" si="93"/>
        <v>1.1666666666642413</v>
      </c>
      <c r="AG324" s="210">
        <f t="shared" si="94"/>
        <v>0</v>
      </c>
    </row>
    <row r="325" spans="2:33" ht="15" customHeight="1" x14ac:dyDescent="0.3">
      <c r="B325" s="196" t="s">
        <v>7</v>
      </c>
      <c r="C325" s="197" t="s">
        <v>15</v>
      </c>
      <c r="D325" s="198" t="str">
        <f t="shared" si="76"/>
        <v>C</v>
      </c>
      <c r="E325" s="199">
        <v>43563.666666666664</v>
      </c>
      <c r="F325" s="200" t="s">
        <v>118</v>
      </c>
      <c r="G325" s="201">
        <v>125.414</v>
      </c>
      <c r="H325" s="201">
        <v>124.89</v>
      </c>
      <c r="I325" s="202">
        <f t="shared" si="77"/>
        <v>0.52400000000000091</v>
      </c>
      <c r="J325" s="201">
        <v>127.51</v>
      </c>
      <c r="K325" s="199">
        <v>43565.268055555556</v>
      </c>
      <c r="L325" s="201">
        <v>125.09</v>
      </c>
      <c r="M325" s="203">
        <f t="shared" si="78"/>
        <v>-0.32400000000000001</v>
      </c>
      <c r="N325" s="204">
        <f t="shared" si="79"/>
        <v>-0.62</v>
      </c>
      <c r="O325" s="205">
        <f t="shared" si="80"/>
        <v>0</v>
      </c>
      <c r="P325" s="206">
        <f t="shared" si="81"/>
        <v>0</v>
      </c>
      <c r="Q325" s="206">
        <f t="shared" si="82"/>
        <v>-0.62</v>
      </c>
      <c r="R32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2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141830</v>
      </c>
      <c r="T32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142700</v>
      </c>
      <c r="U325" s="208">
        <f ca="1">IF(Tabla33610673[[#This Row],[Equity]]&lt;Tabla33610673[[#This Row],[Equity Peak]],(Tabla33610673[[#This Row],[Equity Peak]]-Tabla33610673[[#This Row],[Equity]])/Tabla33610673[[#This Row],[Equity Peak]],"")</f>
        <v>6.0967063770147158E-3</v>
      </c>
      <c r="V325" s="209">
        <f t="shared" si="83"/>
        <v>-0.62</v>
      </c>
      <c r="W325" s="209">
        <f t="shared" si="84"/>
        <v>0</v>
      </c>
      <c r="X325" s="209">
        <f t="shared" si="85"/>
        <v>0</v>
      </c>
      <c r="Y325" s="209">
        <f t="shared" si="86"/>
        <v>0</v>
      </c>
      <c r="Z325" s="209">
        <f t="shared" si="87"/>
        <v>0</v>
      </c>
      <c r="AA325" s="205">
        <f t="shared" si="88"/>
        <v>0</v>
      </c>
      <c r="AB325" s="209">
        <f t="shared" si="89"/>
        <v>0</v>
      </c>
      <c r="AC325" s="205">
        <f t="shared" si="90"/>
        <v>0</v>
      </c>
      <c r="AD325" s="210">
        <f t="shared" si="91"/>
        <v>1.601388888891961</v>
      </c>
      <c r="AE325" s="210">
        <f t="shared" si="92"/>
        <v>0</v>
      </c>
      <c r="AF325" s="210">
        <f t="shared" si="93"/>
        <v>1.601388888891961</v>
      </c>
      <c r="AG325" s="210">
        <f t="shared" si="94"/>
        <v>0</v>
      </c>
    </row>
    <row r="326" spans="2:33" ht="15" customHeight="1" x14ac:dyDescent="0.3">
      <c r="B326" s="196" t="s">
        <v>5</v>
      </c>
      <c r="C326" s="197" t="s">
        <v>15</v>
      </c>
      <c r="D326" s="198" t="str">
        <f t="shared" si="76"/>
        <v>C</v>
      </c>
      <c r="E326" s="199">
        <v>43552.833333333336</v>
      </c>
      <c r="F326" s="200" t="s">
        <v>94</v>
      </c>
      <c r="G326" s="201">
        <v>7243.95</v>
      </c>
      <c r="H326" s="201">
        <v>7174.82</v>
      </c>
      <c r="I326" s="202">
        <f t="shared" si="77"/>
        <v>69.130000000000109</v>
      </c>
      <c r="J326" s="201">
        <v>7589.59</v>
      </c>
      <c r="K326" s="199">
        <v>43564.777083333334</v>
      </c>
      <c r="L326" s="201">
        <v>7411.99</v>
      </c>
      <c r="M326" s="203">
        <f t="shared" si="78"/>
        <v>168.04</v>
      </c>
      <c r="N326" s="204">
        <f t="shared" si="79"/>
        <v>2.4300000000000002</v>
      </c>
      <c r="O326" s="205">
        <f t="shared" si="80"/>
        <v>0</v>
      </c>
      <c r="P326" s="206">
        <f t="shared" si="81"/>
        <v>2.4300000000000002</v>
      </c>
      <c r="Q326" s="206">
        <f t="shared" si="82"/>
        <v>0</v>
      </c>
      <c r="R32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2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142450</v>
      </c>
      <c r="T32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142700</v>
      </c>
      <c r="U326" s="208">
        <f ca="1">IF(Tabla33610673[[#This Row],[Equity]]&lt;Tabla33610673[[#This Row],[Equity Peak]],(Tabla33610673[[#This Row],[Equity Peak]]-Tabla33610673[[#This Row],[Equity]])/Tabla33610673[[#This Row],[Equity Peak]],"")</f>
        <v>1.751927119831815E-3</v>
      </c>
      <c r="V326" s="209">
        <f t="shared" si="83"/>
        <v>0</v>
      </c>
      <c r="W326" s="209">
        <f t="shared" si="84"/>
        <v>0</v>
      </c>
      <c r="X326" s="209">
        <f t="shared" si="85"/>
        <v>0</v>
      </c>
      <c r="Y326" s="209">
        <f t="shared" si="86"/>
        <v>0</v>
      </c>
      <c r="Z326" s="209">
        <f t="shared" si="87"/>
        <v>2.4300000000000002</v>
      </c>
      <c r="AA326" s="205">
        <f t="shared" si="88"/>
        <v>0</v>
      </c>
      <c r="AB326" s="209">
        <f t="shared" si="89"/>
        <v>0</v>
      </c>
      <c r="AC326" s="205">
        <f t="shared" si="90"/>
        <v>0</v>
      </c>
      <c r="AD326" s="210">
        <f t="shared" si="91"/>
        <v>11.943749999998545</v>
      </c>
      <c r="AE326" s="210">
        <f t="shared" si="92"/>
        <v>11.943749999998545</v>
      </c>
      <c r="AF326" s="210">
        <f t="shared" si="93"/>
        <v>0</v>
      </c>
      <c r="AG326" s="210">
        <f t="shared" si="94"/>
        <v>0</v>
      </c>
    </row>
    <row r="327" spans="2:33" ht="15" customHeight="1" x14ac:dyDescent="0.3">
      <c r="B327" s="196" t="s">
        <v>7</v>
      </c>
      <c r="C327" s="197" t="s">
        <v>13</v>
      </c>
      <c r="D327" s="198" t="str">
        <f t="shared" si="76"/>
        <v>C</v>
      </c>
      <c r="E327" s="199">
        <v>43563.333333333336</v>
      </c>
      <c r="F327" s="200" t="s">
        <v>118</v>
      </c>
      <c r="G327" s="201">
        <v>125.107</v>
      </c>
      <c r="H327" s="201">
        <v>125.604</v>
      </c>
      <c r="I327" s="202">
        <f t="shared" si="77"/>
        <v>0.49699999999999989</v>
      </c>
      <c r="J327" s="201">
        <v>123.11799999999999</v>
      </c>
      <c r="K327" s="199">
        <v>43563.666666666664</v>
      </c>
      <c r="L327" s="201">
        <v>125.414</v>
      </c>
      <c r="M327" s="203">
        <f t="shared" si="78"/>
        <v>-0.307</v>
      </c>
      <c r="N327" s="204">
        <f t="shared" si="79"/>
        <v>-0.62</v>
      </c>
      <c r="O327" s="205">
        <f t="shared" si="80"/>
        <v>0</v>
      </c>
      <c r="P327" s="206">
        <f t="shared" si="81"/>
        <v>0</v>
      </c>
      <c r="Q327" s="206">
        <f t="shared" si="82"/>
        <v>-0.62</v>
      </c>
      <c r="R32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2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140020</v>
      </c>
      <c r="T32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142700</v>
      </c>
      <c r="U327" s="208">
        <f ca="1">IF(Tabla33610673[[#This Row],[Equity]]&lt;Tabla33610673[[#This Row],[Equity Peak]],(Tabla33610673[[#This Row],[Equity Peak]]-Tabla33610673[[#This Row],[Equity]])/Tabla33610673[[#This Row],[Equity Peak]],"")</f>
        <v>1.8780658724597058E-2</v>
      </c>
      <c r="V327" s="209">
        <f t="shared" si="83"/>
        <v>-0.62</v>
      </c>
      <c r="W327" s="209">
        <f t="shared" si="84"/>
        <v>0</v>
      </c>
      <c r="X327" s="209">
        <f t="shared" si="85"/>
        <v>0</v>
      </c>
      <c r="Y327" s="209">
        <f t="shared" si="86"/>
        <v>0</v>
      </c>
      <c r="Z327" s="209">
        <f t="shared" si="87"/>
        <v>0</v>
      </c>
      <c r="AA327" s="205">
        <f t="shared" si="88"/>
        <v>0</v>
      </c>
      <c r="AB327" s="209">
        <f t="shared" si="89"/>
        <v>0</v>
      </c>
      <c r="AC327" s="205">
        <f t="shared" si="90"/>
        <v>0</v>
      </c>
      <c r="AD327" s="210">
        <f t="shared" si="91"/>
        <v>0.33333333332848269</v>
      </c>
      <c r="AE327" s="210">
        <f t="shared" si="92"/>
        <v>0</v>
      </c>
      <c r="AF327" s="210">
        <f t="shared" si="93"/>
        <v>0.33333333332848269</v>
      </c>
      <c r="AG327" s="210">
        <f t="shared" si="94"/>
        <v>0</v>
      </c>
    </row>
    <row r="328" spans="2:33" ht="15" customHeight="1" x14ac:dyDescent="0.3">
      <c r="B328" s="196" t="s">
        <v>19</v>
      </c>
      <c r="C328" s="197" t="s">
        <v>13</v>
      </c>
      <c r="D328" s="198" t="str">
        <f t="shared" si="76"/>
        <v>C</v>
      </c>
      <c r="E328" s="199">
        <v>43552.208333333336</v>
      </c>
      <c r="F328" s="200" t="s">
        <v>89</v>
      </c>
      <c r="G328" s="201">
        <v>15.254</v>
      </c>
      <c r="H328" s="201">
        <v>15.439</v>
      </c>
      <c r="I328" s="202">
        <f t="shared" si="77"/>
        <v>0.1850000000000005</v>
      </c>
      <c r="J328" s="201">
        <v>14.366</v>
      </c>
      <c r="K328" s="199">
        <v>43563.643055555556</v>
      </c>
      <c r="L328" s="201">
        <v>15.269</v>
      </c>
      <c r="M328" s="203">
        <f t="shared" si="78"/>
        <v>-1.4999999999999999E-2</v>
      </c>
      <c r="N328" s="204">
        <f t="shared" si="79"/>
        <v>-0.08</v>
      </c>
      <c r="O328" s="205">
        <f t="shared" si="80"/>
        <v>0</v>
      </c>
      <c r="P328" s="206">
        <f t="shared" si="81"/>
        <v>0</v>
      </c>
      <c r="Q328" s="206">
        <f t="shared" si="82"/>
        <v>-0.08</v>
      </c>
      <c r="R32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2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140640</v>
      </c>
      <c r="T32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142700</v>
      </c>
      <c r="U328" s="208">
        <f ca="1">IF(Tabla33610673[[#This Row],[Equity]]&lt;Tabla33610673[[#This Row],[Equity Peak]],(Tabla33610673[[#This Row],[Equity Peak]]-Tabla33610673[[#This Row],[Equity]])/Tabla33610673[[#This Row],[Equity Peak]],"")</f>
        <v>1.4435879467414156E-2</v>
      </c>
      <c r="V328" s="209">
        <f t="shared" si="83"/>
        <v>0</v>
      </c>
      <c r="W328" s="209">
        <f t="shared" si="84"/>
        <v>0</v>
      </c>
      <c r="X328" s="209">
        <f t="shared" si="85"/>
        <v>-0.08</v>
      </c>
      <c r="Y328" s="209">
        <f t="shared" si="86"/>
        <v>0</v>
      </c>
      <c r="Z328" s="209">
        <f t="shared" si="87"/>
        <v>0</v>
      </c>
      <c r="AA328" s="205">
        <f t="shared" si="88"/>
        <v>0</v>
      </c>
      <c r="AB328" s="209">
        <f t="shared" si="89"/>
        <v>0</v>
      </c>
      <c r="AC328" s="205">
        <f t="shared" si="90"/>
        <v>0</v>
      </c>
      <c r="AD328" s="210">
        <f t="shared" si="91"/>
        <v>11.434722222220444</v>
      </c>
      <c r="AE328" s="210">
        <f t="shared" si="92"/>
        <v>0</v>
      </c>
      <c r="AF328" s="210">
        <f t="shared" si="93"/>
        <v>11.434722222220444</v>
      </c>
      <c r="AG328" s="210">
        <f t="shared" si="94"/>
        <v>0</v>
      </c>
    </row>
    <row r="329" spans="2:33" ht="15" customHeight="1" x14ac:dyDescent="0.3">
      <c r="B329" s="196" t="s">
        <v>7</v>
      </c>
      <c r="C329" s="197" t="s">
        <v>15</v>
      </c>
      <c r="D329" s="198" t="str">
        <f t="shared" si="76"/>
        <v>C</v>
      </c>
      <c r="E329" s="199">
        <v>43559.166666666664</v>
      </c>
      <c r="F329" s="200" t="s">
        <v>118</v>
      </c>
      <c r="G329" s="201">
        <v>125.36199999999999</v>
      </c>
      <c r="H329" s="201">
        <v>124.761</v>
      </c>
      <c r="I329" s="202">
        <f t="shared" si="77"/>
        <v>0.60099999999999909</v>
      </c>
      <c r="J329" s="201">
        <v>127.764</v>
      </c>
      <c r="K329" s="199">
        <v>43563.333333333336</v>
      </c>
      <c r="L329" s="201">
        <v>125.107</v>
      </c>
      <c r="M329" s="203">
        <f t="shared" si="78"/>
        <v>-0.255</v>
      </c>
      <c r="N329" s="204">
        <f t="shared" si="79"/>
        <v>-0.42</v>
      </c>
      <c r="O329" s="205">
        <f t="shared" si="80"/>
        <v>0</v>
      </c>
      <c r="P329" s="206">
        <f t="shared" si="81"/>
        <v>0</v>
      </c>
      <c r="Q329" s="206">
        <f t="shared" si="82"/>
        <v>-0.42</v>
      </c>
      <c r="R32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2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140720</v>
      </c>
      <c r="T32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142700</v>
      </c>
      <c r="U329" s="208">
        <f ca="1">IF(Tabla33610673[[#This Row],[Equity]]&lt;Tabla33610673[[#This Row],[Equity Peak]],(Tabla33610673[[#This Row],[Equity Peak]]-Tabla33610673[[#This Row],[Equity]])/Tabla33610673[[#This Row],[Equity Peak]],"")</f>
        <v>1.3875262789067975E-2</v>
      </c>
      <c r="V329" s="209">
        <f t="shared" si="83"/>
        <v>-0.42</v>
      </c>
      <c r="W329" s="209">
        <f t="shared" si="84"/>
        <v>0</v>
      </c>
      <c r="X329" s="209">
        <f t="shared" si="85"/>
        <v>0</v>
      </c>
      <c r="Y329" s="209">
        <f t="shared" si="86"/>
        <v>0</v>
      </c>
      <c r="Z329" s="209">
        <f t="shared" si="87"/>
        <v>0</v>
      </c>
      <c r="AA329" s="205">
        <f t="shared" si="88"/>
        <v>0</v>
      </c>
      <c r="AB329" s="209">
        <f t="shared" si="89"/>
        <v>0</v>
      </c>
      <c r="AC329" s="205">
        <f t="shared" si="90"/>
        <v>0</v>
      </c>
      <c r="AD329" s="210">
        <f t="shared" si="91"/>
        <v>4.1666666666715173</v>
      </c>
      <c r="AE329" s="210">
        <f t="shared" si="92"/>
        <v>0</v>
      </c>
      <c r="AF329" s="210">
        <f t="shared" si="93"/>
        <v>4.1666666666715173</v>
      </c>
      <c r="AG329" s="210">
        <f t="shared" si="94"/>
        <v>0</v>
      </c>
    </row>
    <row r="330" spans="2:33" ht="15" customHeight="1" x14ac:dyDescent="0.3">
      <c r="B330" s="196" t="s">
        <v>7</v>
      </c>
      <c r="C330" s="197" t="s">
        <v>15</v>
      </c>
      <c r="D330" s="198" t="str">
        <f t="shared" si="76"/>
        <v>C</v>
      </c>
      <c r="E330" s="199">
        <v>43558.666666666664</v>
      </c>
      <c r="F330" s="200" t="s">
        <v>115</v>
      </c>
      <c r="G330" s="201">
        <v>146.785</v>
      </c>
      <c r="H330" s="201">
        <v>145.32900000000001</v>
      </c>
      <c r="I330" s="202">
        <f t="shared" si="77"/>
        <v>1.4559999999999889</v>
      </c>
      <c r="J330" s="201">
        <v>154.94</v>
      </c>
      <c r="K330" s="199">
        <v>43560.76666666667</v>
      </c>
      <c r="L330" s="201">
        <v>145.32900000000001</v>
      </c>
      <c r="M330" s="203">
        <f t="shared" si="78"/>
        <v>-1.456</v>
      </c>
      <c r="N330" s="204">
        <f t="shared" si="79"/>
        <v>-1</v>
      </c>
      <c r="O330" s="205">
        <f t="shared" si="80"/>
        <v>0</v>
      </c>
      <c r="P330" s="206">
        <f t="shared" si="81"/>
        <v>0</v>
      </c>
      <c r="Q330" s="206">
        <f t="shared" si="82"/>
        <v>-1</v>
      </c>
      <c r="R33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3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141140</v>
      </c>
      <c r="T33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142700</v>
      </c>
      <c r="U330" s="208">
        <f ca="1">IF(Tabla33610673[[#This Row],[Equity]]&lt;Tabla33610673[[#This Row],[Equity Peak]],(Tabla33610673[[#This Row],[Equity Peak]]-Tabla33610673[[#This Row],[Equity]])/Tabla33610673[[#This Row],[Equity Peak]],"")</f>
        <v>1.0932025227750525E-2</v>
      </c>
      <c r="V330" s="209">
        <f t="shared" si="83"/>
        <v>-1</v>
      </c>
      <c r="W330" s="209">
        <f t="shared" si="84"/>
        <v>0</v>
      </c>
      <c r="X330" s="209">
        <f t="shared" si="85"/>
        <v>0</v>
      </c>
      <c r="Y330" s="209">
        <f t="shared" si="86"/>
        <v>0</v>
      </c>
      <c r="Z330" s="209">
        <f t="shared" si="87"/>
        <v>0</v>
      </c>
      <c r="AA330" s="205">
        <f t="shared" si="88"/>
        <v>0</v>
      </c>
      <c r="AB330" s="209">
        <f t="shared" si="89"/>
        <v>0</v>
      </c>
      <c r="AC330" s="205">
        <f t="shared" si="90"/>
        <v>0</v>
      </c>
      <c r="AD330" s="210">
        <f t="shared" si="91"/>
        <v>2.1000000000058208</v>
      </c>
      <c r="AE330" s="210">
        <f t="shared" si="92"/>
        <v>0</v>
      </c>
      <c r="AF330" s="210">
        <f t="shared" si="93"/>
        <v>2.1000000000058208</v>
      </c>
      <c r="AG330" s="210">
        <f t="shared" si="94"/>
        <v>0</v>
      </c>
    </row>
    <row r="331" spans="2:33" ht="15" customHeight="1" x14ac:dyDescent="0.3">
      <c r="B331" s="196" t="s">
        <v>5</v>
      </c>
      <c r="C331" s="197" t="s">
        <v>15</v>
      </c>
      <c r="D331" s="198" t="str">
        <f t="shared" si="76"/>
        <v>C</v>
      </c>
      <c r="E331" s="199">
        <v>43553.243055555555</v>
      </c>
      <c r="F331" s="200" t="s">
        <v>90</v>
      </c>
      <c r="G331" s="201">
        <v>6190.9</v>
      </c>
      <c r="H331" s="201">
        <v>6151.24</v>
      </c>
      <c r="I331" s="202">
        <f t="shared" si="77"/>
        <v>39.659999999999854</v>
      </c>
      <c r="J331" s="201">
        <v>6719.76</v>
      </c>
      <c r="K331" s="199">
        <v>43559.487500000003</v>
      </c>
      <c r="L331" s="201">
        <v>6218.03</v>
      </c>
      <c r="M331" s="203">
        <f t="shared" si="78"/>
        <v>27.13</v>
      </c>
      <c r="N331" s="204">
        <f t="shared" si="79"/>
        <v>0.68</v>
      </c>
      <c r="O331" s="205">
        <f t="shared" si="80"/>
        <v>0</v>
      </c>
      <c r="P331" s="206">
        <f t="shared" si="81"/>
        <v>0.68</v>
      </c>
      <c r="Q331" s="206">
        <f t="shared" si="82"/>
        <v>0</v>
      </c>
      <c r="R33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3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142140</v>
      </c>
      <c r="T33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142700</v>
      </c>
      <c r="U331" s="208">
        <f ca="1">IF(Tabla33610673[[#This Row],[Equity]]&lt;Tabla33610673[[#This Row],[Equity Peak]],(Tabla33610673[[#This Row],[Equity Peak]]-Tabla33610673[[#This Row],[Equity]])/Tabla33610673[[#This Row],[Equity Peak]],"")</f>
        <v>3.9243167484232658E-3</v>
      </c>
      <c r="V331" s="209">
        <f t="shared" si="83"/>
        <v>0</v>
      </c>
      <c r="W331" s="209">
        <f t="shared" si="84"/>
        <v>0</v>
      </c>
      <c r="X331" s="209">
        <f t="shared" si="85"/>
        <v>0</v>
      </c>
      <c r="Y331" s="209">
        <f t="shared" si="86"/>
        <v>0</v>
      </c>
      <c r="Z331" s="209">
        <f t="shared" si="87"/>
        <v>0.68</v>
      </c>
      <c r="AA331" s="205">
        <f t="shared" si="88"/>
        <v>0</v>
      </c>
      <c r="AB331" s="209">
        <f t="shared" si="89"/>
        <v>0</v>
      </c>
      <c r="AC331" s="205">
        <f t="shared" si="90"/>
        <v>0</v>
      </c>
      <c r="AD331" s="210">
        <f t="shared" si="91"/>
        <v>6.2444444444481633</v>
      </c>
      <c r="AE331" s="210">
        <f t="shared" si="92"/>
        <v>6.2444444444481633</v>
      </c>
      <c r="AF331" s="210">
        <f t="shared" si="93"/>
        <v>0</v>
      </c>
      <c r="AG331" s="210">
        <f t="shared" si="94"/>
        <v>0</v>
      </c>
    </row>
    <row r="332" spans="2:33" ht="15" customHeight="1" x14ac:dyDescent="0.3">
      <c r="B332" s="196" t="s">
        <v>7</v>
      </c>
      <c r="C332" s="197" t="s">
        <v>13</v>
      </c>
      <c r="D332" s="198" t="str">
        <f t="shared" si="76"/>
        <v>C</v>
      </c>
      <c r="E332" s="199">
        <v>43550.666666666664</v>
      </c>
      <c r="F332" s="200" t="s">
        <v>117</v>
      </c>
      <c r="G332" s="201">
        <v>1.1287700000000001</v>
      </c>
      <c r="H332" s="201">
        <v>1.1354299999999999</v>
      </c>
      <c r="I332" s="202">
        <f t="shared" si="77"/>
        <v>6.6599999999998882E-3</v>
      </c>
      <c r="J332" s="201">
        <v>1.08612</v>
      </c>
      <c r="K332" s="199">
        <v>43558.414583333331</v>
      </c>
      <c r="L332" s="201">
        <v>1.12355</v>
      </c>
      <c r="M332" s="203">
        <f t="shared" si="78"/>
        <v>5.1999999999999998E-3</v>
      </c>
      <c r="N332" s="204">
        <f t="shared" si="79"/>
        <v>0.78</v>
      </c>
      <c r="O332" s="205">
        <f t="shared" si="80"/>
        <v>0</v>
      </c>
      <c r="P332" s="206">
        <f t="shared" si="81"/>
        <v>0.78</v>
      </c>
      <c r="Q332" s="206">
        <f t="shared" si="82"/>
        <v>0</v>
      </c>
      <c r="R33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3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141460</v>
      </c>
      <c r="T33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142700</v>
      </c>
      <c r="U332" s="208">
        <f ca="1">IF(Tabla33610673[[#This Row],[Equity]]&lt;Tabla33610673[[#This Row],[Equity Peak]],(Tabla33610673[[#This Row],[Equity Peak]]-Tabla33610673[[#This Row],[Equity]])/Tabla33610673[[#This Row],[Equity Peak]],"")</f>
        <v>8.6895585143658017E-3</v>
      </c>
      <c r="V332" s="209">
        <f t="shared" si="83"/>
        <v>0.78</v>
      </c>
      <c r="W332" s="209">
        <f t="shared" si="84"/>
        <v>0</v>
      </c>
      <c r="X332" s="209">
        <f t="shared" si="85"/>
        <v>0</v>
      </c>
      <c r="Y332" s="209">
        <f t="shared" si="86"/>
        <v>0</v>
      </c>
      <c r="Z332" s="209">
        <f t="shared" si="87"/>
        <v>0</v>
      </c>
      <c r="AA332" s="205">
        <f t="shared" si="88"/>
        <v>0</v>
      </c>
      <c r="AB332" s="209">
        <f t="shared" si="89"/>
        <v>0</v>
      </c>
      <c r="AC332" s="205">
        <f t="shared" si="90"/>
        <v>0</v>
      </c>
      <c r="AD332" s="210">
        <f t="shared" si="91"/>
        <v>7.7479166666671517</v>
      </c>
      <c r="AE332" s="210">
        <f t="shared" si="92"/>
        <v>7.7479166666671517</v>
      </c>
      <c r="AF332" s="210">
        <f t="shared" si="93"/>
        <v>0</v>
      </c>
      <c r="AG332" s="210">
        <f t="shared" si="94"/>
        <v>0</v>
      </c>
    </row>
    <row r="333" spans="2:33" ht="15" customHeight="1" x14ac:dyDescent="0.3">
      <c r="B333" s="196" t="s">
        <v>7</v>
      </c>
      <c r="C333" s="197" t="s">
        <v>13</v>
      </c>
      <c r="D333" s="198" t="str">
        <f t="shared" si="76"/>
        <v>C</v>
      </c>
      <c r="E333" s="199">
        <v>43557.666666666664</v>
      </c>
      <c r="F333" s="200" t="s">
        <v>121</v>
      </c>
      <c r="G333" s="201">
        <v>0.70740000000000003</v>
      </c>
      <c r="H333" s="201">
        <v>0.71035000000000004</v>
      </c>
      <c r="I333" s="202">
        <f t="shared" si="77"/>
        <v>2.9500000000000082E-3</v>
      </c>
      <c r="J333" s="201">
        <v>0.69169000000000003</v>
      </c>
      <c r="K333" s="199">
        <v>43558.270833333336</v>
      </c>
      <c r="L333" s="201">
        <v>0.71035000000000004</v>
      </c>
      <c r="M333" s="203">
        <f t="shared" si="78"/>
        <v>-3.0000000000000001E-3</v>
      </c>
      <c r="N333" s="204">
        <f t="shared" si="79"/>
        <v>-1.02</v>
      </c>
      <c r="O333" s="205">
        <f t="shared" si="80"/>
        <v>0</v>
      </c>
      <c r="P333" s="206">
        <f t="shared" si="81"/>
        <v>0</v>
      </c>
      <c r="Q333" s="206">
        <f t="shared" si="82"/>
        <v>-1.02</v>
      </c>
      <c r="R33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3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140680</v>
      </c>
      <c r="T33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142700</v>
      </c>
      <c r="U333" s="208">
        <f ca="1">IF(Tabla33610673[[#This Row],[Equity]]&lt;Tabla33610673[[#This Row],[Equity Peak]],(Tabla33610673[[#This Row],[Equity Peak]]-Tabla33610673[[#This Row],[Equity]])/Tabla33610673[[#This Row],[Equity Peak]],"")</f>
        <v>1.4155571128241066E-2</v>
      </c>
      <c r="V333" s="209">
        <f t="shared" si="83"/>
        <v>-1.02</v>
      </c>
      <c r="W333" s="209">
        <f t="shared" si="84"/>
        <v>0</v>
      </c>
      <c r="X333" s="209">
        <f t="shared" si="85"/>
        <v>0</v>
      </c>
      <c r="Y333" s="209">
        <f t="shared" si="86"/>
        <v>0</v>
      </c>
      <c r="Z333" s="209">
        <f t="shared" si="87"/>
        <v>0</v>
      </c>
      <c r="AA333" s="205">
        <f t="shared" si="88"/>
        <v>0</v>
      </c>
      <c r="AB333" s="209">
        <f t="shared" si="89"/>
        <v>0</v>
      </c>
      <c r="AC333" s="205">
        <f t="shared" si="90"/>
        <v>0</v>
      </c>
      <c r="AD333" s="210">
        <f t="shared" si="91"/>
        <v>0.60416666667151731</v>
      </c>
      <c r="AE333" s="210">
        <f t="shared" si="92"/>
        <v>0</v>
      </c>
      <c r="AF333" s="210">
        <f t="shared" si="93"/>
        <v>0.60416666667151731</v>
      </c>
      <c r="AG333" s="210">
        <f t="shared" si="94"/>
        <v>0</v>
      </c>
    </row>
    <row r="334" spans="2:33" ht="15" customHeight="1" x14ac:dyDescent="0.3">
      <c r="B334" s="196" t="s">
        <v>7</v>
      </c>
      <c r="C334" s="197" t="s">
        <v>15</v>
      </c>
      <c r="D334" s="198" t="str">
        <f t="shared" si="76"/>
        <v>C</v>
      </c>
      <c r="E334" s="199">
        <v>43556.333333333336</v>
      </c>
      <c r="F334" s="200" t="s">
        <v>122</v>
      </c>
      <c r="G334" s="201">
        <v>79.048000000000002</v>
      </c>
      <c r="H334" s="201">
        <v>78.653000000000006</v>
      </c>
      <c r="I334" s="202">
        <f t="shared" si="77"/>
        <v>0.39499999999999602</v>
      </c>
      <c r="J334" s="201">
        <v>85.900999999999996</v>
      </c>
      <c r="K334" s="199">
        <v>43557.744444444441</v>
      </c>
      <c r="L334" s="201">
        <v>78.653999999999996</v>
      </c>
      <c r="M334" s="203">
        <f t="shared" si="78"/>
        <v>-0.39400000000000002</v>
      </c>
      <c r="N334" s="204">
        <f t="shared" si="79"/>
        <v>-1</v>
      </c>
      <c r="O334" s="205">
        <f t="shared" si="80"/>
        <v>0</v>
      </c>
      <c r="P334" s="206">
        <f t="shared" si="81"/>
        <v>0</v>
      </c>
      <c r="Q334" s="206">
        <f t="shared" si="82"/>
        <v>-1</v>
      </c>
      <c r="R33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3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141700</v>
      </c>
      <c r="T33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142700</v>
      </c>
      <c r="U334" s="208">
        <f ca="1">IF(Tabla33610673[[#This Row],[Equity]]&lt;Tabla33610673[[#This Row],[Equity Peak]],(Tabla33610673[[#This Row],[Equity Peak]]-Tabla33610673[[#This Row],[Equity]])/Tabla33610673[[#This Row],[Equity Peak]],"")</f>
        <v>7.0077084793272598E-3</v>
      </c>
      <c r="V334" s="209">
        <f t="shared" si="83"/>
        <v>-1</v>
      </c>
      <c r="W334" s="209">
        <f t="shared" si="84"/>
        <v>0</v>
      </c>
      <c r="X334" s="209">
        <f t="shared" si="85"/>
        <v>0</v>
      </c>
      <c r="Y334" s="209">
        <f t="shared" si="86"/>
        <v>0</v>
      </c>
      <c r="Z334" s="209">
        <f t="shared" si="87"/>
        <v>0</v>
      </c>
      <c r="AA334" s="205">
        <f t="shared" si="88"/>
        <v>0</v>
      </c>
      <c r="AB334" s="209">
        <f t="shared" si="89"/>
        <v>0</v>
      </c>
      <c r="AC334" s="205">
        <f t="shared" si="90"/>
        <v>0</v>
      </c>
      <c r="AD334" s="210">
        <f t="shared" si="91"/>
        <v>1.4111111111051287</v>
      </c>
      <c r="AE334" s="210">
        <f t="shared" si="92"/>
        <v>0</v>
      </c>
      <c r="AF334" s="210">
        <f t="shared" si="93"/>
        <v>1.4111111111051287</v>
      </c>
      <c r="AG334" s="210">
        <f t="shared" si="94"/>
        <v>0</v>
      </c>
    </row>
    <row r="335" spans="2:33" ht="15" customHeight="1" x14ac:dyDescent="0.3">
      <c r="B335" s="196" t="s">
        <v>84</v>
      </c>
      <c r="C335" s="197" t="s">
        <v>15</v>
      </c>
      <c r="D335" s="198" t="str">
        <f t="shared" si="76"/>
        <v>C</v>
      </c>
      <c r="E335" s="199">
        <v>43551.333333333336</v>
      </c>
      <c r="F335" s="200" t="s">
        <v>80</v>
      </c>
      <c r="G335" s="201">
        <v>3968.09</v>
      </c>
      <c r="H335" s="201">
        <v>3904.98</v>
      </c>
      <c r="I335" s="202">
        <f t="shared" si="77"/>
        <v>63.110000000000127</v>
      </c>
      <c r="J335" s="201">
        <v>4914.78</v>
      </c>
      <c r="K335" s="199">
        <v>43557.413194444445</v>
      </c>
      <c r="L335" s="201">
        <v>4914.78</v>
      </c>
      <c r="M335" s="203">
        <f t="shared" si="78"/>
        <v>946.69</v>
      </c>
      <c r="N335" s="204">
        <f t="shared" si="79"/>
        <v>15</v>
      </c>
      <c r="O335" s="205">
        <f t="shared" si="80"/>
        <v>0</v>
      </c>
      <c r="P335" s="206">
        <f t="shared" si="81"/>
        <v>15</v>
      </c>
      <c r="Q335" s="206">
        <f t="shared" si="82"/>
        <v>0</v>
      </c>
      <c r="R33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3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142700</v>
      </c>
      <c r="T33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142700</v>
      </c>
      <c r="U335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335" s="209">
        <f t="shared" si="83"/>
        <v>0</v>
      </c>
      <c r="W335" s="209">
        <f t="shared" si="84"/>
        <v>0</v>
      </c>
      <c r="X335" s="209">
        <f t="shared" si="85"/>
        <v>0</v>
      </c>
      <c r="Y335" s="209">
        <f t="shared" si="86"/>
        <v>0</v>
      </c>
      <c r="Z335" s="209">
        <f t="shared" si="87"/>
        <v>0</v>
      </c>
      <c r="AA335" s="205">
        <f t="shared" si="88"/>
        <v>0</v>
      </c>
      <c r="AB335" s="209">
        <f t="shared" si="89"/>
        <v>15</v>
      </c>
      <c r="AC335" s="205">
        <f t="shared" si="90"/>
        <v>0</v>
      </c>
      <c r="AD335" s="210">
        <f t="shared" si="91"/>
        <v>6.0798611111094942</v>
      </c>
      <c r="AE335" s="210">
        <f t="shared" si="92"/>
        <v>6.0798611111094942</v>
      </c>
      <c r="AF335" s="210">
        <f t="shared" si="93"/>
        <v>0</v>
      </c>
      <c r="AG335" s="210">
        <f t="shared" si="94"/>
        <v>0</v>
      </c>
    </row>
    <row r="336" spans="2:33" ht="15" customHeight="1" x14ac:dyDescent="0.3">
      <c r="B336" s="196" t="s">
        <v>7</v>
      </c>
      <c r="C336" s="197" t="s">
        <v>13</v>
      </c>
      <c r="D336" s="198" t="str">
        <f t="shared" si="76"/>
        <v>C</v>
      </c>
      <c r="E336" s="199">
        <v>43546.666666666664</v>
      </c>
      <c r="F336" s="200" t="s">
        <v>115</v>
      </c>
      <c r="G336" s="201">
        <v>145.042</v>
      </c>
      <c r="H336" s="201">
        <v>147.077</v>
      </c>
      <c r="I336" s="202">
        <f t="shared" si="77"/>
        <v>2.0349999999999966</v>
      </c>
      <c r="J336" s="201">
        <v>133.649</v>
      </c>
      <c r="K336" s="199">
        <v>43556.774305555555</v>
      </c>
      <c r="L336" s="201">
        <v>146.28100000000001</v>
      </c>
      <c r="M336" s="203">
        <f t="shared" si="78"/>
        <v>-1.2390000000000001</v>
      </c>
      <c r="N336" s="204">
        <f t="shared" si="79"/>
        <v>-0.61</v>
      </c>
      <c r="O336" s="205">
        <f t="shared" si="80"/>
        <v>0</v>
      </c>
      <c r="P336" s="206">
        <f t="shared" si="81"/>
        <v>0</v>
      </c>
      <c r="Q336" s="206">
        <f t="shared" si="82"/>
        <v>-0.61</v>
      </c>
      <c r="R33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3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127700</v>
      </c>
      <c r="T33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136300</v>
      </c>
      <c r="U336" s="208">
        <f ca="1">IF(Tabla33610673[[#This Row],[Equity]]&lt;Tabla33610673[[#This Row],[Equity Peak]],(Tabla33610673[[#This Row],[Equity Peak]]-Tabla33610673[[#This Row],[Equity]])/Tabla33610673[[#This Row],[Equity Peak]],"")</f>
        <v>6.3096111518708725E-2</v>
      </c>
      <c r="V336" s="209">
        <f t="shared" si="83"/>
        <v>-0.61</v>
      </c>
      <c r="W336" s="209">
        <f t="shared" si="84"/>
        <v>0</v>
      </c>
      <c r="X336" s="209">
        <f t="shared" si="85"/>
        <v>0</v>
      </c>
      <c r="Y336" s="209">
        <f t="shared" si="86"/>
        <v>0</v>
      </c>
      <c r="Z336" s="209">
        <f t="shared" si="87"/>
        <v>0</v>
      </c>
      <c r="AA336" s="205">
        <f t="shared" si="88"/>
        <v>0</v>
      </c>
      <c r="AB336" s="209">
        <f t="shared" si="89"/>
        <v>0</v>
      </c>
      <c r="AC336" s="205">
        <f t="shared" si="90"/>
        <v>0</v>
      </c>
      <c r="AD336" s="210">
        <f t="shared" si="91"/>
        <v>10.107638888890506</v>
      </c>
      <c r="AE336" s="210">
        <f t="shared" si="92"/>
        <v>0</v>
      </c>
      <c r="AF336" s="210">
        <f t="shared" si="93"/>
        <v>10.107638888890506</v>
      </c>
      <c r="AG336" s="210">
        <f t="shared" si="94"/>
        <v>0</v>
      </c>
    </row>
    <row r="337" spans="2:33" ht="15" customHeight="1" x14ac:dyDescent="0.3">
      <c r="B337" s="196" t="s">
        <v>7</v>
      </c>
      <c r="C337" s="197" t="s">
        <v>13</v>
      </c>
      <c r="D337" s="198" t="str">
        <f t="shared" ref="D337:D400" si="95">IF(E337&lt;&gt;"",IF(K337&lt;&gt;"","C","O"),"")</f>
        <v>C</v>
      </c>
      <c r="E337" s="199">
        <v>43546.5</v>
      </c>
      <c r="F337" s="200" t="s">
        <v>118</v>
      </c>
      <c r="G337" s="201">
        <v>124.917</v>
      </c>
      <c r="H337" s="201">
        <v>125.89700000000001</v>
      </c>
      <c r="I337" s="202">
        <f t="shared" ref="I337:I400" si="96">ABS(G337-H337)</f>
        <v>0.98000000000000398</v>
      </c>
      <c r="J337" s="201">
        <v>120.998</v>
      </c>
      <c r="K337" s="199">
        <v>43556.136111111111</v>
      </c>
      <c r="L337" s="201">
        <v>124.66800000000001</v>
      </c>
      <c r="M337" s="203">
        <f t="shared" ref="M337:M400" si="97">ROUND(IF(C337="L",(L337-G337),(G337-L337)),4)</f>
        <v>0.249</v>
      </c>
      <c r="N337" s="204">
        <f t="shared" ref="N337:N400" si="98">IFERROR(ROUND((M337/I337),2),"")</f>
        <v>0.25</v>
      </c>
      <c r="O337" s="205">
        <f t="shared" ref="O337:O400" si="99">IF(D337="O",IF(N337&lt;0,N337,0),0)</f>
        <v>0</v>
      </c>
      <c r="P337" s="206">
        <f t="shared" ref="P337:P400" si="100">IF(N337&gt;= 0,N337,0)</f>
        <v>0.25</v>
      </c>
      <c r="Q337" s="206">
        <f t="shared" ref="Q337:Q400" si="101">IF(N337&lt;0,N337,0)</f>
        <v>0</v>
      </c>
      <c r="R33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3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128310</v>
      </c>
      <c r="T33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136300</v>
      </c>
      <c r="U337" s="208">
        <f ca="1">IF(Tabla33610673[[#This Row],[Equity]]&lt;Tabla33610673[[#This Row],[Equity Peak]],(Tabla33610673[[#This Row],[Equity Peak]]-Tabla33610673[[#This Row],[Equity]])/Tabla33610673[[#This Row],[Equity Peak]],"")</f>
        <v>5.8620689655172413E-2</v>
      </c>
      <c r="V337" s="209">
        <f t="shared" ref="V337:V400" si="102">IF(B337="FX",N337,0)</f>
        <v>0.25</v>
      </c>
      <c r="W337" s="209">
        <f t="shared" ref="W337:W400" si="103">IF(D337="O",IF(V337&lt;0,V337,0),0)</f>
        <v>0</v>
      </c>
      <c r="X337" s="209">
        <f t="shared" ref="X337:X400" si="104">IF(B337="COM",N337,0)</f>
        <v>0</v>
      </c>
      <c r="Y337" s="209">
        <f t="shared" ref="Y337:Y400" si="105">IF(D337="O",IF(X337&lt;0,X337,0),0)</f>
        <v>0</v>
      </c>
      <c r="Z337" s="209">
        <f t="shared" ref="Z337:Z400" si="106">IF(B337="IND",N337,0)</f>
        <v>0</v>
      </c>
      <c r="AA337" s="205">
        <f t="shared" ref="AA337:AA400" si="107">IF(D337="O",IF(Z337&lt;0,Z337,0),0)</f>
        <v>0</v>
      </c>
      <c r="AB337" s="209">
        <f t="shared" ref="AB337:AB400" si="108">IF(B337="CRYPTO",N337,0)</f>
        <v>0</v>
      </c>
      <c r="AC337" s="205">
        <f t="shared" ref="AC337:AC400" si="109">IF(D337="O",IF(AB337&lt;0,AB337,0),0)</f>
        <v>0</v>
      </c>
      <c r="AD337" s="210">
        <f t="shared" ref="AD337:AD400" si="110">IF(K337&lt;&gt;"",K337-E337,0)</f>
        <v>9.6361111111109494</v>
      </c>
      <c r="AE337" s="210">
        <f t="shared" ref="AE337:AE400" si="111">IF(N337&gt;0,AD337,0)</f>
        <v>9.6361111111109494</v>
      </c>
      <c r="AF337" s="210">
        <f t="shared" ref="AF337:AF400" si="112">IF(N337&lt;0,AD337,0)</f>
        <v>0</v>
      </c>
      <c r="AG337" s="210">
        <f t="shared" ref="AG337:AG400" si="113">IF(N337=0,AD337,0)</f>
        <v>0</v>
      </c>
    </row>
    <row r="338" spans="2:33" ht="15" customHeight="1" x14ac:dyDescent="0.3">
      <c r="B338" s="196" t="s">
        <v>7</v>
      </c>
      <c r="C338" s="197" t="s">
        <v>13</v>
      </c>
      <c r="D338" s="198" t="str">
        <f t="shared" si="95"/>
        <v>C</v>
      </c>
      <c r="E338" s="199">
        <v>43553.017361111109</v>
      </c>
      <c r="F338" s="200" t="s">
        <v>121</v>
      </c>
      <c r="G338" s="201">
        <v>0.70792999999999995</v>
      </c>
      <c r="H338" s="201">
        <v>0.71099000000000001</v>
      </c>
      <c r="I338" s="202">
        <f t="shared" si="96"/>
        <v>3.0600000000000627E-3</v>
      </c>
      <c r="J338" s="201">
        <v>0.69160999999999995</v>
      </c>
      <c r="K338" s="199">
        <v>43556</v>
      </c>
      <c r="L338" s="201">
        <v>0.71099000000000001</v>
      </c>
      <c r="M338" s="203">
        <f t="shared" si="97"/>
        <v>-3.0999999999999999E-3</v>
      </c>
      <c r="N338" s="204">
        <f t="shared" si="98"/>
        <v>-1.01</v>
      </c>
      <c r="O338" s="205">
        <f t="shared" si="99"/>
        <v>0</v>
      </c>
      <c r="P338" s="206">
        <f t="shared" si="100"/>
        <v>0</v>
      </c>
      <c r="Q338" s="206">
        <f t="shared" si="101"/>
        <v>-1.01</v>
      </c>
      <c r="R33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3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128060</v>
      </c>
      <c r="T33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136300</v>
      </c>
      <c r="U338" s="208">
        <f ca="1">IF(Tabla33610673[[#This Row],[Equity]]&lt;Tabla33610673[[#This Row],[Equity Peak]],(Tabla33610673[[#This Row],[Equity Peak]]-Tabla33610673[[#This Row],[Equity]])/Tabla33610673[[#This Row],[Equity Peak]],"")</f>
        <v>6.0454878943506971E-2</v>
      </c>
      <c r="V338" s="209">
        <f t="shared" si="102"/>
        <v>-1.01</v>
      </c>
      <c r="W338" s="209">
        <f t="shared" si="103"/>
        <v>0</v>
      </c>
      <c r="X338" s="209">
        <f t="shared" si="104"/>
        <v>0</v>
      </c>
      <c r="Y338" s="209">
        <f t="shared" si="105"/>
        <v>0</v>
      </c>
      <c r="Z338" s="209">
        <f t="shared" si="106"/>
        <v>0</v>
      </c>
      <c r="AA338" s="205">
        <f t="shared" si="107"/>
        <v>0</v>
      </c>
      <c r="AB338" s="209">
        <f t="shared" si="108"/>
        <v>0</v>
      </c>
      <c r="AC338" s="205">
        <f t="shared" si="109"/>
        <v>0</v>
      </c>
      <c r="AD338" s="210">
        <f t="shared" si="110"/>
        <v>2.9826388888905058</v>
      </c>
      <c r="AE338" s="210">
        <f t="shared" si="111"/>
        <v>0</v>
      </c>
      <c r="AF338" s="210">
        <f t="shared" si="112"/>
        <v>2.9826388888905058</v>
      </c>
      <c r="AG338" s="210">
        <f t="shared" si="113"/>
        <v>0</v>
      </c>
    </row>
    <row r="339" spans="2:33" ht="15" customHeight="1" x14ac:dyDescent="0.3">
      <c r="B339" s="196" t="s">
        <v>5</v>
      </c>
      <c r="C339" s="197" t="s">
        <v>13</v>
      </c>
      <c r="D339" s="198" t="str">
        <f t="shared" si="95"/>
        <v>C</v>
      </c>
      <c r="E339" s="199">
        <v>43549.208333333336</v>
      </c>
      <c r="F339" s="200" t="s">
        <v>91</v>
      </c>
      <c r="G339" s="201">
        <v>11320.7</v>
      </c>
      <c r="H339" s="201">
        <v>11598.27</v>
      </c>
      <c r="I339" s="202">
        <f t="shared" si="96"/>
        <v>277.56999999999971</v>
      </c>
      <c r="J339" s="201">
        <v>10210.44</v>
      </c>
      <c r="K339" s="199">
        <v>43556</v>
      </c>
      <c r="L339" s="201">
        <v>11598.27</v>
      </c>
      <c r="M339" s="203">
        <f t="shared" si="97"/>
        <v>-277.57</v>
      </c>
      <c r="N339" s="204">
        <f t="shared" si="98"/>
        <v>-1</v>
      </c>
      <c r="O339" s="205">
        <f t="shared" si="99"/>
        <v>0</v>
      </c>
      <c r="P339" s="206">
        <f t="shared" si="100"/>
        <v>0</v>
      </c>
      <c r="Q339" s="206">
        <f t="shared" si="101"/>
        <v>-1</v>
      </c>
      <c r="R33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3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129070</v>
      </c>
      <c r="T33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136300</v>
      </c>
      <c r="U339" s="208">
        <f ca="1">IF(Tabla33610673[[#This Row],[Equity]]&lt;Tabla33610673[[#This Row],[Equity Peak]],(Tabla33610673[[#This Row],[Equity Peak]]-Tabla33610673[[#This Row],[Equity]])/Tabla33610673[[#This Row],[Equity Peak]],"")</f>
        <v>5.3044754218635366E-2</v>
      </c>
      <c r="V339" s="209">
        <f t="shared" si="102"/>
        <v>0</v>
      </c>
      <c r="W339" s="209">
        <f t="shared" si="103"/>
        <v>0</v>
      </c>
      <c r="X339" s="209">
        <f t="shared" si="104"/>
        <v>0</v>
      </c>
      <c r="Y339" s="209">
        <f t="shared" si="105"/>
        <v>0</v>
      </c>
      <c r="Z339" s="209">
        <f t="shared" si="106"/>
        <v>-1</v>
      </c>
      <c r="AA339" s="205">
        <f t="shared" si="107"/>
        <v>0</v>
      </c>
      <c r="AB339" s="209">
        <f t="shared" si="108"/>
        <v>0</v>
      </c>
      <c r="AC339" s="205">
        <f t="shared" si="109"/>
        <v>0</v>
      </c>
      <c r="AD339" s="210">
        <f t="shared" si="110"/>
        <v>6.7916666666642413</v>
      </c>
      <c r="AE339" s="210">
        <f t="shared" si="111"/>
        <v>0</v>
      </c>
      <c r="AF339" s="210">
        <f t="shared" si="112"/>
        <v>6.7916666666642413</v>
      </c>
      <c r="AG339" s="210">
        <f t="shared" si="113"/>
        <v>0</v>
      </c>
    </row>
    <row r="340" spans="2:33" ht="15" customHeight="1" x14ac:dyDescent="0.3">
      <c r="B340" s="196" t="s">
        <v>7</v>
      </c>
      <c r="C340" s="197" t="s">
        <v>13</v>
      </c>
      <c r="D340" s="198" t="str">
        <f t="shared" si="95"/>
        <v>C</v>
      </c>
      <c r="E340" s="199">
        <v>43549.333333333336</v>
      </c>
      <c r="F340" s="200" t="s">
        <v>119</v>
      </c>
      <c r="G340" s="201">
        <v>0.85650000000000004</v>
      </c>
      <c r="H340" s="201">
        <v>0.86155000000000004</v>
      </c>
      <c r="I340" s="202">
        <f t="shared" si="96"/>
        <v>5.0499999999999989E-3</v>
      </c>
      <c r="J340" s="201">
        <v>0.84302999999999995</v>
      </c>
      <c r="K340" s="199">
        <v>43553.413888888892</v>
      </c>
      <c r="L340" s="201">
        <v>0.86155000000000004</v>
      </c>
      <c r="M340" s="203">
        <f t="shared" si="97"/>
        <v>-5.1000000000000004E-3</v>
      </c>
      <c r="N340" s="204">
        <f t="shared" si="98"/>
        <v>-1.01</v>
      </c>
      <c r="O340" s="205">
        <f t="shared" si="99"/>
        <v>0</v>
      </c>
      <c r="P340" s="206">
        <f t="shared" si="100"/>
        <v>0</v>
      </c>
      <c r="Q340" s="206">
        <f t="shared" si="101"/>
        <v>-1.01</v>
      </c>
      <c r="R34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4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130070</v>
      </c>
      <c r="T34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136300</v>
      </c>
      <c r="U340" s="208">
        <f ca="1">IF(Tabla33610673[[#This Row],[Equity]]&lt;Tabla33610673[[#This Row],[Equity Peak]],(Tabla33610673[[#This Row],[Equity Peak]]-Tabla33610673[[#This Row],[Equity]])/Tabla33610673[[#This Row],[Equity Peak]],"")</f>
        <v>4.5707997065297136E-2</v>
      </c>
      <c r="V340" s="209">
        <f t="shared" si="102"/>
        <v>-1.01</v>
      </c>
      <c r="W340" s="209">
        <f t="shared" si="103"/>
        <v>0</v>
      </c>
      <c r="X340" s="209">
        <f t="shared" si="104"/>
        <v>0</v>
      </c>
      <c r="Y340" s="209">
        <f t="shared" si="105"/>
        <v>0</v>
      </c>
      <c r="Z340" s="209">
        <f t="shared" si="106"/>
        <v>0</v>
      </c>
      <c r="AA340" s="205">
        <f t="shared" si="107"/>
        <v>0</v>
      </c>
      <c r="AB340" s="209">
        <f t="shared" si="108"/>
        <v>0</v>
      </c>
      <c r="AC340" s="205">
        <f t="shared" si="109"/>
        <v>0</v>
      </c>
      <c r="AD340" s="210">
        <f t="shared" si="110"/>
        <v>4.0805555555562023</v>
      </c>
      <c r="AE340" s="210">
        <f t="shared" si="111"/>
        <v>0</v>
      </c>
      <c r="AF340" s="210">
        <f t="shared" si="112"/>
        <v>4.0805555555562023</v>
      </c>
      <c r="AG340" s="210">
        <f t="shared" si="113"/>
        <v>0</v>
      </c>
    </row>
    <row r="341" spans="2:33" ht="15" customHeight="1" x14ac:dyDescent="0.3">
      <c r="B341" s="196" t="s">
        <v>7</v>
      </c>
      <c r="C341" s="197" t="s">
        <v>15</v>
      </c>
      <c r="D341" s="198" t="str">
        <f t="shared" si="95"/>
        <v>C</v>
      </c>
      <c r="E341" s="199">
        <v>43551.166666666664</v>
      </c>
      <c r="F341" s="200" t="s">
        <v>114</v>
      </c>
      <c r="G341" s="201">
        <v>1.3206199999999999</v>
      </c>
      <c r="H341" s="201">
        <v>1.3088299999999999</v>
      </c>
      <c r="I341" s="202">
        <f t="shared" si="96"/>
        <v>1.1789999999999967E-2</v>
      </c>
      <c r="J341" s="201">
        <v>1.3677600000000001</v>
      </c>
      <c r="K341" s="199">
        <v>43552.740277777775</v>
      </c>
      <c r="L341" s="201">
        <v>1.3088299999999999</v>
      </c>
      <c r="M341" s="203">
        <f t="shared" si="97"/>
        <v>-1.18E-2</v>
      </c>
      <c r="N341" s="204">
        <f t="shared" si="98"/>
        <v>-1</v>
      </c>
      <c r="O341" s="205">
        <f t="shared" si="99"/>
        <v>0</v>
      </c>
      <c r="P341" s="206">
        <f t="shared" si="100"/>
        <v>0</v>
      </c>
      <c r="Q341" s="206">
        <f t="shared" si="101"/>
        <v>-1</v>
      </c>
      <c r="R34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4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131080</v>
      </c>
      <c r="T34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136300</v>
      </c>
      <c r="U341" s="208">
        <f ca="1">IF(Tabla33610673[[#This Row],[Equity]]&lt;Tabla33610673[[#This Row],[Equity Peak]],(Tabla33610673[[#This Row],[Equity Peak]]-Tabla33610673[[#This Row],[Equity]])/Tabla33610673[[#This Row],[Equity Peak]],"")</f>
        <v>3.8297872340425532E-2</v>
      </c>
      <c r="V341" s="209">
        <f t="shared" si="102"/>
        <v>-1</v>
      </c>
      <c r="W341" s="209">
        <f t="shared" si="103"/>
        <v>0</v>
      </c>
      <c r="X341" s="209">
        <f t="shared" si="104"/>
        <v>0</v>
      </c>
      <c r="Y341" s="209">
        <f t="shared" si="105"/>
        <v>0</v>
      </c>
      <c r="Z341" s="209">
        <f t="shared" si="106"/>
        <v>0</v>
      </c>
      <c r="AA341" s="205">
        <f t="shared" si="107"/>
        <v>0</v>
      </c>
      <c r="AB341" s="209">
        <f t="shared" si="108"/>
        <v>0</v>
      </c>
      <c r="AC341" s="205">
        <f t="shared" si="109"/>
        <v>0</v>
      </c>
      <c r="AD341" s="210">
        <f t="shared" si="110"/>
        <v>1.5736111111109494</v>
      </c>
      <c r="AE341" s="210">
        <f t="shared" si="111"/>
        <v>0</v>
      </c>
      <c r="AF341" s="210">
        <f t="shared" si="112"/>
        <v>1.5736111111109494</v>
      </c>
      <c r="AG341" s="210">
        <f t="shared" si="113"/>
        <v>0</v>
      </c>
    </row>
    <row r="342" spans="2:33" ht="15" customHeight="1" x14ac:dyDescent="0.3">
      <c r="B342" s="196" t="s">
        <v>5</v>
      </c>
      <c r="C342" s="197" t="s">
        <v>13</v>
      </c>
      <c r="D342" s="198" t="str">
        <f t="shared" si="95"/>
        <v>C</v>
      </c>
      <c r="E342" s="199">
        <v>43550.243055555555</v>
      </c>
      <c r="F342" s="200" t="s">
        <v>90</v>
      </c>
      <c r="G342" s="201">
        <v>6127.2</v>
      </c>
      <c r="H342" s="201">
        <v>6167.08</v>
      </c>
      <c r="I342" s="202">
        <f t="shared" si="96"/>
        <v>39.880000000000109</v>
      </c>
      <c r="J342" s="201">
        <v>5595.49</v>
      </c>
      <c r="K342" s="199">
        <v>43552.25277777778</v>
      </c>
      <c r="L342" s="201">
        <v>6161.67</v>
      </c>
      <c r="M342" s="203">
        <f t="shared" si="97"/>
        <v>-34.47</v>
      </c>
      <c r="N342" s="204">
        <f t="shared" si="98"/>
        <v>-0.86</v>
      </c>
      <c r="O342" s="205">
        <f t="shared" si="99"/>
        <v>0</v>
      </c>
      <c r="P342" s="206">
        <f t="shared" si="100"/>
        <v>0</v>
      </c>
      <c r="Q342" s="206">
        <f t="shared" si="101"/>
        <v>-0.86</v>
      </c>
      <c r="R34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4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132080</v>
      </c>
      <c r="T34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136300</v>
      </c>
      <c r="U342" s="208">
        <f ca="1">IF(Tabla33610673[[#This Row],[Equity]]&lt;Tabla33610673[[#This Row],[Equity Peak]],(Tabla33610673[[#This Row],[Equity Peak]]-Tabla33610673[[#This Row],[Equity]])/Tabla33610673[[#This Row],[Equity Peak]],"")</f>
        <v>3.0961115187087308E-2</v>
      </c>
      <c r="V342" s="209">
        <f t="shared" si="102"/>
        <v>0</v>
      </c>
      <c r="W342" s="209">
        <f t="shared" si="103"/>
        <v>0</v>
      </c>
      <c r="X342" s="209">
        <f t="shared" si="104"/>
        <v>0</v>
      </c>
      <c r="Y342" s="209">
        <f t="shared" si="105"/>
        <v>0</v>
      </c>
      <c r="Z342" s="209">
        <f t="shared" si="106"/>
        <v>-0.86</v>
      </c>
      <c r="AA342" s="205">
        <f t="shared" si="107"/>
        <v>0</v>
      </c>
      <c r="AB342" s="209">
        <f t="shared" si="108"/>
        <v>0</v>
      </c>
      <c r="AC342" s="205">
        <f t="shared" si="109"/>
        <v>0</v>
      </c>
      <c r="AD342" s="210">
        <f t="shared" si="110"/>
        <v>2.0097222222248092</v>
      </c>
      <c r="AE342" s="210">
        <f t="shared" si="111"/>
        <v>0</v>
      </c>
      <c r="AF342" s="210">
        <f t="shared" si="112"/>
        <v>2.0097222222248092</v>
      </c>
      <c r="AG342" s="210">
        <f t="shared" si="113"/>
        <v>0</v>
      </c>
    </row>
    <row r="343" spans="2:33" ht="15" customHeight="1" x14ac:dyDescent="0.3">
      <c r="B343" s="196" t="s">
        <v>7</v>
      </c>
      <c r="C343" s="197" t="s">
        <v>13</v>
      </c>
      <c r="D343" s="198" t="str">
        <f t="shared" si="95"/>
        <v>C</v>
      </c>
      <c r="E343" s="199">
        <v>43546.5</v>
      </c>
      <c r="F343" s="200" t="s">
        <v>120</v>
      </c>
      <c r="G343" s="201">
        <v>1.5931200000000001</v>
      </c>
      <c r="H343" s="201">
        <v>1.60029</v>
      </c>
      <c r="I343" s="202">
        <f t="shared" si="96"/>
        <v>7.1699999999998987E-3</v>
      </c>
      <c r="J343" s="201">
        <v>1.5166900000000001</v>
      </c>
      <c r="K343" s="199">
        <v>43551.409722222219</v>
      </c>
      <c r="L343" s="201">
        <v>1.5863100000000001</v>
      </c>
      <c r="M343" s="203">
        <f t="shared" si="97"/>
        <v>6.7999999999999996E-3</v>
      </c>
      <c r="N343" s="204">
        <f t="shared" si="98"/>
        <v>0.95</v>
      </c>
      <c r="O343" s="205">
        <f t="shared" si="99"/>
        <v>0</v>
      </c>
      <c r="P343" s="206">
        <f t="shared" si="100"/>
        <v>0.95</v>
      </c>
      <c r="Q343" s="206">
        <f t="shared" si="101"/>
        <v>0</v>
      </c>
      <c r="R34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4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132940</v>
      </c>
      <c r="T34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136300</v>
      </c>
      <c r="U343" s="208">
        <f ca="1">IF(Tabla33610673[[#This Row],[Equity]]&lt;Tabla33610673[[#This Row],[Equity Peak]],(Tabla33610673[[#This Row],[Equity Peak]]-Tabla33610673[[#This Row],[Equity]])/Tabla33610673[[#This Row],[Equity Peak]],"")</f>
        <v>2.4651504035216435E-2</v>
      </c>
      <c r="V343" s="209">
        <f t="shared" si="102"/>
        <v>0.95</v>
      </c>
      <c r="W343" s="209">
        <f t="shared" si="103"/>
        <v>0</v>
      </c>
      <c r="X343" s="209">
        <f t="shared" si="104"/>
        <v>0</v>
      </c>
      <c r="Y343" s="209">
        <f t="shared" si="105"/>
        <v>0</v>
      </c>
      <c r="Z343" s="209">
        <f t="shared" si="106"/>
        <v>0</v>
      </c>
      <c r="AA343" s="205">
        <f t="shared" si="107"/>
        <v>0</v>
      </c>
      <c r="AB343" s="209">
        <f t="shared" si="108"/>
        <v>0</v>
      </c>
      <c r="AC343" s="205">
        <f t="shared" si="109"/>
        <v>0</v>
      </c>
      <c r="AD343" s="210">
        <f t="shared" si="110"/>
        <v>4.9097222222189885</v>
      </c>
      <c r="AE343" s="210">
        <f t="shared" si="111"/>
        <v>4.9097222222189885</v>
      </c>
      <c r="AF343" s="210">
        <f t="shared" si="112"/>
        <v>0</v>
      </c>
      <c r="AG343" s="210">
        <f t="shared" si="113"/>
        <v>0</v>
      </c>
    </row>
    <row r="344" spans="2:33" ht="15" customHeight="1" x14ac:dyDescent="0.3">
      <c r="B344" s="196" t="s">
        <v>84</v>
      </c>
      <c r="C344" s="197" t="s">
        <v>13</v>
      </c>
      <c r="D344" s="198" t="str">
        <f t="shared" si="95"/>
        <v>C</v>
      </c>
      <c r="E344" s="199">
        <v>43550.166666666664</v>
      </c>
      <c r="F344" s="200" t="s">
        <v>80</v>
      </c>
      <c r="G344" s="201">
        <v>3887.35</v>
      </c>
      <c r="H344" s="201">
        <v>3940.19</v>
      </c>
      <c r="I344" s="202">
        <f t="shared" si="96"/>
        <v>52.840000000000146</v>
      </c>
      <c r="J344" s="201">
        <v>3094.77</v>
      </c>
      <c r="K344" s="199">
        <v>43550.775694444441</v>
      </c>
      <c r="L344" s="201">
        <v>3909.53</v>
      </c>
      <c r="M344" s="203">
        <f t="shared" si="97"/>
        <v>-22.18</v>
      </c>
      <c r="N344" s="204">
        <f t="shared" si="98"/>
        <v>-0.42</v>
      </c>
      <c r="O344" s="205">
        <f t="shared" si="99"/>
        <v>0</v>
      </c>
      <c r="P344" s="206">
        <f t="shared" si="100"/>
        <v>0</v>
      </c>
      <c r="Q344" s="206">
        <f t="shared" si="101"/>
        <v>-0.42</v>
      </c>
      <c r="R34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4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131990</v>
      </c>
      <c r="T34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136300</v>
      </c>
      <c r="U344" s="208">
        <f ca="1">IF(Tabla33610673[[#This Row],[Equity]]&lt;Tabla33610673[[#This Row],[Equity Peak]],(Tabla33610673[[#This Row],[Equity Peak]]-Tabla33610673[[#This Row],[Equity]])/Tabla33610673[[#This Row],[Equity Peak]],"")</f>
        <v>3.162142333088775E-2</v>
      </c>
      <c r="V344" s="209">
        <f t="shared" si="102"/>
        <v>0</v>
      </c>
      <c r="W344" s="209">
        <f t="shared" si="103"/>
        <v>0</v>
      </c>
      <c r="X344" s="209">
        <f t="shared" si="104"/>
        <v>0</v>
      </c>
      <c r="Y344" s="209">
        <f t="shared" si="105"/>
        <v>0</v>
      </c>
      <c r="Z344" s="209">
        <f t="shared" si="106"/>
        <v>0</v>
      </c>
      <c r="AA344" s="205">
        <f t="shared" si="107"/>
        <v>0</v>
      </c>
      <c r="AB344" s="209">
        <f t="shared" si="108"/>
        <v>-0.42</v>
      </c>
      <c r="AC344" s="205">
        <f t="shared" si="109"/>
        <v>0</v>
      </c>
      <c r="AD344" s="210">
        <f t="shared" si="110"/>
        <v>0.60902777777664596</v>
      </c>
      <c r="AE344" s="210">
        <f t="shared" si="111"/>
        <v>0</v>
      </c>
      <c r="AF344" s="210">
        <f t="shared" si="112"/>
        <v>0.60902777777664596</v>
      </c>
      <c r="AG344" s="210">
        <f t="shared" si="113"/>
        <v>0</v>
      </c>
    </row>
    <row r="345" spans="2:33" ht="15" customHeight="1" x14ac:dyDescent="0.3">
      <c r="B345" s="196" t="s">
        <v>5</v>
      </c>
      <c r="C345" s="197" t="s">
        <v>13</v>
      </c>
      <c r="D345" s="198" t="str">
        <f t="shared" si="95"/>
        <v>C</v>
      </c>
      <c r="E345" s="199">
        <v>43549.017361111109</v>
      </c>
      <c r="F345" s="200" t="s">
        <v>94</v>
      </c>
      <c r="G345" s="201">
        <v>7200.66</v>
      </c>
      <c r="H345" s="201">
        <v>7285.3</v>
      </c>
      <c r="I345" s="202">
        <f t="shared" si="96"/>
        <v>84.640000000000327</v>
      </c>
      <c r="J345" s="201">
        <v>6777.48</v>
      </c>
      <c r="K345" s="199">
        <v>43550.769444444442</v>
      </c>
      <c r="L345" s="201">
        <v>7216.09</v>
      </c>
      <c r="M345" s="203">
        <f t="shared" si="97"/>
        <v>-15.43</v>
      </c>
      <c r="N345" s="204">
        <f t="shared" si="98"/>
        <v>-0.18</v>
      </c>
      <c r="O345" s="205">
        <f t="shared" si="99"/>
        <v>0</v>
      </c>
      <c r="P345" s="206">
        <f t="shared" si="100"/>
        <v>0</v>
      </c>
      <c r="Q345" s="206">
        <f t="shared" si="101"/>
        <v>-0.18</v>
      </c>
      <c r="R34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4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132410</v>
      </c>
      <c r="T34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136300</v>
      </c>
      <c r="U345" s="208">
        <f ca="1">IF(Tabla33610673[[#This Row],[Equity]]&lt;Tabla33610673[[#This Row],[Equity Peak]],(Tabla33610673[[#This Row],[Equity Peak]]-Tabla33610673[[#This Row],[Equity]])/Tabla33610673[[#This Row],[Equity Peak]],"")</f>
        <v>2.8539985326485693E-2</v>
      </c>
      <c r="V345" s="209">
        <f t="shared" si="102"/>
        <v>0</v>
      </c>
      <c r="W345" s="209">
        <f t="shared" si="103"/>
        <v>0</v>
      </c>
      <c r="X345" s="209">
        <f t="shared" si="104"/>
        <v>0</v>
      </c>
      <c r="Y345" s="209">
        <f t="shared" si="105"/>
        <v>0</v>
      </c>
      <c r="Z345" s="209">
        <f t="shared" si="106"/>
        <v>-0.18</v>
      </c>
      <c r="AA345" s="205">
        <f t="shared" si="107"/>
        <v>0</v>
      </c>
      <c r="AB345" s="209">
        <f t="shared" si="108"/>
        <v>0</v>
      </c>
      <c r="AC345" s="205">
        <f t="shared" si="109"/>
        <v>0</v>
      </c>
      <c r="AD345" s="210">
        <f t="shared" si="110"/>
        <v>1.7520833333328483</v>
      </c>
      <c r="AE345" s="210">
        <f t="shared" si="111"/>
        <v>0</v>
      </c>
      <c r="AF345" s="210">
        <f t="shared" si="112"/>
        <v>1.7520833333328483</v>
      </c>
      <c r="AG345" s="210">
        <f t="shared" si="113"/>
        <v>0</v>
      </c>
    </row>
    <row r="346" spans="2:33" ht="15" customHeight="1" x14ac:dyDescent="0.3">
      <c r="B346" s="196" t="s">
        <v>7</v>
      </c>
      <c r="C346" s="197" t="s">
        <v>13</v>
      </c>
      <c r="D346" s="198" t="str">
        <f t="shared" si="95"/>
        <v>C</v>
      </c>
      <c r="E346" s="199">
        <v>43546.017361111109</v>
      </c>
      <c r="F346" s="200" t="s">
        <v>122</v>
      </c>
      <c r="G346" s="201">
        <v>78.846999999999994</v>
      </c>
      <c r="H346" s="201">
        <v>79.302000000000007</v>
      </c>
      <c r="I346" s="202">
        <f t="shared" si="96"/>
        <v>0.45500000000001251</v>
      </c>
      <c r="J346" s="201">
        <v>70.962999999999994</v>
      </c>
      <c r="K346" s="199">
        <v>43550.442361111112</v>
      </c>
      <c r="L346" s="201">
        <v>78.569000000000003</v>
      </c>
      <c r="M346" s="203">
        <f t="shared" si="97"/>
        <v>0.27800000000000002</v>
      </c>
      <c r="N346" s="204">
        <f t="shared" si="98"/>
        <v>0.61</v>
      </c>
      <c r="O346" s="205">
        <f t="shared" si="99"/>
        <v>0</v>
      </c>
      <c r="P346" s="206">
        <f t="shared" si="100"/>
        <v>0.61</v>
      </c>
      <c r="Q346" s="206">
        <f t="shared" si="101"/>
        <v>0</v>
      </c>
      <c r="R34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4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132590</v>
      </c>
      <c r="T34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136300</v>
      </c>
      <c r="U346" s="208">
        <f ca="1">IF(Tabla33610673[[#This Row],[Equity]]&lt;Tabla33610673[[#This Row],[Equity Peak]],(Tabla33610673[[#This Row],[Equity Peak]]-Tabla33610673[[#This Row],[Equity]])/Tabla33610673[[#This Row],[Equity Peak]],"")</f>
        <v>2.7219369038884812E-2</v>
      </c>
      <c r="V346" s="209">
        <f t="shared" si="102"/>
        <v>0.61</v>
      </c>
      <c r="W346" s="209">
        <f t="shared" si="103"/>
        <v>0</v>
      </c>
      <c r="X346" s="209">
        <f t="shared" si="104"/>
        <v>0</v>
      </c>
      <c r="Y346" s="209">
        <f t="shared" si="105"/>
        <v>0</v>
      </c>
      <c r="Z346" s="209">
        <f t="shared" si="106"/>
        <v>0</v>
      </c>
      <c r="AA346" s="205">
        <f t="shared" si="107"/>
        <v>0</v>
      </c>
      <c r="AB346" s="209">
        <f t="shared" si="108"/>
        <v>0</v>
      </c>
      <c r="AC346" s="205">
        <f t="shared" si="109"/>
        <v>0</v>
      </c>
      <c r="AD346" s="210">
        <f t="shared" si="110"/>
        <v>4.4250000000029104</v>
      </c>
      <c r="AE346" s="210">
        <f t="shared" si="111"/>
        <v>4.4250000000029104</v>
      </c>
      <c r="AF346" s="210">
        <f t="shared" si="112"/>
        <v>0</v>
      </c>
      <c r="AG346" s="210">
        <f t="shared" si="113"/>
        <v>0</v>
      </c>
    </row>
    <row r="347" spans="2:33" ht="15" customHeight="1" x14ac:dyDescent="0.3">
      <c r="B347" s="196" t="s">
        <v>5</v>
      </c>
      <c r="C347" s="197" t="s">
        <v>15</v>
      </c>
      <c r="D347" s="198" t="str">
        <f t="shared" si="95"/>
        <v>C</v>
      </c>
      <c r="E347" s="199">
        <v>43538.017361111109</v>
      </c>
      <c r="F347" s="200" t="s">
        <v>95</v>
      </c>
      <c r="G347" s="201">
        <v>25763.46</v>
      </c>
      <c r="H347" s="201">
        <v>25548.09</v>
      </c>
      <c r="I347" s="202">
        <f t="shared" si="96"/>
        <v>215.36999999999898</v>
      </c>
      <c r="J347" s="201">
        <v>26624.94</v>
      </c>
      <c r="K347" s="199">
        <v>43546.774305555555</v>
      </c>
      <c r="L347" s="201">
        <v>25548.09</v>
      </c>
      <c r="M347" s="203">
        <f t="shared" si="97"/>
        <v>-215.37</v>
      </c>
      <c r="N347" s="204">
        <f t="shared" si="98"/>
        <v>-1</v>
      </c>
      <c r="O347" s="205">
        <f t="shared" si="99"/>
        <v>0</v>
      </c>
      <c r="P347" s="206">
        <f t="shared" si="100"/>
        <v>0</v>
      </c>
      <c r="Q347" s="206">
        <f t="shared" si="101"/>
        <v>-1</v>
      </c>
      <c r="R34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4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131980</v>
      </c>
      <c r="T34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136300</v>
      </c>
      <c r="U347" s="208">
        <f ca="1">IF(Tabla33610673[[#This Row],[Equity]]&lt;Tabla33610673[[#This Row],[Equity Peak]],(Tabla33610673[[#This Row],[Equity Peak]]-Tabla33610673[[#This Row],[Equity]])/Tabla33610673[[#This Row],[Equity Peak]],"")</f>
        <v>3.1694790902421131E-2</v>
      </c>
      <c r="V347" s="209">
        <f t="shared" si="102"/>
        <v>0</v>
      </c>
      <c r="W347" s="209">
        <f t="shared" si="103"/>
        <v>0</v>
      </c>
      <c r="X347" s="209">
        <f t="shared" si="104"/>
        <v>0</v>
      </c>
      <c r="Y347" s="209">
        <f t="shared" si="105"/>
        <v>0</v>
      </c>
      <c r="Z347" s="209">
        <f t="shared" si="106"/>
        <v>-1</v>
      </c>
      <c r="AA347" s="205">
        <f t="shared" si="107"/>
        <v>0</v>
      </c>
      <c r="AB347" s="209">
        <f t="shared" si="108"/>
        <v>0</v>
      </c>
      <c r="AC347" s="205">
        <f t="shared" si="109"/>
        <v>0</v>
      </c>
      <c r="AD347" s="210">
        <f t="shared" si="110"/>
        <v>8.7569444444452529</v>
      </c>
      <c r="AE347" s="210">
        <f t="shared" si="111"/>
        <v>0</v>
      </c>
      <c r="AF347" s="210">
        <f t="shared" si="112"/>
        <v>8.7569444444452529</v>
      </c>
      <c r="AG347" s="210">
        <f t="shared" si="113"/>
        <v>0</v>
      </c>
    </row>
    <row r="348" spans="2:33" ht="15" customHeight="1" x14ac:dyDescent="0.3">
      <c r="B348" s="196" t="s">
        <v>5</v>
      </c>
      <c r="C348" s="197" t="s">
        <v>15</v>
      </c>
      <c r="D348" s="198" t="str">
        <f t="shared" si="95"/>
        <v>C</v>
      </c>
      <c r="E348" s="199">
        <v>43536.017361111109</v>
      </c>
      <c r="F348" s="200" t="s">
        <v>92</v>
      </c>
      <c r="G348" s="201">
        <v>7167.74</v>
      </c>
      <c r="H348" s="201">
        <v>7017.81</v>
      </c>
      <c r="I348" s="202">
        <f t="shared" si="96"/>
        <v>149.92999999999938</v>
      </c>
      <c r="J348" s="201">
        <v>8167.29</v>
      </c>
      <c r="K348" s="199">
        <v>43546.744444444441</v>
      </c>
      <c r="L348" s="201">
        <v>7414.02</v>
      </c>
      <c r="M348" s="203">
        <f t="shared" si="97"/>
        <v>246.28</v>
      </c>
      <c r="N348" s="204">
        <f t="shared" si="98"/>
        <v>1.64</v>
      </c>
      <c r="O348" s="205">
        <f t="shared" si="99"/>
        <v>0</v>
      </c>
      <c r="P348" s="206">
        <f t="shared" si="100"/>
        <v>1.64</v>
      </c>
      <c r="Q348" s="206">
        <f t="shared" si="101"/>
        <v>0</v>
      </c>
      <c r="R34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4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132980</v>
      </c>
      <c r="T34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136300</v>
      </c>
      <c r="U348" s="208">
        <f ca="1">IF(Tabla33610673[[#This Row],[Equity]]&lt;Tabla33610673[[#This Row],[Equity Peak]],(Tabla33610673[[#This Row],[Equity Peak]]-Tabla33610673[[#This Row],[Equity]])/Tabla33610673[[#This Row],[Equity Peak]],"")</f>
        <v>2.4358033749082905E-2</v>
      </c>
      <c r="V348" s="209">
        <f t="shared" si="102"/>
        <v>0</v>
      </c>
      <c r="W348" s="209">
        <f t="shared" si="103"/>
        <v>0</v>
      </c>
      <c r="X348" s="209">
        <f t="shared" si="104"/>
        <v>0</v>
      </c>
      <c r="Y348" s="209">
        <f t="shared" si="105"/>
        <v>0</v>
      </c>
      <c r="Z348" s="209">
        <f t="shared" si="106"/>
        <v>1.64</v>
      </c>
      <c r="AA348" s="205">
        <f t="shared" si="107"/>
        <v>0</v>
      </c>
      <c r="AB348" s="209">
        <f t="shared" si="108"/>
        <v>0</v>
      </c>
      <c r="AC348" s="205">
        <f t="shared" si="109"/>
        <v>0</v>
      </c>
      <c r="AD348" s="210">
        <f t="shared" si="110"/>
        <v>10.727083333331393</v>
      </c>
      <c r="AE348" s="210">
        <f t="shared" si="111"/>
        <v>10.727083333331393</v>
      </c>
      <c r="AF348" s="210">
        <f t="shared" si="112"/>
        <v>0</v>
      </c>
      <c r="AG348" s="210">
        <f t="shared" si="113"/>
        <v>0</v>
      </c>
    </row>
    <row r="349" spans="2:33" ht="15" customHeight="1" x14ac:dyDescent="0.3">
      <c r="B349" s="196" t="s">
        <v>19</v>
      </c>
      <c r="C349" s="197" t="s">
        <v>15</v>
      </c>
      <c r="D349" s="198" t="str">
        <f t="shared" si="95"/>
        <v>C</v>
      </c>
      <c r="E349" s="199">
        <v>43545.541666666664</v>
      </c>
      <c r="F349" s="200" t="s">
        <v>89</v>
      </c>
      <c r="G349" s="201">
        <v>15.606999999999999</v>
      </c>
      <c r="H349" s="201">
        <v>15.413</v>
      </c>
      <c r="I349" s="202">
        <f t="shared" si="96"/>
        <v>0.19399999999999906</v>
      </c>
      <c r="J349" s="201">
        <v>16.538</v>
      </c>
      <c r="K349" s="199">
        <v>43545.786805555559</v>
      </c>
      <c r="L349" s="201">
        <v>15.413</v>
      </c>
      <c r="M349" s="203">
        <f t="shared" si="97"/>
        <v>-0.19400000000000001</v>
      </c>
      <c r="N349" s="204">
        <f t="shared" si="98"/>
        <v>-1</v>
      </c>
      <c r="O349" s="205">
        <f t="shared" si="99"/>
        <v>0</v>
      </c>
      <c r="P349" s="206">
        <f t="shared" si="100"/>
        <v>0</v>
      </c>
      <c r="Q349" s="206">
        <f t="shared" si="101"/>
        <v>-1</v>
      </c>
      <c r="R34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4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131340</v>
      </c>
      <c r="T34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136300</v>
      </c>
      <c r="U349" s="208">
        <f ca="1">IF(Tabla33610673[[#This Row],[Equity]]&lt;Tabla33610673[[#This Row],[Equity Peak]],(Tabla33610673[[#This Row],[Equity Peak]]-Tabla33610673[[#This Row],[Equity]])/Tabla33610673[[#This Row],[Equity Peak]],"")</f>
        <v>3.6390315480557593E-2</v>
      </c>
      <c r="V349" s="209">
        <f t="shared" si="102"/>
        <v>0</v>
      </c>
      <c r="W349" s="209">
        <f t="shared" si="103"/>
        <v>0</v>
      </c>
      <c r="X349" s="209">
        <f t="shared" si="104"/>
        <v>-1</v>
      </c>
      <c r="Y349" s="209">
        <f t="shared" si="105"/>
        <v>0</v>
      </c>
      <c r="Z349" s="209">
        <f t="shared" si="106"/>
        <v>0</v>
      </c>
      <c r="AA349" s="205">
        <f t="shared" si="107"/>
        <v>0</v>
      </c>
      <c r="AB349" s="209">
        <f t="shared" si="108"/>
        <v>0</v>
      </c>
      <c r="AC349" s="205">
        <f t="shared" si="109"/>
        <v>0</v>
      </c>
      <c r="AD349" s="210">
        <f t="shared" si="110"/>
        <v>0.24513888889487134</v>
      </c>
      <c r="AE349" s="210">
        <f t="shared" si="111"/>
        <v>0</v>
      </c>
      <c r="AF349" s="210">
        <f t="shared" si="112"/>
        <v>0.24513888889487134</v>
      </c>
      <c r="AG349" s="210">
        <f t="shared" si="113"/>
        <v>0</v>
      </c>
    </row>
    <row r="350" spans="2:33" ht="15" customHeight="1" x14ac:dyDescent="0.3">
      <c r="B350" s="196" t="s">
        <v>7</v>
      </c>
      <c r="C350" s="197" t="s">
        <v>13</v>
      </c>
      <c r="D350" s="198" t="str">
        <f t="shared" si="95"/>
        <v>C</v>
      </c>
      <c r="E350" s="199">
        <v>43545.017361111109</v>
      </c>
      <c r="F350" s="200" t="s">
        <v>113</v>
      </c>
      <c r="G350" s="201">
        <v>110.605</v>
      </c>
      <c r="H350" s="201">
        <v>111.364</v>
      </c>
      <c r="I350" s="202">
        <f t="shared" si="96"/>
        <v>0.75900000000000034</v>
      </c>
      <c r="J350" s="201">
        <v>107.06399999999999</v>
      </c>
      <c r="K350" s="199">
        <v>43545.768055555556</v>
      </c>
      <c r="L350" s="201">
        <v>110.85899999999999</v>
      </c>
      <c r="M350" s="203">
        <f t="shared" si="97"/>
        <v>-0.254</v>
      </c>
      <c r="N350" s="204">
        <f t="shared" si="98"/>
        <v>-0.33</v>
      </c>
      <c r="O350" s="205">
        <f t="shared" si="99"/>
        <v>0</v>
      </c>
      <c r="P350" s="206">
        <f t="shared" si="100"/>
        <v>0</v>
      </c>
      <c r="Q350" s="206">
        <f t="shared" si="101"/>
        <v>-0.33</v>
      </c>
      <c r="R35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5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132340</v>
      </c>
      <c r="T35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136300</v>
      </c>
      <c r="U350" s="208">
        <f ca="1">IF(Tabla33610673[[#This Row],[Equity]]&lt;Tabla33610673[[#This Row],[Equity Peak]],(Tabla33610673[[#This Row],[Equity Peak]]-Tabla33610673[[#This Row],[Equity]])/Tabla33610673[[#This Row],[Equity Peak]],"")</f>
        <v>2.905355832721937E-2</v>
      </c>
      <c r="V350" s="209">
        <f t="shared" si="102"/>
        <v>-0.33</v>
      </c>
      <c r="W350" s="209">
        <f t="shared" si="103"/>
        <v>0</v>
      </c>
      <c r="X350" s="209">
        <f t="shared" si="104"/>
        <v>0</v>
      </c>
      <c r="Y350" s="209">
        <f t="shared" si="105"/>
        <v>0</v>
      </c>
      <c r="Z350" s="209">
        <f t="shared" si="106"/>
        <v>0</v>
      </c>
      <c r="AA350" s="205">
        <f t="shared" si="107"/>
        <v>0</v>
      </c>
      <c r="AB350" s="209">
        <f t="shared" si="108"/>
        <v>0</v>
      </c>
      <c r="AC350" s="205">
        <f t="shared" si="109"/>
        <v>0</v>
      </c>
      <c r="AD350" s="210">
        <f t="shared" si="110"/>
        <v>0.75069444444670808</v>
      </c>
      <c r="AE350" s="210">
        <f t="shared" si="111"/>
        <v>0</v>
      </c>
      <c r="AF350" s="210">
        <f t="shared" si="112"/>
        <v>0.75069444444670808</v>
      </c>
      <c r="AG350" s="210">
        <f t="shared" si="113"/>
        <v>0</v>
      </c>
    </row>
    <row r="351" spans="2:33" ht="15" customHeight="1" x14ac:dyDescent="0.3">
      <c r="B351" s="196" t="s">
        <v>84</v>
      </c>
      <c r="C351" s="197" t="s">
        <v>15</v>
      </c>
      <c r="D351" s="198" t="str">
        <f t="shared" si="95"/>
        <v>C</v>
      </c>
      <c r="E351" s="199">
        <v>43545.166666666664</v>
      </c>
      <c r="F351" s="200" t="s">
        <v>80</v>
      </c>
      <c r="G351" s="201">
        <v>4031.2</v>
      </c>
      <c r="H351" s="201">
        <v>3978.15</v>
      </c>
      <c r="I351" s="202">
        <f t="shared" si="96"/>
        <v>53.049999999999727</v>
      </c>
      <c r="J351" s="201">
        <v>4826.93</v>
      </c>
      <c r="K351" s="199">
        <v>43545.720138888886</v>
      </c>
      <c r="L351" s="201">
        <v>3979.36</v>
      </c>
      <c r="M351" s="203">
        <f t="shared" si="97"/>
        <v>-51.84</v>
      </c>
      <c r="N351" s="204">
        <f t="shared" si="98"/>
        <v>-0.98</v>
      </c>
      <c r="O351" s="205">
        <f t="shared" si="99"/>
        <v>0</v>
      </c>
      <c r="P351" s="206">
        <f t="shared" si="100"/>
        <v>0</v>
      </c>
      <c r="Q351" s="206">
        <f t="shared" si="101"/>
        <v>-0.98</v>
      </c>
      <c r="R35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5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132670</v>
      </c>
      <c r="T35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136300</v>
      </c>
      <c r="U351" s="208">
        <f ca="1">IF(Tabla33610673[[#This Row],[Equity]]&lt;Tabla33610673[[#This Row],[Equity Peak]],(Tabla33610673[[#This Row],[Equity Peak]]-Tabla33610673[[#This Row],[Equity]])/Tabla33610673[[#This Row],[Equity Peak]],"")</f>
        <v>2.6632428466617755E-2</v>
      </c>
      <c r="V351" s="209">
        <f t="shared" si="102"/>
        <v>0</v>
      </c>
      <c r="W351" s="209">
        <f t="shared" si="103"/>
        <v>0</v>
      </c>
      <c r="X351" s="209">
        <f t="shared" si="104"/>
        <v>0</v>
      </c>
      <c r="Y351" s="209">
        <f t="shared" si="105"/>
        <v>0</v>
      </c>
      <c r="Z351" s="209">
        <f t="shared" si="106"/>
        <v>0</v>
      </c>
      <c r="AA351" s="205">
        <f t="shared" si="107"/>
        <v>0</v>
      </c>
      <c r="AB351" s="209">
        <f t="shared" si="108"/>
        <v>-0.98</v>
      </c>
      <c r="AC351" s="205">
        <f t="shared" si="109"/>
        <v>0</v>
      </c>
      <c r="AD351" s="210">
        <f t="shared" si="110"/>
        <v>0.55347222222189885</v>
      </c>
      <c r="AE351" s="210">
        <f t="shared" si="111"/>
        <v>0</v>
      </c>
      <c r="AF351" s="210">
        <f t="shared" si="112"/>
        <v>0.55347222222189885</v>
      </c>
      <c r="AG351" s="210">
        <f t="shared" si="113"/>
        <v>0</v>
      </c>
    </row>
    <row r="352" spans="2:33" ht="15" customHeight="1" x14ac:dyDescent="0.3">
      <c r="B352" s="196" t="s">
        <v>7</v>
      </c>
      <c r="C352" s="197" t="s">
        <v>15</v>
      </c>
      <c r="D352" s="198" t="str">
        <f t="shared" si="95"/>
        <v>C</v>
      </c>
      <c r="E352" s="199">
        <v>43538.017361111109</v>
      </c>
      <c r="F352" s="200" t="s">
        <v>114</v>
      </c>
      <c r="G352" s="201">
        <v>1.33128</v>
      </c>
      <c r="H352" s="201">
        <v>1.3103199999999999</v>
      </c>
      <c r="I352" s="202">
        <f t="shared" si="96"/>
        <v>2.096000000000009E-2</v>
      </c>
      <c r="J352" s="201">
        <v>1.4151199999999999</v>
      </c>
      <c r="K352" s="199">
        <v>43545.576388888891</v>
      </c>
      <c r="L352" s="201">
        <v>1.3144899999999999</v>
      </c>
      <c r="M352" s="203">
        <f t="shared" si="97"/>
        <v>-1.6799999999999999E-2</v>
      </c>
      <c r="N352" s="204">
        <f t="shared" si="98"/>
        <v>-0.8</v>
      </c>
      <c r="O352" s="205">
        <f t="shared" si="99"/>
        <v>0</v>
      </c>
      <c r="P352" s="206">
        <f t="shared" si="100"/>
        <v>0</v>
      </c>
      <c r="Q352" s="206">
        <f t="shared" si="101"/>
        <v>-0.8</v>
      </c>
      <c r="R35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5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133650</v>
      </c>
      <c r="T35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136300</v>
      </c>
      <c r="U352" s="208">
        <f ca="1">IF(Tabla33610673[[#This Row],[Equity]]&lt;Tabla33610673[[#This Row],[Equity Peak]],(Tabla33610673[[#This Row],[Equity Peak]]-Tabla33610673[[#This Row],[Equity]])/Tabla33610673[[#This Row],[Equity Peak]],"")</f>
        <v>1.9442406456346296E-2</v>
      </c>
      <c r="V352" s="209">
        <f t="shared" si="102"/>
        <v>-0.8</v>
      </c>
      <c r="W352" s="209">
        <f t="shared" si="103"/>
        <v>0</v>
      </c>
      <c r="X352" s="209">
        <f t="shared" si="104"/>
        <v>0</v>
      </c>
      <c r="Y352" s="209">
        <f t="shared" si="105"/>
        <v>0</v>
      </c>
      <c r="Z352" s="209">
        <f t="shared" si="106"/>
        <v>0</v>
      </c>
      <c r="AA352" s="205">
        <f t="shared" si="107"/>
        <v>0</v>
      </c>
      <c r="AB352" s="209">
        <f t="shared" si="108"/>
        <v>0</v>
      </c>
      <c r="AC352" s="205">
        <f t="shared" si="109"/>
        <v>0</v>
      </c>
      <c r="AD352" s="210">
        <f t="shared" si="110"/>
        <v>7.5590277777810115</v>
      </c>
      <c r="AE352" s="210">
        <f t="shared" si="111"/>
        <v>0</v>
      </c>
      <c r="AF352" s="210">
        <f t="shared" si="112"/>
        <v>7.5590277777810115</v>
      </c>
      <c r="AG352" s="210">
        <f t="shared" si="113"/>
        <v>0</v>
      </c>
    </row>
    <row r="353" spans="2:33" ht="15" customHeight="1" x14ac:dyDescent="0.3">
      <c r="B353" s="196" t="s">
        <v>7</v>
      </c>
      <c r="C353" s="197" t="s">
        <v>15</v>
      </c>
      <c r="D353" s="198" t="str">
        <f t="shared" si="95"/>
        <v>C</v>
      </c>
      <c r="E353" s="199">
        <v>43537.5</v>
      </c>
      <c r="F353" s="200" t="s">
        <v>118</v>
      </c>
      <c r="G353" s="201">
        <v>125.756</v>
      </c>
      <c r="H353" s="201">
        <v>124.88500000000001</v>
      </c>
      <c r="I353" s="202">
        <f t="shared" si="96"/>
        <v>0.87099999999999511</v>
      </c>
      <c r="J353" s="201">
        <v>129.24100000000001</v>
      </c>
      <c r="K353" s="199">
        <v>43545.272222222222</v>
      </c>
      <c r="L353" s="201">
        <v>126.19199999999999</v>
      </c>
      <c r="M353" s="203">
        <f t="shared" si="97"/>
        <v>0.436</v>
      </c>
      <c r="N353" s="204">
        <f t="shared" si="98"/>
        <v>0.5</v>
      </c>
      <c r="O353" s="205">
        <f t="shared" si="99"/>
        <v>0</v>
      </c>
      <c r="P353" s="206">
        <f t="shared" si="100"/>
        <v>0.5</v>
      </c>
      <c r="Q353" s="206">
        <f t="shared" si="101"/>
        <v>0</v>
      </c>
      <c r="R35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5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134450</v>
      </c>
      <c r="T35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136300</v>
      </c>
      <c r="U353" s="208">
        <f ca="1">IF(Tabla33610673[[#This Row],[Equity]]&lt;Tabla33610673[[#This Row],[Equity Peak]],(Tabla33610673[[#This Row],[Equity Peak]]-Tabla33610673[[#This Row],[Equity]])/Tabla33610673[[#This Row],[Equity Peak]],"")</f>
        <v>1.3573000733675716E-2</v>
      </c>
      <c r="V353" s="209">
        <f t="shared" si="102"/>
        <v>0.5</v>
      </c>
      <c r="W353" s="209">
        <f t="shared" si="103"/>
        <v>0</v>
      </c>
      <c r="X353" s="209">
        <f t="shared" si="104"/>
        <v>0</v>
      </c>
      <c r="Y353" s="209">
        <f t="shared" si="105"/>
        <v>0</v>
      </c>
      <c r="Z353" s="209">
        <f t="shared" si="106"/>
        <v>0</v>
      </c>
      <c r="AA353" s="205">
        <f t="shared" si="107"/>
        <v>0</v>
      </c>
      <c r="AB353" s="209">
        <f t="shared" si="108"/>
        <v>0</v>
      </c>
      <c r="AC353" s="205">
        <f t="shared" si="109"/>
        <v>0</v>
      </c>
      <c r="AD353" s="210">
        <f t="shared" si="110"/>
        <v>7.7722222222218988</v>
      </c>
      <c r="AE353" s="210">
        <f t="shared" si="111"/>
        <v>7.7722222222218988</v>
      </c>
      <c r="AF353" s="210">
        <f t="shared" si="112"/>
        <v>0</v>
      </c>
      <c r="AG353" s="210">
        <f t="shared" si="113"/>
        <v>0</v>
      </c>
    </row>
    <row r="354" spans="2:33" ht="15" customHeight="1" x14ac:dyDescent="0.3">
      <c r="B354" s="196" t="s">
        <v>7</v>
      </c>
      <c r="C354" s="197" t="s">
        <v>15</v>
      </c>
      <c r="D354" s="198" t="str">
        <f t="shared" si="95"/>
        <v>C</v>
      </c>
      <c r="E354" s="199">
        <v>43539.017361111109</v>
      </c>
      <c r="F354" s="200" t="s">
        <v>122</v>
      </c>
      <c r="G354" s="201">
        <v>78.885999999999996</v>
      </c>
      <c r="H354" s="201">
        <v>78.516000000000005</v>
      </c>
      <c r="I354" s="202">
        <f t="shared" si="96"/>
        <v>0.36999999999999034</v>
      </c>
      <c r="J354" s="201">
        <v>85.296999999999997</v>
      </c>
      <c r="K354" s="199">
        <v>43544.943055555559</v>
      </c>
      <c r="L354" s="201">
        <v>78.747</v>
      </c>
      <c r="M354" s="203">
        <f t="shared" si="97"/>
        <v>-0.13900000000000001</v>
      </c>
      <c r="N354" s="204">
        <f t="shared" si="98"/>
        <v>-0.38</v>
      </c>
      <c r="O354" s="205">
        <f t="shared" si="99"/>
        <v>0</v>
      </c>
      <c r="P354" s="206">
        <f t="shared" si="100"/>
        <v>0</v>
      </c>
      <c r="Q354" s="206">
        <f t="shared" si="101"/>
        <v>-0.38</v>
      </c>
      <c r="R35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5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133950</v>
      </c>
      <c r="T35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136300</v>
      </c>
      <c r="U354" s="208">
        <f ca="1">IF(Tabla33610673[[#This Row],[Equity]]&lt;Tabla33610673[[#This Row],[Equity Peak]],(Tabla33610673[[#This Row],[Equity Peak]]-Tabla33610673[[#This Row],[Equity]])/Tabla33610673[[#This Row],[Equity Peak]],"")</f>
        <v>1.7241379310344827E-2</v>
      </c>
      <c r="V354" s="209">
        <f t="shared" si="102"/>
        <v>-0.38</v>
      </c>
      <c r="W354" s="209">
        <f t="shared" si="103"/>
        <v>0</v>
      </c>
      <c r="X354" s="209">
        <f t="shared" si="104"/>
        <v>0</v>
      </c>
      <c r="Y354" s="209">
        <f t="shared" si="105"/>
        <v>0</v>
      </c>
      <c r="Z354" s="209">
        <f t="shared" si="106"/>
        <v>0</v>
      </c>
      <c r="AA354" s="205">
        <f t="shared" si="107"/>
        <v>0</v>
      </c>
      <c r="AB354" s="209">
        <f t="shared" si="108"/>
        <v>0</v>
      </c>
      <c r="AC354" s="205">
        <f t="shared" si="109"/>
        <v>0</v>
      </c>
      <c r="AD354" s="210">
        <f t="shared" si="110"/>
        <v>5.9256944444496185</v>
      </c>
      <c r="AE354" s="210">
        <f t="shared" si="111"/>
        <v>0</v>
      </c>
      <c r="AF354" s="210">
        <f t="shared" si="112"/>
        <v>5.9256944444496185</v>
      </c>
      <c r="AG354" s="210">
        <f t="shared" si="113"/>
        <v>0</v>
      </c>
    </row>
    <row r="355" spans="2:33" ht="15" customHeight="1" x14ac:dyDescent="0.3">
      <c r="B355" s="196" t="s">
        <v>7</v>
      </c>
      <c r="C355" s="197" t="s">
        <v>15</v>
      </c>
      <c r="D355" s="198" t="str">
        <f t="shared" si="95"/>
        <v>C</v>
      </c>
      <c r="E355" s="199">
        <v>43544.166666666664</v>
      </c>
      <c r="F355" s="200" t="s">
        <v>113</v>
      </c>
      <c r="G355" s="201">
        <v>111.61499999999999</v>
      </c>
      <c r="H355" s="201">
        <v>111.01300000000001</v>
      </c>
      <c r="I355" s="202">
        <f t="shared" si="96"/>
        <v>0.60199999999998965</v>
      </c>
      <c r="J355" s="201">
        <v>114.425</v>
      </c>
      <c r="K355" s="199">
        <v>43544.86041666667</v>
      </c>
      <c r="L355" s="201">
        <v>111.328</v>
      </c>
      <c r="M355" s="203">
        <f t="shared" si="97"/>
        <v>-0.28699999999999998</v>
      </c>
      <c r="N355" s="204">
        <f t="shared" si="98"/>
        <v>-0.48</v>
      </c>
      <c r="O355" s="205">
        <f t="shared" si="99"/>
        <v>0</v>
      </c>
      <c r="P355" s="206">
        <f t="shared" si="100"/>
        <v>0</v>
      </c>
      <c r="Q355" s="206">
        <f t="shared" si="101"/>
        <v>-0.48</v>
      </c>
      <c r="R35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5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134330</v>
      </c>
      <c r="T35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136300</v>
      </c>
      <c r="U355" s="208">
        <f ca="1">IF(Tabla33610673[[#This Row],[Equity]]&lt;Tabla33610673[[#This Row],[Equity Peak]],(Tabla33610673[[#This Row],[Equity Peak]]-Tabla33610673[[#This Row],[Equity]])/Tabla33610673[[#This Row],[Equity Peak]],"")</f>
        <v>1.4453411592076302E-2</v>
      </c>
      <c r="V355" s="209">
        <f t="shared" si="102"/>
        <v>-0.48</v>
      </c>
      <c r="W355" s="209">
        <f t="shared" si="103"/>
        <v>0</v>
      </c>
      <c r="X355" s="209">
        <f t="shared" si="104"/>
        <v>0</v>
      </c>
      <c r="Y355" s="209">
        <f t="shared" si="105"/>
        <v>0</v>
      </c>
      <c r="Z355" s="209">
        <f t="shared" si="106"/>
        <v>0</v>
      </c>
      <c r="AA355" s="205">
        <f t="shared" si="107"/>
        <v>0</v>
      </c>
      <c r="AB355" s="209">
        <f t="shared" si="108"/>
        <v>0</v>
      </c>
      <c r="AC355" s="205">
        <f t="shared" si="109"/>
        <v>0</v>
      </c>
      <c r="AD355" s="210">
        <f t="shared" si="110"/>
        <v>0.69375000000582077</v>
      </c>
      <c r="AE355" s="210">
        <f t="shared" si="111"/>
        <v>0</v>
      </c>
      <c r="AF355" s="210">
        <f t="shared" si="112"/>
        <v>0.69375000000582077</v>
      </c>
      <c r="AG355" s="210">
        <f t="shared" si="113"/>
        <v>0</v>
      </c>
    </row>
    <row r="356" spans="2:33" ht="15" customHeight="1" x14ac:dyDescent="0.3">
      <c r="B356" s="196" t="s">
        <v>19</v>
      </c>
      <c r="C356" s="197" t="s">
        <v>15</v>
      </c>
      <c r="D356" s="198" t="str">
        <f t="shared" si="95"/>
        <v>C</v>
      </c>
      <c r="E356" s="199">
        <v>43539.708333333336</v>
      </c>
      <c r="F356" s="200" t="s">
        <v>88</v>
      </c>
      <c r="G356" s="201">
        <v>1304.76</v>
      </c>
      <c r="H356" s="201">
        <v>1294.04</v>
      </c>
      <c r="I356" s="202">
        <f t="shared" si="96"/>
        <v>10.720000000000027</v>
      </c>
      <c r="J356" s="201">
        <v>1373.35</v>
      </c>
      <c r="K356" s="199">
        <v>43544.8125</v>
      </c>
      <c r="L356" s="201">
        <v>1300.42</v>
      </c>
      <c r="M356" s="203">
        <f t="shared" si="97"/>
        <v>-4.34</v>
      </c>
      <c r="N356" s="204">
        <f t="shared" si="98"/>
        <v>-0.4</v>
      </c>
      <c r="O356" s="205">
        <f t="shared" si="99"/>
        <v>0</v>
      </c>
      <c r="P356" s="206">
        <f t="shared" si="100"/>
        <v>0</v>
      </c>
      <c r="Q356" s="206">
        <f t="shared" si="101"/>
        <v>-0.4</v>
      </c>
      <c r="R35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5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134810</v>
      </c>
      <c r="T35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136300</v>
      </c>
      <c r="U356" s="208">
        <f ca="1">IF(Tabla33610673[[#This Row],[Equity]]&lt;Tabla33610673[[#This Row],[Equity Peak]],(Tabla33610673[[#This Row],[Equity Peak]]-Tabla33610673[[#This Row],[Equity]])/Tabla33610673[[#This Row],[Equity Peak]],"")</f>
        <v>1.0931768158473954E-2</v>
      </c>
      <c r="V356" s="209">
        <f t="shared" si="102"/>
        <v>0</v>
      </c>
      <c r="W356" s="209">
        <f t="shared" si="103"/>
        <v>0</v>
      </c>
      <c r="X356" s="209">
        <f t="shared" si="104"/>
        <v>-0.4</v>
      </c>
      <c r="Y356" s="209">
        <f t="shared" si="105"/>
        <v>0</v>
      </c>
      <c r="Z356" s="209">
        <f t="shared" si="106"/>
        <v>0</v>
      </c>
      <c r="AA356" s="205">
        <f t="shared" si="107"/>
        <v>0</v>
      </c>
      <c r="AB356" s="209">
        <f t="shared" si="108"/>
        <v>0</v>
      </c>
      <c r="AC356" s="205">
        <f t="shared" si="109"/>
        <v>0</v>
      </c>
      <c r="AD356" s="210">
        <f t="shared" si="110"/>
        <v>5.1041666666642413</v>
      </c>
      <c r="AE356" s="210">
        <f t="shared" si="111"/>
        <v>0</v>
      </c>
      <c r="AF356" s="210">
        <f t="shared" si="112"/>
        <v>5.1041666666642413</v>
      </c>
      <c r="AG356" s="210">
        <f t="shared" si="113"/>
        <v>0</v>
      </c>
    </row>
    <row r="357" spans="2:33" ht="15" customHeight="1" x14ac:dyDescent="0.3">
      <c r="B357" s="196" t="s">
        <v>7</v>
      </c>
      <c r="C357" s="197" t="s">
        <v>15</v>
      </c>
      <c r="D357" s="198" t="str">
        <f t="shared" si="95"/>
        <v>C</v>
      </c>
      <c r="E357" s="199">
        <v>43543.333333333336</v>
      </c>
      <c r="F357" s="200" t="s">
        <v>120</v>
      </c>
      <c r="G357" s="201">
        <v>1.59701</v>
      </c>
      <c r="H357" s="201">
        <v>1.5922700000000001</v>
      </c>
      <c r="I357" s="202">
        <f t="shared" si="96"/>
        <v>4.7399999999999665E-3</v>
      </c>
      <c r="J357" s="201">
        <v>1.6476200000000001</v>
      </c>
      <c r="K357" s="199">
        <v>43544.443749999999</v>
      </c>
      <c r="L357" s="201">
        <v>1.60026</v>
      </c>
      <c r="M357" s="203">
        <f t="shared" si="97"/>
        <v>3.2000000000000002E-3</v>
      </c>
      <c r="N357" s="204">
        <f t="shared" si="98"/>
        <v>0.68</v>
      </c>
      <c r="O357" s="205">
        <f t="shared" si="99"/>
        <v>0</v>
      </c>
      <c r="P357" s="206">
        <f t="shared" si="100"/>
        <v>0.68</v>
      </c>
      <c r="Q357" s="206">
        <f t="shared" si="101"/>
        <v>0</v>
      </c>
      <c r="R35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5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135210</v>
      </c>
      <c r="T35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136300</v>
      </c>
      <c r="U357" s="208">
        <f ca="1">IF(Tabla33610673[[#This Row],[Equity]]&lt;Tabla33610673[[#This Row],[Equity Peak]],(Tabla33610673[[#This Row],[Equity Peak]]-Tabla33610673[[#This Row],[Equity]])/Tabla33610673[[#This Row],[Equity Peak]],"")</f>
        <v>7.9970652971386655E-3</v>
      </c>
      <c r="V357" s="209">
        <f t="shared" si="102"/>
        <v>0.68</v>
      </c>
      <c r="W357" s="209">
        <f t="shared" si="103"/>
        <v>0</v>
      </c>
      <c r="X357" s="209">
        <f t="shared" si="104"/>
        <v>0</v>
      </c>
      <c r="Y357" s="209">
        <f t="shared" si="105"/>
        <v>0</v>
      </c>
      <c r="Z357" s="209">
        <f t="shared" si="106"/>
        <v>0</v>
      </c>
      <c r="AA357" s="205">
        <f t="shared" si="107"/>
        <v>0</v>
      </c>
      <c r="AB357" s="209">
        <f t="shared" si="108"/>
        <v>0</v>
      </c>
      <c r="AC357" s="205">
        <f t="shared" si="109"/>
        <v>0</v>
      </c>
      <c r="AD357" s="210">
        <f t="shared" si="110"/>
        <v>1.1104166666627862</v>
      </c>
      <c r="AE357" s="210">
        <f t="shared" si="111"/>
        <v>1.1104166666627862</v>
      </c>
      <c r="AF357" s="210">
        <f t="shared" si="112"/>
        <v>0</v>
      </c>
      <c r="AG357" s="210">
        <f t="shared" si="113"/>
        <v>0</v>
      </c>
    </row>
    <row r="358" spans="2:33" ht="15" customHeight="1" x14ac:dyDescent="0.3">
      <c r="B358" s="196" t="s">
        <v>5</v>
      </c>
      <c r="C358" s="197" t="s">
        <v>15</v>
      </c>
      <c r="D358" s="198" t="str">
        <f t="shared" si="95"/>
        <v>C</v>
      </c>
      <c r="E358" s="199">
        <v>43537.017361111109</v>
      </c>
      <c r="F358" s="200" t="s">
        <v>94</v>
      </c>
      <c r="G358" s="201">
        <v>7160.69</v>
      </c>
      <c r="H358" s="201">
        <v>7091.64</v>
      </c>
      <c r="I358" s="202">
        <f t="shared" si="96"/>
        <v>69.049999999999272</v>
      </c>
      <c r="J358" s="201">
        <v>7505.95</v>
      </c>
      <c r="K358" s="199">
        <v>43543.940972222219</v>
      </c>
      <c r="L358" s="201">
        <v>7293.22</v>
      </c>
      <c r="M358" s="203">
        <f t="shared" si="97"/>
        <v>132.53</v>
      </c>
      <c r="N358" s="204">
        <f t="shared" si="98"/>
        <v>1.92</v>
      </c>
      <c r="O358" s="205">
        <f t="shared" si="99"/>
        <v>0</v>
      </c>
      <c r="P358" s="206">
        <f t="shared" si="100"/>
        <v>1.92</v>
      </c>
      <c r="Q358" s="206">
        <f t="shared" si="101"/>
        <v>0</v>
      </c>
      <c r="R35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5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134530</v>
      </c>
      <c r="T35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136300</v>
      </c>
      <c r="U358" s="208">
        <f ca="1">IF(Tabla33610673[[#This Row],[Equity]]&lt;Tabla33610673[[#This Row],[Equity Peak]],(Tabla33610673[[#This Row],[Equity Peak]]-Tabla33610673[[#This Row],[Equity]])/Tabla33610673[[#This Row],[Equity Peak]],"")</f>
        <v>1.2986060161408658E-2</v>
      </c>
      <c r="V358" s="209">
        <f t="shared" si="102"/>
        <v>0</v>
      </c>
      <c r="W358" s="209">
        <f t="shared" si="103"/>
        <v>0</v>
      </c>
      <c r="X358" s="209">
        <f t="shared" si="104"/>
        <v>0</v>
      </c>
      <c r="Y358" s="209">
        <f t="shared" si="105"/>
        <v>0</v>
      </c>
      <c r="Z358" s="209">
        <f t="shared" si="106"/>
        <v>1.92</v>
      </c>
      <c r="AA358" s="205">
        <f t="shared" si="107"/>
        <v>0</v>
      </c>
      <c r="AB358" s="209">
        <f t="shared" si="108"/>
        <v>0</v>
      </c>
      <c r="AC358" s="205">
        <f t="shared" si="109"/>
        <v>0</v>
      </c>
      <c r="AD358" s="210">
        <f t="shared" si="110"/>
        <v>6.9236111111094942</v>
      </c>
      <c r="AE358" s="210">
        <f t="shared" si="111"/>
        <v>6.9236111111094942</v>
      </c>
      <c r="AF358" s="210">
        <f t="shared" si="112"/>
        <v>0</v>
      </c>
      <c r="AG358" s="210">
        <f t="shared" si="113"/>
        <v>0</v>
      </c>
    </row>
    <row r="359" spans="2:33" ht="15" customHeight="1" x14ac:dyDescent="0.3">
      <c r="B359" s="196" t="s">
        <v>5</v>
      </c>
      <c r="C359" s="197" t="s">
        <v>15</v>
      </c>
      <c r="D359" s="198" t="str">
        <f t="shared" si="95"/>
        <v>C</v>
      </c>
      <c r="E359" s="199">
        <v>43537.017361111109</v>
      </c>
      <c r="F359" s="200" t="s">
        <v>93</v>
      </c>
      <c r="G359" s="201">
        <v>2792.06</v>
      </c>
      <c r="H359" s="201">
        <v>2776.29</v>
      </c>
      <c r="I359" s="202">
        <f t="shared" si="96"/>
        <v>15.769999999999982</v>
      </c>
      <c r="J359" s="201">
        <v>2834.13</v>
      </c>
      <c r="K359" s="199">
        <v>43542.743750000001</v>
      </c>
      <c r="L359" s="201">
        <v>2834.13</v>
      </c>
      <c r="M359" s="203">
        <f t="shared" si="97"/>
        <v>42.07</v>
      </c>
      <c r="N359" s="204">
        <f t="shared" si="98"/>
        <v>2.67</v>
      </c>
      <c r="O359" s="205">
        <f t="shared" si="99"/>
        <v>0</v>
      </c>
      <c r="P359" s="206">
        <f t="shared" si="100"/>
        <v>2.67</v>
      </c>
      <c r="Q359" s="206">
        <f t="shared" si="101"/>
        <v>0</v>
      </c>
      <c r="R35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5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132610</v>
      </c>
      <c r="T35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136300</v>
      </c>
      <c r="U359" s="208">
        <f ca="1">IF(Tabla33610673[[#This Row],[Equity]]&lt;Tabla33610673[[#This Row],[Equity Peak]],(Tabla33610673[[#This Row],[Equity Peak]]-Tabla33610673[[#This Row],[Equity]])/Tabla33610673[[#This Row],[Equity Peak]],"")</f>
        <v>2.7072633895818047E-2</v>
      </c>
      <c r="V359" s="209">
        <f t="shared" si="102"/>
        <v>0</v>
      </c>
      <c r="W359" s="209">
        <f t="shared" si="103"/>
        <v>0</v>
      </c>
      <c r="X359" s="209">
        <f t="shared" si="104"/>
        <v>0</v>
      </c>
      <c r="Y359" s="209">
        <f t="shared" si="105"/>
        <v>0</v>
      </c>
      <c r="Z359" s="209">
        <f t="shared" si="106"/>
        <v>2.67</v>
      </c>
      <c r="AA359" s="205">
        <f t="shared" si="107"/>
        <v>0</v>
      </c>
      <c r="AB359" s="209">
        <f t="shared" si="108"/>
        <v>0</v>
      </c>
      <c r="AC359" s="205">
        <f t="shared" si="109"/>
        <v>0</v>
      </c>
      <c r="AD359" s="210">
        <f t="shared" si="110"/>
        <v>5.726388888891961</v>
      </c>
      <c r="AE359" s="210">
        <f t="shared" si="111"/>
        <v>5.726388888891961</v>
      </c>
      <c r="AF359" s="210">
        <f t="shared" si="112"/>
        <v>0</v>
      </c>
      <c r="AG359" s="210">
        <f t="shared" si="113"/>
        <v>0</v>
      </c>
    </row>
    <row r="360" spans="2:33" ht="15" customHeight="1" x14ac:dyDescent="0.3">
      <c r="B360" s="196" t="s">
        <v>7</v>
      </c>
      <c r="C360" s="197" t="s">
        <v>13</v>
      </c>
      <c r="D360" s="198" t="str">
        <f t="shared" si="95"/>
        <v>C</v>
      </c>
      <c r="E360" s="199">
        <v>43542.333333333336</v>
      </c>
      <c r="F360" s="200" t="s">
        <v>120</v>
      </c>
      <c r="G360" s="201">
        <v>1.5933900000000001</v>
      </c>
      <c r="H360" s="201">
        <v>1.5984100000000001</v>
      </c>
      <c r="I360" s="202">
        <f t="shared" si="96"/>
        <v>5.0200000000000244E-3</v>
      </c>
      <c r="J360" s="201">
        <v>1.53989</v>
      </c>
      <c r="K360" s="199">
        <v>43542.603472222225</v>
      </c>
      <c r="L360" s="201">
        <v>1.5984100000000001</v>
      </c>
      <c r="M360" s="203">
        <f t="shared" si="97"/>
        <v>-5.0000000000000001E-3</v>
      </c>
      <c r="N360" s="204">
        <f t="shared" si="98"/>
        <v>-1</v>
      </c>
      <c r="O360" s="205">
        <f t="shared" si="99"/>
        <v>0</v>
      </c>
      <c r="P360" s="206">
        <f t="shared" si="100"/>
        <v>0</v>
      </c>
      <c r="Q360" s="206">
        <f t="shared" si="101"/>
        <v>-1</v>
      </c>
      <c r="R36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6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129940</v>
      </c>
      <c r="T36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136300</v>
      </c>
      <c r="U360" s="208">
        <f ca="1">IF(Tabla33610673[[#This Row],[Equity]]&lt;Tabla33610673[[#This Row],[Equity Peak]],(Tabla33610673[[#This Row],[Equity Peak]]-Tabla33610673[[#This Row],[Equity]])/Tabla33610673[[#This Row],[Equity Peak]],"")</f>
        <v>4.6661775495231109E-2</v>
      </c>
      <c r="V360" s="209">
        <f t="shared" si="102"/>
        <v>-1</v>
      </c>
      <c r="W360" s="209">
        <f t="shared" si="103"/>
        <v>0</v>
      </c>
      <c r="X360" s="209">
        <f t="shared" si="104"/>
        <v>0</v>
      </c>
      <c r="Y360" s="209">
        <f t="shared" si="105"/>
        <v>0</v>
      </c>
      <c r="Z360" s="209">
        <f t="shared" si="106"/>
        <v>0</v>
      </c>
      <c r="AA360" s="205">
        <f t="shared" si="107"/>
        <v>0</v>
      </c>
      <c r="AB360" s="209">
        <f t="shared" si="108"/>
        <v>0</v>
      </c>
      <c r="AC360" s="205">
        <f t="shared" si="109"/>
        <v>0</v>
      </c>
      <c r="AD360" s="210">
        <f t="shared" si="110"/>
        <v>0.27013888888905058</v>
      </c>
      <c r="AE360" s="210">
        <f t="shared" si="111"/>
        <v>0</v>
      </c>
      <c r="AF360" s="210">
        <f t="shared" si="112"/>
        <v>0.27013888888905058</v>
      </c>
      <c r="AG360" s="210">
        <f t="shared" si="113"/>
        <v>0</v>
      </c>
    </row>
    <row r="361" spans="2:33" ht="15" customHeight="1" x14ac:dyDescent="0.3">
      <c r="B361" s="196" t="s">
        <v>7</v>
      </c>
      <c r="C361" s="197" t="s">
        <v>15</v>
      </c>
      <c r="D361" s="198" t="str">
        <f t="shared" si="95"/>
        <v>C</v>
      </c>
      <c r="E361" s="199">
        <v>43537.833333333336</v>
      </c>
      <c r="F361" s="200" t="s">
        <v>116</v>
      </c>
      <c r="G361" s="201">
        <v>1.8664499999999999</v>
      </c>
      <c r="H361" s="201">
        <v>1.84537</v>
      </c>
      <c r="I361" s="202">
        <f t="shared" si="96"/>
        <v>2.1079999999999988E-2</v>
      </c>
      <c r="J361" s="201">
        <v>1.93672</v>
      </c>
      <c r="K361" s="199">
        <v>43539.433333333334</v>
      </c>
      <c r="L361" s="201">
        <v>1.86493</v>
      </c>
      <c r="M361" s="203">
        <f t="shared" si="97"/>
        <v>-1.5E-3</v>
      </c>
      <c r="N361" s="204">
        <f t="shared" si="98"/>
        <v>-7.0000000000000007E-2</v>
      </c>
      <c r="O361" s="205">
        <f t="shared" si="99"/>
        <v>0</v>
      </c>
      <c r="P361" s="206">
        <f t="shared" si="100"/>
        <v>0</v>
      </c>
      <c r="Q361" s="206">
        <f t="shared" si="101"/>
        <v>-7.0000000000000007E-2</v>
      </c>
      <c r="R36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6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130940</v>
      </c>
      <c r="T36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136300</v>
      </c>
      <c r="U361" s="208">
        <f ca="1">IF(Tabla33610673[[#This Row],[Equity]]&lt;Tabla33610673[[#This Row],[Equity Peak]],(Tabla33610673[[#This Row],[Equity Peak]]-Tabla33610673[[#This Row],[Equity]])/Tabla33610673[[#This Row],[Equity Peak]],"")</f>
        <v>3.9325018341892885E-2</v>
      </c>
      <c r="V361" s="209">
        <f t="shared" si="102"/>
        <v>-7.0000000000000007E-2</v>
      </c>
      <c r="W361" s="209">
        <f t="shared" si="103"/>
        <v>0</v>
      </c>
      <c r="X361" s="209">
        <f t="shared" si="104"/>
        <v>0</v>
      </c>
      <c r="Y361" s="209">
        <f t="shared" si="105"/>
        <v>0</v>
      </c>
      <c r="Z361" s="209">
        <f t="shared" si="106"/>
        <v>0</v>
      </c>
      <c r="AA361" s="205">
        <f t="shared" si="107"/>
        <v>0</v>
      </c>
      <c r="AB361" s="209">
        <f t="shared" si="108"/>
        <v>0</v>
      </c>
      <c r="AC361" s="205">
        <f t="shared" si="109"/>
        <v>0</v>
      </c>
      <c r="AD361" s="210">
        <f t="shared" si="110"/>
        <v>1.5999999999985448</v>
      </c>
      <c r="AE361" s="210">
        <f t="shared" si="111"/>
        <v>0</v>
      </c>
      <c r="AF361" s="210">
        <f t="shared" si="112"/>
        <v>1.5999999999985448</v>
      </c>
      <c r="AG361" s="210">
        <f t="shared" si="113"/>
        <v>0</v>
      </c>
    </row>
    <row r="362" spans="2:33" ht="15" customHeight="1" x14ac:dyDescent="0.3">
      <c r="B362" s="196" t="s">
        <v>7</v>
      </c>
      <c r="C362" s="197" t="s">
        <v>15</v>
      </c>
      <c r="D362" s="198" t="str">
        <f t="shared" si="95"/>
        <v>C</v>
      </c>
      <c r="E362" s="199">
        <v>43538.333333333336</v>
      </c>
      <c r="F362" s="200" t="s">
        <v>113</v>
      </c>
      <c r="G362" s="201">
        <v>111.593</v>
      </c>
      <c r="H362" s="201">
        <v>110.95699999999999</v>
      </c>
      <c r="I362" s="202">
        <f t="shared" si="96"/>
        <v>0.63600000000000989</v>
      </c>
      <c r="J362" s="201">
        <v>114.562</v>
      </c>
      <c r="K362" s="199">
        <v>43539.275694444441</v>
      </c>
      <c r="L362" s="201">
        <v>111.51300000000001</v>
      </c>
      <c r="M362" s="203">
        <f t="shared" si="97"/>
        <v>-0.08</v>
      </c>
      <c r="N362" s="204">
        <f t="shared" si="98"/>
        <v>-0.13</v>
      </c>
      <c r="O362" s="205">
        <f t="shared" si="99"/>
        <v>0</v>
      </c>
      <c r="P362" s="206">
        <f t="shared" si="100"/>
        <v>0</v>
      </c>
      <c r="Q362" s="206">
        <f t="shared" si="101"/>
        <v>-0.13</v>
      </c>
      <c r="R36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6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131010</v>
      </c>
      <c r="T36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136300</v>
      </c>
      <c r="U362" s="208">
        <f ca="1">IF(Tabla33610673[[#This Row],[Equity]]&lt;Tabla33610673[[#This Row],[Equity Peak]],(Tabla33610673[[#This Row],[Equity Peak]]-Tabla33610673[[#This Row],[Equity]])/Tabla33610673[[#This Row],[Equity Peak]],"")</f>
        <v>3.8811445341159205E-2</v>
      </c>
      <c r="V362" s="209">
        <f t="shared" si="102"/>
        <v>-0.13</v>
      </c>
      <c r="W362" s="209">
        <f t="shared" si="103"/>
        <v>0</v>
      </c>
      <c r="X362" s="209">
        <f t="shared" si="104"/>
        <v>0</v>
      </c>
      <c r="Y362" s="209">
        <f t="shared" si="105"/>
        <v>0</v>
      </c>
      <c r="Z362" s="209">
        <f t="shared" si="106"/>
        <v>0</v>
      </c>
      <c r="AA362" s="205">
        <f t="shared" si="107"/>
        <v>0</v>
      </c>
      <c r="AB362" s="209">
        <f t="shared" si="108"/>
        <v>0</v>
      </c>
      <c r="AC362" s="205">
        <f t="shared" si="109"/>
        <v>0</v>
      </c>
      <c r="AD362" s="210">
        <f t="shared" si="110"/>
        <v>0.94236111110512866</v>
      </c>
      <c r="AE362" s="210">
        <f t="shared" si="111"/>
        <v>0</v>
      </c>
      <c r="AF362" s="210">
        <f t="shared" si="112"/>
        <v>0.94236111110512866</v>
      </c>
      <c r="AG362" s="210">
        <f t="shared" si="113"/>
        <v>0</v>
      </c>
    </row>
    <row r="363" spans="2:33" ht="15" customHeight="1" x14ac:dyDescent="0.3">
      <c r="B363" s="196" t="s">
        <v>7</v>
      </c>
      <c r="C363" s="197" t="s">
        <v>15</v>
      </c>
      <c r="D363" s="198" t="str">
        <f t="shared" si="95"/>
        <v>C</v>
      </c>
      <c r="E363" s="199">
        <v>43537.333333333336</v>
      </c>
      <c r="F363" s="200" t="s">
        <v>120</v>
      </c>
      <c r="G363" s="201">
        <v>1.5993900000000001</v>
      </c>
      <c r="H363" s="201">
        <v>1.5938300000000001</v>
      </c>
      <c r="I363" s="202">
        <f t="shared" si="96"/>
        <v>5.5600000000000094E-3</v>
      </c>
      <c r="J363" s="201">
        <v>1.6586799999999999</v>
      </c>
      <c r="K363" s="199">
        <v>43539.103472222225</v>
      </c>
      <c r="L363" s="201">
        <v>1.59768</v>
      </c>
      <c r="M363" s="203">
        <f t="shared" si="97"/>
        <v>-1.6999999999999999E-3</v>
      </c>
      <c r="N363" s="204">
        <f t="shared" si="98"/>
        <v>-0.31</v>
      </c>
      <c r="O363" s="205">
        <f t="shared" si="99"/>
        <v>0</v>
      </c>
      <c r="P363" s="206">
        <f t="shared" si="100"/>
        <v>0</v>
      </c>
      <c r="Q363" s="206">
        <f t="shared" si="101"/>
        <v>-0.31</v>
      </c>
      <c r="R36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6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131140</v>
      </c>
      <c r="T36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136300</v>
      </c>
      <c r="U363" s="208">
        <f ca="1">IF(Tabla33610673[[#This Row],[Equity]]&lt;Tabla33610673[[#This Row],[Equity Peak]],(Tabla33610673[[#This Row],[Equity Peak]]-Tabla33610673[[#This Row],[Equity]])/Tabla33610673[[#This Row],[Equity Peak]],"")</f>
        <v>3.7857666911225239E-2</v>
      </c>
      <c r="V363" s="209">
        <f t="shared" si="102"/>
        <v>-0.31</v>
      </c>
      <c r="W363" s="209">
        <f t="shared" si="103"/>
        <v>0</v>
      </c>
      <c r="X363" s="209">
        <f t="shared" si="104"/>
        <v>0</v>
      </c>
      <c r="Y363" s="209">
        <f t="shared" si="105"/>
        <v>0</v>
      </c>
      <c r="Z363" s="209">
        <f t="shared" si="106"/>
        <v>0</v>
      </c>
      <c r="AA363" s="205">
        <f t="shared" si="107"/>
        <v>0</v>
      </c>
      <c r="AB363" s="209">
        <f t="shared" si="108"/>
        <v>0</v>
      </c>
      <c r="AC363" s="205">
        <f t="shared" si="109"/>
        <v>0</v>
      </c>
      <c r="AD363" s="210">
        <f t="shared" si="110"/>
        <v>1.7701388888890506</v>
      </c>
      <c r="AE363" s="210">
        <f t="shared" si="111"/>
        <v>0</v>
      </c>
      <c r="AF363" s="210">
        <f t="shared" si="112"/>
        <v>1.7701388888890506</v>
      </c>
      <c r="AG363" s="210">
        <f t="shared" si="113"/>
        <v>0</v>
      </c>
    </row>
    <row r="364" spans="2:33" ht="15" customHeight="1" x14ac:dyDescent="0.3">
      <c r="B364" s="196" t="s">
        <v>19</v>
      </c>
      <c r="C364" s="197" t="s">
        <v>15</v>
      </c>
      <c r="D364" s="198" t="str">
        <f t="shared" si="95"/>
        <v>C</v>
      </c>
      <c r="E364" s="199">
        <v>43537.208333333336</v>
      </c>
      <c r="F364" s="200" t="s">
        <v>88</v>
      </c>
      <c r="G364" s="201">
        <v>1304.04</v>
      </c>
      <c r="H364" s="201">
        <v>1295.8900000000001</v>
      </c>
      <c r="I364" s="202">
        <f t="shared" si="96"/>
        <v>8.1499999999998636</v>
      </c>
      <c r="J364" s="201">
        <v>1356.22</v>
      </c>
      <c r="K364" s="199">
        <v>43538.450694444444</v>
      </c>
      <c r="L364" s="201">
        <v>1300.76</v>
      </c>
      <c r="M364" s="203">
        <f t="shared" si="97"/>
        <v>-3.28</v>
      </c>
      <c r="N364" s="204">
        <f t="shared" si="98"/>
        <v>-0.4</v>
      </c>
      <c r="O364" s="205">
        <f t="shared" si="99"/>
        <v>0</v>
      </c>
      <c r="P364" s="206">
        <f t="shared" si="100"/>
        <v>0</v>
      </c>
      <c r="Q364" s="206">
        <f t="shared" si="101"/>
        <v>-0.4</v>
      </c>
      <c r="R36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6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131450</v>
      </c>
      <c r="T36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136300</v>
      </c>
      <c r="U364" s="208">
        <f ca="1">IF(Tabla33610673[[#This Row],[Equity]]&lt;Tabla33610673[[#This Row],[Equity Peak]],(Tabla33610673[[#This Row],[Equity Peak]]-Tabla33610673[[#This Row],[Equity]])/Tabla33610673[[#This Row],[Equity Peak]],"")</f>
        <v>3.5583272193690389E-2</v>
      </c>
      <c r="V364" s="209">
        <f t="shared" si="102"/>
        <v>0</v>
      </c>
      <c r="W364" s="209">
        <f t="shared" si="103"/>
        <v>0</v>
      </c>
      <c r="X364" s="209">
        <f t="shared" si="104"/>
        <v>-0.4</v>
      </c>
      <c r="Y364" s="209">
        <f t="shared" si="105"/>
        <v>0</v>
      </c>
      <c r="Z364" s="209">
        <f t="shared" si="106"/>
        <v>0</v>
      </c>
      <c r="AA364" s="205">
        <f t="shared" si="107"/>
        <v>0</v>
      </c>
      <c r="AB364" s="209">
        <f t="shared" si="108"/>
        <v>0</v>
      </c>
      <c r="AC364" s="205">
        <f t="shared" si="109"/>
        <v>0</v>
      </c>
      <c r="AD364" s="210">
        <f t="shared" si="110"/>
        <v>1.242361111108039</v>
      </c>
      <c r="AE364" s="210">
        <f t="shared" si="111"/>
        <v>0</v>
      </c>
      <c r="AF364" s="210">
        <f t="shared" si="112"/>
        <v>1.242361111108039</v>
      </c>
      <c r="AG364" s="210">
        <f t="shared" si="113"/>
        <v>0</v>
      </c>
    </row>
    <row r="365" spans="2:33" ht="15" customHeight="1" x14ac:dyDescent="0.3">
      <c r="B365" s="196" t="s">
        <v>7</v>
      </c>
      <c r="C365" s="197" t="s">
        <v>13</v>
      </c>
      <c r="D365" s="198" t="str">
        <f t="shared" si="95"/>
        <v>C</v>
      </c>
      <c r="E365" s="199">
        <v>43525.017361111109</v>
      </c>
      <c r="F365" s="200" t="s">
        <v>121</v>
      </c>
      <c r="G365" s="201">
        <v>0.70928999999999998</v>
      </c>
      <c r="H365" s="201">
        <v>0.7127</v>
      </c>
      <c r="I365" s="202">
        <f t="shared" si="96"/>
        <v>3.4100000000000241E-3</v>
      </c>
      <c r="J365" s="201">
        <v>0.69111</v>
      </c>
      <c r="K365" s="199">
        <v>43537.934027777781</v>
      </c>
      <c r="L365" s="201">
        <v>0.70931</v>
      </c>
      <c r="M365" s="203">
        <f t="shared" si="97"/>
        <v>0</v>
      </c>
      <c r="N365" s="204">
        <f t="shared" si="98"/>
        <v>0</v>
      </c>
      <c r="O365" s="205">
        <f t="shared" si="99"/>
        <v>0</v>
      </c>
      <c r="P365" s="206">
        <f t="shared" si="100"/>
        <v>0</v>
      </c>
      <c r="Q365" s="206">
        <f t="shared" si="101"/>
        <v>0</v>
      </c>
      <c r="R36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6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131850</v>
      </c>
      <c r="T36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136300</v>
      </c>
      <c r="U365" s="208">
        <f ca="1">IF(Tabla33610673[[#This Row],[Equity]]&lt;Tabla33610673[[#This Row],[Equity Peak]],(Tabla33610673[[#This Row],[Equity Peak]]-Tabla33610673[[#This Row],[Equity]])/Tabla33610673[[#This Row],[Equity Peak]],"")</f>
        <v>3.2648569332355097E-2</v>
      </c>
      <c r="V365" s="209">
        <f t="shared" si="102"/>
        <v>0</v>
      </c>
      <c r="W365" s="209">
        <f t="shared" si="103"/>
        <v>0</v>
      </c>
      <c r="X365" s="209">
        <f t="shared" si="104"/>
        <v>0</v>
      </c>
      <c r="Y365" s="209">
        <f t="shared" si="105"/>
        <v>0</v>
      </c>
      <c r="Z365" s="209">
        <f t="shared" si="106"/>
        <v>0</v>
      </c>
      <c r="AA365" s="205">
        <f t="shared" si="107"/>
        <v>0</v>
      </c>
      <c r="AB365" s="209">
        <f t="shared" si="108"/>
        <v>0</v>
      </c>
      <c r="AC365" s="205">
        <f t="shared" si="109"/>
        <v>0</v>
      </c>
      <c r="AD365" s="210">
        <f t="shared" si="110"/>
        <v>12.916666666671517</v>
      </c>
      <c r="AE365" s="210">
        <f t="shared" si="111"/>
        <v>0</v>
      </c>
      <c r="AF365" s="210">
        <f t="shared" si="112"/>
        <v>0</v>
      </c>
      <c r="AG365" s="210">
        <f t="shared" si="113"/>
        <v>12.916666666671517</v>
      </c>
    </row>
    <row r="366" spans="2:33" ht="15" customHeight="1" x14ac:dyDescent="0.3">
      <c r="B366" s="196" t="s">
        <v>7</v>
      </c>
      <c r="C366" s="197" t="s">
        <v>15</v>
      </c>
      <c r="D366" s="198" t="str">
        <f t="shared" si="95"/>
        <v>C</v>
      </c>
      <c r="E366" s="199">
        <v>43537.666666666664</v>
      </c>
      <c r="F366" s="200" t="s">
        <v>113</v>
      </c>
      <c r="G366" s="201">
        <v>111.39400000000001</v>
      </c>
      <c r="H366" s="201">
        <v>110.809</v>
      </c>
      <c r="I366" s="202">
        <f t="shared" si="96"/>
        <v>0.58500000000000796</v>
      </c>
      <c r="J366" s="201">
        <v>114.124</v>
      </c>
      <c r="K366" s="199">
        <v>43537.915972222225</v>
      </c>
      <c r="L366" s="201">
        <v>111.102</v>
      </c>
      <c r="M366" s="203">
        <f t="shared" si="97"/>
        <v>-0.29199999999999998</v>
      </c>
      <c r="N366" s="204">
        <f t="shared" si="98"/>
        <v>-0.5</v>
      </c>
      <c r="O366" s="205">
        <f t="shared" si="99"/>
        <v>0</v>
      </c>
      <c r="P366" s="206">
        <f t="shared" si="100"/>
        <v>0</v>
      </c>
      <c r="Q366" s="206">
        <f t="shared" si="101"/>
        <v>-0.5</v>
      </c>
      <c r="R36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6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131850</v>
      </c>
      <c r="T36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136300</v>
      </c>
      <c r="U366" s="208">
        <f ca="1">IF(Tabla33610673[[#This Row],[Equity]]&lt;Tabla33610673[[#This Row],[Equity Peak]],(Tabla33610673[[#This Row],[Equity Peak]]-Tabla33610673[[#This Row],[Equity]])/Tabla33610673[[#This Row],[Equity Peak]],"")</f>
        <v>3.2648569332355097E-2</v>
      </c>
      <c r="V366" s="209">
        <f t="shared" si="102"/>
        <v>-0.5</v>
      </c>
      <c r="W366" s="209">
        <f t="shared" si="103"/>
        <v>0</v>
      </c>
      <c r="X366" s="209">
        <f t="shared" si="104"/>
        <v>0</v>
      </c>
      <c r="Y366" s="209">
        <f t="shared" si="105"/>
        <v>0</v>
      </c>
      <c r="Z366" s="209">
        <f t="shared" si="106"/>
        <v>0</v>
      </c>
      <c r="AA366" s="205">
        <f t="shared" si="107"/>
        <v>0</v>
      </c>
      <c r="AB366" s="209">
        <f t="shared" si="108"/>
        <v>0</v>
      </c>
      <c r="AC366" s="205">
        <f t="shared" si="109"/>
        <v>0</v>
      </c>
      <c r="AD366" s="210">
        <f t="shared" si="110"/>
        <v>0.24930555556056788</v>
      </c>
      <c r="AE366" s="210">
        <f t="shared" si="111"/>
        <v>0</v>
      </c>
      <c r="AF366" s="210">
        <f t="shared" si="112"/>
        <v>0.24930555556056788</v>
      </c>
      <c r="AG366" s="210">
        <f t="shared" si="113"/>
        <v>0</v>
      </c>
    </row>
    <row r="367" spans="2:33" ht="15" customHeight="1" x14ac:dyDescent="0.3">
      <c r="B367" s="196" t="s">
        <v>5</v>
      </c>
      <c r="C367" s="197" t="s">
        <v>15</v>
      </c>
      <c r="D367" s="198" t="str">
        <f t="shared" si="95"/>
        <v>C</v>
      </c>
      <c r="E367" s="199">
        <v>43536.333333333336</v>
      </c>
      <c r="F367" s="200" t="s">
        <v>95</v>
      </c>
      <c r="G367" s="201">
        <v>25746.3</v>
      </c>
      <c r="H367" s="201">
        <v>25528.16</v>
      </c>
      <c r="I367" s="202">
        <f t="shared" si="96"/>
        <v>218.13999999999942</v>
      </c>
      <c r="J367" s="201">
        <v>26618.86</v>
      </c>
      <c r="K367" s="199">
        <v>43536.775694444441</v>
      </c>
      <c r="L367" s="201">
        <v>25528.16</v>
      </c>
      <c r="M367" s="203">
        <f t="shared" si="97"/>
        <v>-218.14</v>
      </c>
      <c r="N367" s="204">
        <f t="shared" si="98"/>
        <v>-1</v>
      </c>
      <c r="O367" s="205">
        <f t="shared" si="99"/>
        <v>0</v>
      </c>
      <c r="P367" s="206">
        <f t="shared" si="100"/>
        <v>0</v>
      </c>
      <c r="Q367" s="206">
        <f t="shared" si="101"/>
        <v>-1</v>
      </c>
      <c r="R36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6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132350</v>
      </c>
      <c r="T36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136300</v>
      </c>
      <c r="U367" s="208">
        <f ca="1">IF(Tabla33610673[[#This Row],[Equity]]&lt;Tabla33610673[[#This Row],[Equity Peak]],(Tabla33610673[[#This Row],[Equity Peak]]-Tabla33610673[[#This Row],[Equity]])/Tabla33610673[[#This Row],[Equity Peak]],"")</f>
        <v>2.8980190755685985E-2</v>
      </c>
      <c r="V367" s="209">
        <f t="shared" si="102"/>
        <v>0</v>
      </c>
      <c r="W367" s="209">
        <f t="shared" si="103"/>
        <v>0</v>
      </c>
      <c r="X367" s="209">
        <f t="shared" si="104"/>
        <v>0</v>
      </c>
      <c r="Y367" s="209">
        <f t="shared" si="105"/>
        <v>0</v>
      </c>
      <c r="Z367" s="209">
        <f t="shared" si="106"/>
        <v>-1</v>
      </c>
      <c r="AA367" s="205">
        <f t="shared" si="107"/>
        <v>0</v>
      </c>
      <c r="AB367" s="209">
        <f t="shared" si="108"/>
        <v>0</v>
      </c>
      <c r="AC367" s="205">
        <f t="shared" si="109"/>
        <v>0</v>
      </c>
      <c r="AD367" s="210">
        <f t="shared" si="110"/>
        <v>0.44236111110512866</v>
      </c>
      <c r="AE367" s="210">
        <f t="shared" si="111"/>
        <v>0</v>
      </c>
      <c r="AF367" s="210">
        <f t="shared" si="112"/>
        <v>0.44236111110512866</v>
      </c>
      <c r="AG367" s="210">
        <f t="shared" si="113"/>
        <v>0</v>
      </c>
    </row>
    <row r="368" spans="2:33" ht="15" customHeight="1" x14ac:dyDescent="0.3">
      <c r="B368" s="196" t="s">
        <v>7</v>
      </c>
      <c r="C368" s="197" t="s">
        <v>15</v>
      </c>
      <c r="D368" s="198" t="str">
        <f t="shared" si="95"/>
        <v>C</v>
      </c>
      <c r="E368" s="199">
        <v>43536.166666666664</v>
      </c>
      <c r="F368" s="200" t="s">
        <v>116</v>
      </c>
      <c r="G368" s="201">
        <v>1.87151</v>
      </c>
      <c r="H368" s="201">
        <v>1.85164</v>
      </c>
      <c r="I368" s="202">
        <f t="shared" si="96"/>
        <v>1.9870000000000054E-2</v>
      </c>
      <c r="J368" s="201">
        <v>1.93773</v>
      </c>
      <c r="K368" s="199">
        <v>43536.552777777775</v>
      </c>
      <c r="L368" s="201">
        <v>1.86147</v>
      </c>
      <c r="M368" s="203">
        <f t="shared" si="97"/>
        <v>-0.01</v>
      </c>
      <c r="N368" s="204">
        <f t="shared" si="98"/>
        <v>-0.5</v>
      </c>
      <c r="O368" s="205">
        <f t="shared" si="99"/>
        <v>0</v>
      </c>
      <c r="P368" s="206">
        <f t="shared" si="100"/>
        <v>0</v>
      </c>
      <c r="Q368" s="206">
        <f t="shared" si="101"/>
        <v>-0.5</v>
      </c>
      <c r="R36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6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133350</v>
      </c>
      <c r="T36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136300</v>
      </c>
      <c r="U368" s="208">
        <f ca="1">IF(Tabla33610673[[#This Row],[Equity]]&lt;Tabla33610673[[#This Row],[Equity Peak]],(Tabla33610673[[#This Row],[Equity Peak]]-Tabla33610673[[#This Row],[Equity]])/Tabla33610673[[#This Row],[Equity Peak]],"")</f>
        <v>2.1643433602347762E-2</v>
      </c>
      <c r="V368" s="209">
        <f t="shared" si="102"/>
        <v>-0.5</v>
      </c>
      <c r="W368" s="209">
        <f t="shared" si="103"/>
        <v>0</v>
      </c>
      <c r="X368" s="209">
        <f t="shared" si="104"/>
        <v>0</v>
      </c>
      <c r="Y368" s="209">
        <f t="shared" si="105"/>
        <v>0</v>
      </c>
      <c r="Z368" s="209">
        <f t="shared" si="106"/>
        <v>0</v>
      </c>
      <c r="AA368" s="205">
        <f t="shared" si="107"/>
        <v>0</v>
      </c>
      <c r="AB368" s="209">
        <f t="shared" si="108"/>
        <v>0</v>
      </c>
      <c r="AC368" s="205">
        <f t="shared" si="109"/>
        <v>0</v>
      </c>
      <c r="AD368" s="210">
        <f t="shared" si="110"/>
        <v>0.38611111111094942</v>
      </c>
      <c r="AE368" s="210">
        <f t="shared" si="111"/>
        <v>0</v>
      </c>
      <c r="AF368" s="210">
        <f t="shared" si="112"/>
        <v>0.38611111111094942</v>
      </c>
      <c r="AG368" s="210">
        <f t="shared" si="113"/>
        <v>0</v>
      </c>
    </row>
    <row r="369" spans="2:33" ht="15" customHeight="1" x14ac:dyDescent="0.3">
      <c r="B369" s="196" t="s">
        <v>5</v>
      </c>
      <c r="C369" s="197" t="s">
        <v>13</v>
      </c>
      <c r="D369" s="198" t="str">
        <f t="shared" si="95"/>
        <v>C</v>
      </c>
      <c r="E369" s="199">
        <v>43535.708333333336</v>
      </c>
      <c r="F369" s="200" t="s">
        <v>94</v>
      </c>
      <c r="G369" s="201">
        <v>7112.12</v>
      </c>
      <c r="H369" s="201">
        <v>7175.79</v>
      </c>
      <c r="I369" s="202">
        <f t="shared" si="96"/>
        <v>63.670000000000073</v>
      </c>
      <c r="J369" s="201">
        <v>6793.78</v>
      </c>
      <c r="K369" s="199">
        <v>43536.104166666664</v>
      </c>
      <c r="L369" s="201">
        <v>7159.37</v>
      </c>
      <c r="M369" s="203">
        <f t="shared" si="97"/>
        <v>-47.25</v>
      </c>
      <c r="N369" s="204">
        <f t="shared" si="98"/>
        <v>-0.74</v>
      </c>
      <c r="O369" s="205">
        <f t="shared" si="99"/>
        <v>0</v>
      </c>
      <c r="P369" s="206">
        <f t="shared" si="100"/>
        <v>0</v>
      </c>
      <c r="Q369" s="206">
        <f t="shared" si="101"/>
        <v>-0.74</v>
      </c>
      <c r="R36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6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133850</v>
      </c>
      <c r="T36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136300</v>
      </c>
      <c r="U369" s="208">
        <f ca="1">IF(Tabla33610673[[#This Row],[Equity]]&lt;Tabla33610673[[#This Row],[Equity Peak]],(Tabla33610673[[#This Row],[Equity Peak]]-Tabla33610673[[#This Row],[Equity]])/Tabla33610673[[#This Row],[Equity Peak]],"")</f>
        <v>1.797505502567865E-2</v>
      </c>
      <c r="V369" s="209">
        <f t="shared" si="102"/>
        <v>0</v>
      </c>
      <c r="W369" s="209">
        <f t="shared" si="103"/>
        <v>0</v>
      </c>
      <c r="X369" s="209">
        <f t="shared" si="104"/>
        <v>0</v>
      </c>
      <c r="Y369" s="209">
        <f t="shared" si="105"/>
        <v>0</v>
      </c>
      <c r="Z369" s="209">
        <f t="shared" si="106"/>
        <v>-0.74</v>
      </c>
      <c r="AA369" s="205">
        <f t="shared" si="107"/>
        <v>0</v>
      </c>
      <c r="AB369" s="209">
        <f t="shared" si="108"/>
        <v>0</v>
      </c>
      <c r="AC369" s="205">
        <f t="shared" si="109"/>
        <v>0</v>
      </c>
      <c r="AD369" s="210">
        <f t="shared" si="110"/>
        <v>0.39583333332848269</v>
      </c>
      <c r="AE369" s="210">
        <f t="shared" si="111"/>
        <v>0</v>
      </c>
      <c r="AF369" s="210">
        <f t="shared" si="112"/>
        <v>0.39583333332848269</v>
      </c>
      <c r="AG369" s="210">
        <f t="shared" si="113"/>
        <v>0</v>
      </c>
    </row>
    <row r="370" spans="2:33" ht="15" customHeight="1" x14ac:dyDescent="0.3">
      <c r="B370" s="196" t="s">
        <v>7</v>
      </c>
      <c r="C370" s="197" t="s">
        <v>13</v>
      </c>
      <c r="D370" s="198" t="str">
        <f t="shared" si="95"/>
        <v>C</v>
      </c>
      <c r="E370" s="199">
        <v>43532.017361111109</v>
      </c>
      <c r="F370" s="200" t="s">
        <v>118</v>
      </c>
      <c r="G370" s="201">
        <v>124.985</v>
      </c>
      <c r="H370" s="201">
        <v>125.794</v>
      </c>
      <c r="I370" s="202">
        <f t="shared" si="96"/>
        <v>0.8089999999999975</v>
      </c>
      <c r="J370" s="201">
        <v>121.749</v>
      </c>
      <c r="K370" s="199">
        <v>43536.078472222223</v>
      </c>
      <c r="L370" s="201">
        <v>125.292</v>
      </c>
      <c r="M370" s="203">
        <f t="shared" si="97"/>
        <v>-0.307</v>
      </c>
      <c r="N370" s="204">
        <f t="shared" si="98"/>
        <v>-0.38</v>
      </c>
      <c r="O370" s="205">
        <f t="shared" si="99"/>
        <v>0</v>
      </c>
      <c r="P370" s="206">
        <f t="shared" si="100"/>
        <v>0</v>
      </c>
      <c r="Q370" s="206">
        <f t="shared" si="101"/>
        <v>-0.38</v>
      </c>
      <c r="R37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7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134590</v>
      </c>
      <c r="T37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136300</v>
      </c>
      <c r="U370" s="208">
        <f ca="1">IF(Tabla33610673[[#This Row],[Equity]]&lt;Tabla33610673[[#This Row],[Equity Peak]],(Tabla33610673[[#This Row],[Equity Peak]]-Tabla33610673[[#This Row],[Equity]])/Tabla33610673[[#This Row],[Equity Peak]],"")</f>
        <v>1.2545854732208364E-2</v>
      </c>
      <c r="V370" s="209">
        <f t="shared" si="102"/>
        <v>-0.38</v>
      </c>
      <c r="W370" s="209">
        <f t="shared" si="103"/>
        <v>0</v>
      </c>
      <c r="X370" s="209">
        <f t="shared" si="104"/>
        <v>0</v>
      </c>
      <c r="Y370" s="209">
        <f t="shared" si="105"/>
        <v>0</v>
      </c>
      <c r="Z370" s="209">
        <f t="shared" si="106"/>
        <v>0</v>
      </c>
      <c r="AA370" s="205">
        <f t="shared" si="107"/>
        <v>0</v>
      </c>
      <c r="AB370" s="209">
        <f t="shared" si="108"/>
        <v>0</v>
      </c>
      <c r="AC370" s="205">
        <f t="shared" si="109"/>
        <v>0</v>
      </c>
      <c r="AD370" s="210">
        <f t="shared" si="110"/>
        <v>4.0611111111138598</v>
      </c>
      <c r="AE370" s="210">
        <f t="shared" si="111"/>
        <v>0</v>
      </c>
      <c r="AF370" s="210">
        <f t="shared" si="112"/>
        <v>4.0611111111138598</v>
      </c>
      <c r="AG370" s="210">
        <f t="shared" si="113"/>
        <v>0</v>
      </c>
    </row>
    <row r="371" spans="2:33" ht="15" customHeight="1" x14ac:dyDescent="0.3">
      <c r="B371" s="196" t="s">
        <v>7</v>
      </c>
      <c r="C371" s="197" t="s">
        <v>13</v>
      </c>
      <c r="D371" s="198" t="str">
        <f t="shared" si="95"/>
        <v>C</v>
      </c>
      <c r="E371" s="199">
        <v>43530.666666666664</v>
      </c>
      <c r="F371" s="200" t="s">
        <v>122</v>
      </c>
      <c r="G371" s="201">
        <v>78.653000000000006</v>
      </c>
      <c r="H371" s="201">
        <v>79.034000000000006</v>
      </c>
      <c r="I371" s="202">
        <f t="shared" si="96"/>
        <v>0.38100000000000023</v>
      </c>
      <c r="J371" s="201">
        <v>72.043000000000006</v>
      </c>
      <c r="K371" s="199">
        <v>43535.886111111111</v>
      </c>
      <c r="L371" s="201">
        <v>78.561999999999998</v>
      </c>
      <c r="M371" s="203">
        <f t="shared" si="97"/>
        <v>9.0999999999999998E-2</v>
      </c>
      <c r="N371" s="204">
        <f t="shared" si="98"/>
        <v>0.24</v>
      </c>
      <c r="O371" s="205">
        <f t="shared" si="99"/>
        <v>0</v>
      </c>
      <c r="P371" s="206">
        <f t="shared" si="100"/>
        <v>0.24</v>
      </c>
      <c r="Q371" s="206">
        <f t="shared" si="101"/>
        <v>0</v>
      </c>
      <c r="R37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7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134970</v>
      </c>
      <c r="T37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136300</v>
      </c>
      <c r="U371" s="208">
        <f ca="1">IF(Tabla33610673[[#This Row],[Equity]]&lt;Tabla33610673[[#This Row],[Equity Peak]],(Tabla33610673[[#This Row],[Equity Peak]]-Tabla33610673[[#This Row],[Equity]])/Tabla33610673[[#This Row],[Equity Peak]],"")</f>
        <v>9.7578870139398387E-3</v>
      </c>
      <c r="V371" s="209">
        <f t="shared" si="102"/>
        <v>0.24</v>
      </c>
      <c r="W371" s="209">
        <f t="shared" si="103"/>
        <v>0</v>
      </c>
      <c r="X371" s="209">
        <f t="shared" si="104"/>
        <v>0</v>
      </c>
      <c r="Y371" s="209">
        <f t="shared" si="105"/>
        <v>0</v>
      </c>
      <c r="Z371" s="209">
        <f t="shared" si="106"/>
        <v>0</v>
      </c>
      <c r="AA371" s="205">
        <f t="shared" si="107"/>
        <v>0</v>
      </c>
      <c r="AB371" s="209">
        <f t="shared" si="108"/>
        <v>0</v>
      </c>
      <c r="AC371" s="205">
        <f t="shared" si="109"/>
        <v>0</v>
      </c>
      <c r="AD371" s="210">
        <f t="shared" si="110"/>
        <v>5.2194444444467081</v>
      </c>
      <c r="AE371" s="210">
        <f t="shared" si="111"/>
        <v>5.2194444444467081</v>
      </c>
      <c r="AF371" s="210">
        <f t="shared" si="112"/>
        <v>0</v>
      </c>
      <c r="AG371" s="210">
        <f t="shared" si="113"/>
        <v>0</v>
      </c>
    </row>
    <row r="372" spans="2:33" ht="15" customHeight="1" x14ac:dyDescent="0.3">
      <c r="B372" s="196" t="s">
        <v>5</v>
      </c>
      <c r="C372" s="197" t="s">
        <v>15</v>
      </c>
      <c r="D372" s="198" t="str">
        <f t="shared" si="95"/>
        <v>C</v>
      </c>
      <c r="E372" s="199">
        <v>43535.541666666664</v>
      </c>
      <c r="F372" s="200" t="s">
        <v>94</v>
      </c>
      <c r="G372" s="201">
        <v>7179.43</v>
      </c>
      <c r="H372" s="201">
        <v>7122.16</v>
      </c>
      <c r="I372" s="202">
        <f t="shared" si="96"/>
        <v>57.270000000000437</v>
      </c>
      <c r="J372" s="201">
        <v>7465.79</v>
      </c>
      <c r="K372" s="199">
        <v>43535.64166666667</v>
      </c>
      <c r="L372" s="201">
        <v>7134.78</v>
      </c>
      <c r="M372" s="203">
        <f t="shared" si="97"/>
        <v>-44.65</v>
      </c>
      <c r="N372" s="204">
        <f t="shared" si="98"/>
        <v>-0.78</v>
      </c>
      <c r="O372" s="205">
        <f t="shared" si="99"/>
        <v>0</v>
      </c>
      <c r="P372" s="206">
        <f t="shared" si="100"/>
        <v>0</v>
      </c>
      <c r="Q372" s="206">
        <f t="shared" si="101"/>
        <v>-0.78</v>
      </c>
      <c r="R37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7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134730</v>
      </c>
      <c r="T37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136300</v>
      </c>
      <c r="U372" s="208">
        <f ca="1">IF(Tabla33610673[[#This Row],[Equity]]&lt;Tabla33610673[[#This Row],[Equity Peak]],(Tabla33610673[[#This Row],[Equity Peak]]-Tabla33610673[[#This Row],[Equity]])/Tabla33610673[[#This Row],[Equity Peak]],"")</f>
        <v>1.1518708730741012E-2</v>
      </c>
      <c r="V372" s="209">
        <f t="shared" si="102"/>
        <v>0</v>
      </c>
      <c r="W372" s="209">
        <f t="shared" si="103"/>
        <v>0</v>
      </c>
      <c r="X372" s="209">
        <f t="shared" si="104"/>
        <v>0</v>
      </c>
      <c r="Y372" s="209">
        <f t="shared" si="105"/>
        <v>0</v>
      </c>
      <c r="Z372" s="209">
        <f t="shared" si="106"/>
        <v>-0.78</v>
      </c>
      <c r="AA372" s="205">
        <f t="shared" si="107"/>
        <v>0</v>
      </c>
      <c r="AB372" s="209">
        <f t="shared" si="108"/>
        <v>0</v>
      </c>
      <c r="AC372" s="205">
        <f t="shared" si="109"/>
        <v>0</v>
      </c>
      <c r="AD372" s="210">
        <f t="shared" si="110"/>
        <v>0.10000000000582077</v>
      </c>
      <c r="AE372" s="210">
        <f t="shared" si="111"/>
        <v>0</v>
      </c>
      <c r="AF372" s="210">
        <f t="shared" si="112"/>
        <v>0.10000000000582077</v>
      </c>
      <c r="AG372" s="210">
        <f t="shared" si="113"/>
        <v>0</v>
      </c>
    </row>
    <row r="373" spans="2:33" ht="15" customHeight="1" x14ac:dyDescent="0.3">
      <c r="B373" s="196" t="s">
        <v>5</v>
      </c>
      <c r="C373" s="197" t="s">
        <v>13</v>
      </c>
      <c r="D373" s="198" t="str">
        <f t="shared" si="95"/>
        <v>C</v>
      </c>
      <c r="E373" s="199">
        <v>43532.166666666664</v>
      </c>
      <c r="F373" s="200" t="s">
        <v>94</v>
      </c>
      <c r="G373" s="201">
        <v>7128.86</v>
      </c>
      <c r="H373" s="201">
        <v>7181.27</v>
      </c>
      <c r="I373" s="202">
        <f t="shared" si="96"/>
        <v>52.410000000000764</v>
      </c>
      <c r="J373" s="201">
        <v>6866.83</v>
      </c>
      <c r="K373" s="199">
        <v>43532.935416666667</v>
      </c>
      <c r="L373" s="201">
        <v>7138.75</v>
      </c>
      <c r="M373" s="203">
        <f t="shared" si="97"/>
        <v>-9.89</v>
      </c>
      <c r="N373" s="204">
        <f t="shared" si="98"/>
        <v>-0.19</v>
      </c>
      <c r="O373" s="205">
        <f t="shared" si="99"/>
        <v>0</v>
      </c>
      <c r="P373" s="206">
        <f t="shared" si="100"/>
        <v>0</v>
      </c>
      <c r="Q373" s="206">
        <f t="shared" si="101"/>
        <v>-0.19</v>
      </c>
      <c r="R37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7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135510</v>
      </c>
      <c r="T37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136300</v>
      </c>
      <c r="U373" s="208">
        <f ca="1">IF(Tabla33610673[[#This Row],[Equity]]&lt;Tabla33610673[[#This Row],[Equity Peak]],(Tabla33610673[[#This Row],[Equity Peak]]-Tabla33610673[[#This Row],[Equity]])/Tabla33610673[[#This Row],[Equity Peak]],"")</f>
        <v>5.7960381511371973E-3</v>
      </c>
      <c r="V373" s="209">
        <f t="shared" si="102"/>
        <v>0</v>
      </c>
      <c r="W373" s="209">
        <f t="shared" si="103"/>
        <v>0</v>
      </c>
      <c r="X373" s="209">
        <f t="shared" si="104"/>
        <v>0</v>
      </c>
      <c r="Y373" s="209">
        <f t="shared" si="105"/>
        <v>0</v>
      </c>
      <c r="Z373" s="209">
        <f t="shared" si="106"/>
        <v>-0.19</v>
      </c>
      <c r="AA373" s="205">
        <f t="shared" si="107"/>
        <v>0</v>
      </c>
      <c r="AB373" s="209">
        <f t="shared" si="108"/>
        <v>0</v>
      </c>
      <c r="AC373" s="205">
        <f t="shared" si="109"/>
        <v>0</v>
      </c>
      <c r="AD373" s="210">
        <f t="shared" si="110"/>
        <v>0.76875000000291038</v>
      </c>
      <c r="AE373" s="210">
        <f t="shared" si="111"/>
        <v>0</v>
      </c>
      <c r="AF373" s="210">
        <f t="shared" si="112"/>
        <v>0.76875000000291038</v>
      </c>
      <c r="AG373" s="210">
        <f t="shared" si="113"/>
        <v>0</v>
      </c>
    </row>
    <row r="374" spans="2:33" ht="15" customHeight="1" x14ac:dyDescent="0.3">
      <c r="B374" s="196" t="s">
        <v>19</v>
      </c>
      <c r="C374" s="197" t="s">
        <v>13</v>
      </c>
      <c r="D374" s="198" t="str">
        <f t="shared" si="95"/>
        <v>C</v>
      </c>
      <c r="E374" s="199">
        <v>43532.791666666664</v>
      </c>
      <c r="F374" s="200" t="s">
        <v>108</v>
      </c>
      <c r="G374" s="201">
        <v>55.161999999999999</v>
      </c>
      <c r="H374" s="201">
        <v>56.475999999999999</v>
      </c>
      <c r="I374" s="202">
        <f t="shared" si="96"/>
        <v>1.3140000000000001</v>
      </c>
      <c r="J374" s="201">
        <v>39.389000000000003</v>
      </c>
      <c r="K374" s="199">
        <v>43532.842361111114</v>
      </c>
      <c r="L374" s="201">
        <v>55.948999999999998</v>
      </c>
      <c r="M374" s="203">
        <f t="shared" si="97"/>
        <v>-0.78700000000000003</v>
      </c>
      <c r="N374" s="204">
        <f t="shared" si="98"/>
        <v>-0.6</v>
      </c>
      <c r="O374" s="205">
        <f t="shared" si="99"/>
        <v>0</v>
      </c>
      <c r="P374" s="206">
        <f t="shared" si="100"/>
        <v>0</v>
      </c>
      <c r="Q374" s="206">
        <f t="shared" si="101"/>
        <v>-0.6</v>
      </c>
      <c r="R37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7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135700</v>
      </c>
      <c r="T37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136300</v>
      </c>
      <c r="U374" s="208">
        <f ca="1">IF(Tabla33610673[[#This Row],[Equity]]&lt;Tabla33610673[[#This Row],[Equity Peak]],(Tabla33610673[[#This Row],[Equity Peak]]-Tabla33610673[[#This Row],[Equity]])/Tabla33610673[[#This Row],[Equity Peak]],"")</f>
        <v>4.4020542920029347E-3</v>
      </c>
      <c r="V374" s="209">
        <f t="shared" si="102"/>
        <v>0</v>
      </c>
      <c r="W374" s="209">
        <f t="shared" si="103"/>
        <v>0</v>
      </c>
      <c r="X374" s="209">
        <f t="shared" si="104"/>
        <v>-0.6</v>
      </c>
      <c r="Y374" s="209">
        <f t="shared" si="105"/>
        <v>0</v>
      </c>
      <c r="Z374" s="209">
        <f t="shared" si="106"/>
        <v>0</v>
      </c>
      <c r="AA374" s="205">
        <f t="shared" si="107"/>
        <v>0</v>
      </c>
      <c r="AB374" s="209">
        <f t="shared" si="108"/>
        <v>0</v>
      </c>
      <c r="AC374" s="205">
        <f t="shared" si="109"/>
        <v>0</v>
      </c>
      <c r="AD374" s="210">
        <f t="shared" si="110"/>
        <v>5.0694444449618459E-2</v>
      </c>
      <c r="AE374" s="210">
        <f t="shared" si="111"/>
        <v>0</v>
      </c>
      <c r="AF374" s="210">
        <f t="shared" si="112"/>
        <v>5.0694444449618459E-2</v>
      </c>
      <c r="AG374" s="210">
        <f t="shared" si="113"/>
        <v>0</v>
      </c>
    </row>
    <row r="375" spans="2:33" ht="15" customHeight="1" x14ac:dyDescent="0.3">
      <c r="B375" s="196" t="s">
        <v>7</v>
      </c>
      <c r="C375" s="197" t="s">
        <v>13</v>
      </c>
      <c r="D375" s="198" t="str">
        <f t="shared" si="95"/>
        <v>C</v>
      </c>
      <c r="E375" s="199">
        <v>43529.5</v>
      </c>
      <c r="F375" s="200" t="s">
        <v>117</v>
      </c>
      <c r="G375" s="201">
        <v>1.1327199999999999</v>
      </c>
      <c r="H375" s="201">
        <v>1.1380600000000001</v>
      </c>
      <c r="I375" s="202">
        <f t="shared" si="96"/>
        <v>5.3400000000001224E-3</v>
      </c>
      <c r="J375" s="201">
        <v>1.09853</v>
      </c>
      <c r="K375" s="199">
        <v>43532.603472222225</v>
      </c>
      <c r="L375" s="201">
        <v>1.12351</v>
      </c>
      <c r="M375" s="203">
        <f t="shared" si="97"/>
        <v>9.1999999999999998E-3</v>
      </c>
      <c r="N375" s="204">
        <f t="shared" si="98"/>
        <v>1.72</v>
      </c>
      <c r="O375" s="205">
        <f t="shared" si="99"/>
        <v>0</v>
      </c>
      <c r="P375" s="206">
        <f t="shared" si="100"/>
        <v>1.72</v>
      </c>
      <c r="Q375" s="206">
        <f t="shared" si="101"/>
        <v>0</v>
      </c>
      <c r="R37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7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136300</v>
      </c>
      <c r="T37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136300</v>
      </c>
      <c r="U375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375" s="209">
        <f t="shared" si="102"/>
        <v>1.72</v>
      </c>
      <c r="W375" s="209">
        <f t="shared" si="103"/>
        <v>0</v>
      </c>
      <c r="X375" s="209">
        <f t="shared" si="104"/>
        <v>0</v>
      </c>
      <c r="Y375" s="209">
        <f t="shared" si="105"/>
        <v>0</v>
      </c>
      <c r="Z375" s="209">
        <f t="shared" si="106"/>
        <v>0</v>
      </c>
      <c r="AA375" s="205">
        <f t="shared" si="107"/>
        <v>0</v>
      </c>
      <c r="AB375" s="209">
        <f t="shared" si="108"/>
        <v>0</v>
      </c>
      <c r="AC375" s="205">
        <f t="shared" si="109"/>
        <v>0</v>
      </c>
      <c r="AD375" s="210">
        <f t="shared" si="110"/>
        <v>3.1034722222248092</v>
      </c>
      <c r="AE375" s="210">
        <f t="shared" si="111"/>
        <v>3.1034722222248092</v>
      </c>
      <c r="AF375" s="210">
        <f t="shared" si="112"/>
        <v>0</v>
      </c>
      <c r="AG375" s="210">
        <f t="shared" si="113"/>
        <v>0</v>
      </c>
    </row>
    <row r="376" spans="2:33" ht="15" customHeight="1" x14ac:dyDescent="0.3">
      <c r="B376" s="196" t="s">
        <v>19</v>
      </c>
      <c r="C376" s="197" t="s">
        <v>13</v>
      </c>
      <c r="D376" s="198" t="str">
        <f t="shared" si="95"/>
        <v>C</v>
      </c>
      <c r="E376" s="199">
        <v>43524.875</v>
      </c>
      <c r="F376" s="200" t="s">
        <v>89</v>
      </c>
      <c r="G376" s="201">
        <v>15.586</v>
      </c>
      <c r="H376" s="201">
        <v>15.787000000000001</v>
      </c>
      <c r="I376" s="202">
        <f t="shared" si="96"/>
        <v>0.20100000000000051</v>
      </c>
      <c r="J376" s="201">
        <v>14.62</v>
      </c>
      <c r="K376" s="199">
        <v>43532.591666666667</v>
      </c>
      <c r="L376" s="201">
        <v>15.164999999999999</v>
      </c>
      <c r="M376" s="203">
        <f t="shared" si="97"/>
        <v>0.42099999999999999</v>
      </c>
      <c r="N376" s="204">
        <f t="shared" si="98"/>
        <v>2.09</v>
      </c>
      <c r="O376" s="205">
        <f t="shared" si="99"/>
        <v>0</v>
      </c>
      <c r="P376" s="206">
        <f t="shared" si="100"/>
        <v>2.09</v>
      </c>
      <c r="Q376" s="206">
        <f t="shared" si="101"/>
        <v>0</v>
      </c>
      <c r="R37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7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134580</v>
      </c>
      <c r="T37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134580</v>
      </c>
      <c r="U376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376" s="209">
        <f t="shared" si="102"/>
        <v>0</v>
      </c>
      <c r="W376" s="209">
        <f t="shared" si="103"/>
        <v>0</v>
      </c>
      <c r="X376" s="209">
        <f t="shared" si="104"/>
        <v>2.09</v>
      </c>
      <c r="Y376" s="209">
        <f t="shared" si="105"/>
        <v>0</v>
      </c>
      <c r="Z376" s="209">
        <f t="shared" si="106"/>
        <v>0</v>
      </c>
      <c r="AA376" s="205">
        <f t="shared" si="107"/>
        <v>0</v>
      </c>
      <c r="AB376" s="209">
        <f t="shared" si="108"/>
        <v>0</v>
      </c>
      <c r="AC376" s="205">
        <f t="shared" si="109"/>
        <v>0</v>
      </c>
      <c r="AD376" s="210">
        <f t="shared" si="110"/>
        <v>7.7166666666671517</v>
      </c>
      <c r="AE376" s="210">
        <f t="shared" si="111"/>
        <v>7.7166666666671517</v>
      </c>
      <c r="AF376" s="210">
        <f t="shared" si="112"/>
        <v>0</v>
      </c>
      <c r="AG376" s="210">
        <f t="shared" si="113"/>
        <v>0</v>
      </c>
    </row>
    <row r="377" spans="2:33" ht="15" customHeight="1" x14ac:dyDescent="0.3">
      <c r="B377" s="196" t="s">
        <v>5</v>
      </c>
      <c r="C377" s="197" t="s">
        <v>15</v>
      </c>
      <c r="D377" s="198" t="str">
        <f t="shared" si="95"/>
        <v>C</v>
      </c>
      <c r="E377" s="199">
        <v>43529.5</v>
      </c>
      <c r="F377" s="200" t="s">
        <v>94</v>
      </c>
      <c r="G377" s="201">
        <v>7159.17</v>
      </c>
      <c r="H377" s="201">
        <v>7103.06</v>
      </c>
      <c r="I377" s="202">
        <f t="shared" si="96"/>
        <v>56.109999999999673</v>
      </c>
      <c r="J377" s="201">
        <v>7439.71</v>
      </c>
      <c r="K377" s="199">
        <v>43530.942361111112</v>
      </c>
      <c r="L377" s="201">
        <v>7149.89</v>
      </c>
      <c r="M377" s="203">
        <f t="shared" si="97"/>
        <v>-9.2799999999999994</v>
      </c>
      <c r="N377" s="204">
        <f t="shared" si="98"/>
        <v>-0.17</v>
      </c>
      <c r="O377" s="205">
        <f t="shared" si="99"/>
        <v>0</v>
      </c>
      <c r="P377" s="206">
        <f t="shared" si="100"/>
        <v>0</v>
      </c>
      <c r="Q377" s="206">
        <f t="shared" si="101"/>
        <v>-0.17</v>
      </c>
      <c r="R37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7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132490</v>
      </c>
      <c r="T37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132660</v>
      </c>
      <c r="U377" s="208">
        <f ca="1">IF(Tabla33610673[[#This Row],[Equity]]&lt;Tabla33610673[[#This Row],[Equity Peak]],(Tabla33610673[[#This Row],[Equity Peak]]-Tabla33610673[[#This Row],[Equity]])/Tabla33610673[[#This Row],[Equity Peak]],"")</f>
        <v>1.2814714307251621E-3</v>
      </c>
      <c r="V377" s="209">
        <f t="shared" si="102"/>
        <v>0</v>
      </c>
      <c r="W377" s="209">
        <f t="shared" si="103"/>
        <v>0</v>
      </c>
      <c r="X377" s="209">
        <f t="shared" si="104"/>
        <v>0</v>
      </c>
      <c r="Y377" s="209">
        <f t="shared" si="105"/>
        <v>0</v>
      </c>
      <c r="Z377" s="209">
        <f t="shared" si="106"/>
        <v>-0.17</v>
      </c>
      <c r="AA377" s="205">
        <f t="shared" si="107"/>
        <v>0</v>
      </c>
      <c r="AB377" s="209">
        <f t="shared" si="108"/>
        <v>0</v>
      </c>
      <c r="AC377" s="205">
        <f t="shared" si="109"/>
        <v>0</v>
      </c>
      <c r="AD377" s="210">
        <f t="shared" si="110"/>
        <v>1.4423611111124046</v>
      </c>
      <c r="AE377" s="210">
        <f t="shared" si="111"/>
        <v>0</v>
      </c>
      <c r="AF377" s="210">
        <f t="shared" si="112"/>
        <v>1.4423611111124046</v>
      </c>
      <c r="AG377" s="210">
        <f t="shared" si="113"/>
        <v>0</v>
      </c>
    </row>
    <row r="378" spans="2:33" ht="15" customHeight="1" x14ac:dyDescent="0.3">
      <c r="B378" s="196" t="s">
        <v>7</v>
      </c>
      <c r="C378" s="197" t="s">
        <v>15</v>
      </c>
      <c r="D378" s="198" t="str">
        <f t="shared" si="95"/>
        <v>C</v>
      </c>
      <c r="E378" s="199">
        <v>43516.017361111109</v>
      </c>
      <c r="F378" s="200" t="s">
        <v>114</v>
      </c>
      <c r="G378" s="201">
        <v>1.30575</v>
      </c>
      <c r="H378" s="201">
        <v>1.2965800000000001</v>
      </c>
      <c r="I378" s="202">
        <f t="shared" si="96"/>
        <v>9.1699999999999005E-3</v>
      </c>
      <c r="J378" s="201">
        <v>1.3424400000000001</v>
      </c>
      <c r="K378" s="199">
        <v>43529.582638888889</v>
      </c>
      <c r="L378" s="201">
        <v>1.31307</v>
      </c>
      <c r="M378" s="203">
        <f t="shared" si="97"/>
        <v>7.3000000000000001E-3</v>
      </c>
      <c r="N378" s="204">
        <f t="shared" si="98"/>
        <v>0.8</v>
      </c>
      <c r="O378" s="205">
        <f t="shared" si="99"/>
        <v>0</v>
      </c>
      <c r="P378" s="206">
        <f t="shared" si="100"/>
        <v>0.8</v>
      </c>
      <c r="Q378" s="206">
        <f t="shared" si="101"/>
        <v>0</v>
      </c>
      <c r="R37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7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132660</v>
      </c>
      <c r="T37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132660</v>
      </c>
      <c r="U378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378" s="209">
        <f t="shared" si="102"/>
        <v>0.8</v>
      </c>
      <c r="W378" s="209">
        <f t="shared" si="103"/>
        <v>0</v>
      </c>
      <c r="X378" s="209">
        <f t="shared" si="104"/>
        <v>0</v>
      </c>
      <c r="Y378" s="209">
        <f t="shared" si="105"/>
        <v>0</v>
      </c>
      <c r="Z378" s="209">
        <f t="shared" si="106"/>
        <v>0</v>
      </c>
      <c r="AA378" s="205">
        <f t="shared" si="107"/>
        <v>0</v>
      </c>
      <c r="AB378" s="209">
        <f t="shared" si="108"/>
        <v>0</v>
      </c>
      <c r="AC378" s="205">
        <f t="shared" si="109"/>
        <v>0</v>
      </c>
      <c r="AD378" s="210">
        <f t="shared" si="110"/>
        <v>13.565277777779556</v>
      </c>
      <c r="AE378" s="210">
        <f t="shared" si="111"/>
        <v>13.565277777779556</v>
      </c>
      <c r="AF378" s="210">
        <f t="shared" si="112"/>
        <v>0</v>
      </c>
      <c r="AG378" s="210">
        <f t="shared" si="113"/>
        <v>0</v>
      </c>
    </row>
    <row r="379" spans="2:33" ht="15" customHeight="1" x14ac:dyDescent="0.3">
      <c r="B379" s="196" t="s">
        <v>7</v>
      </c>
      <c r="C379" s="197" t="s">
        <v>15</v>
      </c>
      <c r="D379" s="198" t="str">
        <f t="shared" si="95"/>
        <v>C</v>
      </c>
      <c r="E379" s="199">
        <v>43523.833333333336</v>
      </c>
      <c r="F379" s="200" t="s">
        <v>120</v>
      </c>
      <c r="G379" s="201">
        <v>1.5936600000000001</v>
      </c>
      <c r="H379" s="201">
        <v>1.5874999999999999</v>
      </c>
      <c r="I379" s="202">
        <f t="shared" si="96"/>
        <v>6.1600000000001653E-3</v>
      </c>
      <c r="J379" s="201">
        <v>1.65934</v>
      </c>
      <c r="K379" s="199">
        <v>43528.679166666669</v>
      </c>
      <c r="L379" s="201">
        <v>1.5975600000000001</v>
      </c>
      <c r="M379" s="203">
        <f t="shared" si="97"/>
        <v>3.8999999999999998E-3</v>
      </c>
      <c r="N379" s="204">
        <f t="shared" si="98"/>
        <v>0.63</v>
      </c>
      <c r="O379" s="205">
        <f t="shared" si="99"/>
        <v>0</v>
      </c>
      <c r="P379" s="206">
        <f t="shared" si="100"/>
        <v>0.63</v>
      </c>
      <c r="Q379" s="206">
        <f t="shared" si="101"/>
        <v>0</v>
      </c>
      <c r="R37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7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131860</v>
      </c>
      <c r="T37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131860</v>
      </c>
      <c r="U379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379" s="209">
        <f t="shared" si="102"/>
        <v>0.63</v>
      </c>
      <c r="W379" s="209">
        <f t="shared" si="103"/>
        <v>0</v>
      </c>
      <c r="X379" s="209">
        <f t="shared" si="104"/>
        <v>0</v>
      </c>
      <c r="Y379" s="209">
        <f t="shared" si="105"/>
        <v>0</v>
      </c>
      <c r="Z379" s="209">
        <f t="shared" si="106"/>
        <v>0</v>
      </c>
      <c r="AA379" s="205">
        <f t="shared" si="107"/>
        <v>0</v>
      </c>
      <c r="AB379" s="209">
        <f t="shared" si="108"/>
        <v>0</v>
      </c>
      <c r="AC379" s="205">
        <f t="shared" si="109"/>
        <v>0</v>
      </c>
      <c r="AD379" s="210">
        <f t="shared" si="110"/>
        <v>4.8458333333328483</v>
      </c>
      <c r="AE379" s="210">
        <f t="shared" si="111"/>
        <v>4.8458333333328483</v>
      </c>
      <c r="AF379" s="210">
        <f t="shared" si="112"/>
        <v>0</v>
      </c>
      <c r="AG379" s="210">
        <f t="shared" si="113"/>
        <v>0</v>
      </c>
    </row>
    <row r="380" spans="2:33" ht="15" customHeight="1" x14ac:dyDescent="0.3">
      <c r="B380" s="196" t="s">
        <v>7</v>
      </c>
      <c r="C380" s="197" t="s">
        <v>15</v>
      </c>
      <c r="D380" s="198" t="str">
        <f t="shared" si="95"/>
        <v>C</v>
      </c>
      <c r="E380" s="199">
        <v>43514.333333333336</v>
      </c>
      <c r="F380" s="200" t="s">
        <v>115</v>
      </c>
      <c r="G380" s="201">
        <v>142.69300000000001</v>
      </c>
      <c r="H380" s="201">
        <v>141.678</v>
      </c>
      <c r="I380" s="202">
        <f t="shared" si="96"/>
        <v>1.0150000000000148</v>
      </c>
      <c r="J380" s="201">
        <v>148.37799999999999</v>
      </c>
      <c r="K380" s="199">
        <v>43525.677083333336</v>
      </c>
      <c r="L380" s="201">
        <v>148.37799999999999</v>
      </c>
      <c r="M380" s="203">
        <f t="shared" si="97"/>
        <v>5.6849999999999996</v>
      </c>
      <c r="N380" s="204">
        <f t="shared" si="98"/>
        <v>5.6</v>
      </c>
      <c r="O380" s="205">
        <f t="shared" si="99"/>
        <v>0</v>
      </c>
      <c r="P380" s="206">
        <f t="shared" si="100"/>
        <v>5.6</v>
      </c>
      <c r="Q380" s="206">
        <f t="shared" si="101"/>
        <v>0</v>
      </c>
      <c r="R38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8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131230</v>
      </c>
      <c r="T38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131230</v>
      </c>
      <c r="U380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380" s="209">
        <f t="shared" si="102"/>
        <v>5.6</v>
      </c>
      <c r="W380" s="209">
        <f t="shared" si="103"/>
        <v>0</v>
      </c>
      <c r="X380" s="209">
        <f t="shared" si="104"/>
        <v>0</v>
      </c>
      <c r="Y380" s="209">
        <f t="shared" si="105"/>
        <v>0</v>
      </c>
      <c r="Z380" s="209">
        <f t="shared" si="106"/>
        <v>0</v>
      </c>
      <c r="AA380" s="205">
        <f t="shared" si="107"/>
        <v>0</v>
      </c>
      <c r="AB380" s="209">
        <f t="shared" si="108"/>
        <v>0</v>
      </c>
      <c r="AC380" s="205">
        <f t="shared" si="109"/>
        <v>0</v>
      </c>
      <c r="AD380" s="210">
        <f t="shared" si="110"/>
        <v>11.34375</v>
      </c>
      <c r="AE380" s="210">
        <f t="shared" si="111"/>
        <v>11.34375</v>
      </c>
      <c r="AF380" s="210">
        <f t="shared" si="112"/>
        <v>0</v>
      </c>
      <c r="AG380" s="210">
        <f t="shared" si="113"/>
        <v>0</v>
      </c>
    </row>
    <row r="381" spans="2:33" ht="15" customHeight="1" x14ac:dyDescent="0.3">
      <c r="B381" s="196" t="s">
        <v>7</v>
      </c>
      <c r="C381" s="197" t="s">
        <v>15</v>
      </c>
      <c r="D381" s="198" t="str">
        <f t="shared" si="95"/>
        <v>C</v>
      </c>
      <c r="E381" s="199">
        <v>43514.666666666664</v>
      </c>
      <c r="F381" s="200" t="s">
        <v>118</v>
      </c>
      <c r="G381" s="201">
        <v>125.21899999999999</v>
      </c>
      <c r="H381" s="201">
        <v>124.491</v>
      </c>
      <c r="I381" s="202">
        <f t="shared" si="96"/>
        <v>0.72799999999999443</v>
      </c>
      <c r="J381" s="201">
        <v>128.13</v>
      </c>
      <c r="K381" s="199">
        <v>43523.343055555553</v>
      </c>
      <c r="L381" s="201">
        <v>125.625</v>
      </c>
      <c r="M381" s="203">
        <f t="shared" si="97"/>
        <v>0.40600000000000003</v>
      </c>
      <c r="N381" s="204">
        <f t="shared" si="98"/>
        <v>0.56000000000000005</v>
      </c>
      <c r="O381" s="205">
        <f t="shared" si="99"/>
        <v>0</v>
      </c>
      <c r="P381" s="206">
        <f t="shared" si="100"/>
        <v>0.56000000000000005</v>
      </c>
      <c r="Q381" s="206">
        <f t="shared" si="101"/>
        <v>0</v>
      </c>
      <c r="R38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8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125630</v>
      </c>
      <c r="T38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127150</v>
      </c>
      <c r="U381" s="208">
        <f ca="1">IF(Tabla33610673[[#This Row],[Equity]]&lt;Tabla33610673[[#This Row],[Equity Peak]],(Tabla33610673[[#This Row],[Equity Peak]]-Tabla33610673[[#This Row],[Equity]])/Tabla33610673[[#This Row],[Equity Peak]],"")</f>
        <v>1.1954384585135666E-2</v>
      </c>
      <c r="V381" s="209">
        <f t="shared" si="102"/>
        <v>0.56000000000000005</v>
      </c>
      <c r="W381" s="209">
        <f t="shared" si="103"/>
        <v>0</v>
      </c>
      <c r="X381" s="209">
        <f t="shared" si="104"/>
        <v>0</v>
      </c>
      <c r="Y381" s="209">
        <f t="shared" si="105"/>
        <v>0</v>
      </c>
      <c r="Z381" s="209">
        <f t="shared" si="106"/>
        <v>0</v>
      </c>
      <c r="AA381" s="205">
        <f t="shared" si="107"/>
        <v>0</v>
      </c>
      <c r="AB381" s="209">
        <f t="shared" si="108"/>
        <v>0</v>
      </c>
      <c r="AC381" s="205">
        <f t="shared" si="109"/>
        <v>0</v>
      </c>
      <c r="AD381" s="210">
        <f t="shared" si="110"/>
        <v>8.6763888888890506</v>
      </c>
      <c r="AE381" s="210">
        <f t="shared" si="111"/>
        <v>8.6763888888890506</v>
      </c>
      <c r="AF381" s="210">
        <f t="shared" si="112"/>
        <v>0</v>
      </c>
      <c r="AG381" s="210">
        <f t="shared" si="113"/>
        <v>0</v>
      </c>
    </row>
    <row r="382" spans="2:33" ht="15" customHeight="1" x14ac:dyDescent="0.3">
      <c r="B382" s="196" t="s">
        <v>5</v>
      </c>
      <c r="C382" s="197" t="s">
        <v>13</v>
      </c>
      <c r="D382" s="198" t="str">
        <f t="shared" si="95"/>
        <v>C</v>
      </c>
      <c r="E382" s="199">
        <v>43522.166666666664</v>
      </c>
      <c r="F382" s="200" t="s">
        <v>94</v>
      </c>
      <c r="G382" s="201">
        <v>7135.98</v>
      </c>
      <c r="H382" s="201">
        <v>7187.87</v>
      </c>
      <c r="I382" s="202">
        <f t="shared" si="96"/>
        <v>51.890000000000327</v>
      </c>
      <c r="J382" s="201">
        <v>6876.53</v>
      </c>
      <c r="K382" s="199">
        <v>43522.717361111114</v>
      </c>
      <c r="L382" s="201">
        <v>7156.26</v>
      </c>
      <c r="M382" s="203">
        <f t="shared" si="97"/>
        <v>-20.28</v>
      </c>
      <c r="N382" s="204">
        <f t="shared" si="98"/>
        <v>-0.39</v>
      </c>
      <c r="O382" s="205">
        <f t="shared" si="99"/>
        <v>0</v>
      </c>
      <c r="P382" s="206">
        <f t="shared" si="100"/>
        <v>0</v>
      </c>
      <c r="Q382" s="206">
        <f t="shared" si="101"/>
        <v>-0.39</v>
      </c>
      <c r="R38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8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125070</v>
      </c>
      <c r="T38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127150</v>
      </c>
      <c r="U382" s="208">
        <f ca="1">IF(Tabla33610673[[#This Row],[Equity]]&lt;Tabla33610673[[#This Row],[Equity Peak]],(Tabla33610673[[#This Row],[Equity Peak]]-Tabla33610673[[#This Row],[Equity]])/Tabla33610673[[#This Row],[Equity Peak]],"")</f>
        <v>1.6358631537554069E-2</v>
      </c>
      <c r="V382" s="209">
        <f t="shared" si="102"/>
        <v>0</v>
      </c>
      <c r="W382" s="209">
        <f t="shared" si="103"/>
        <v>0</v>
      </c>
      <c r="X382" s="209">
        <f t="shared" si="104"/>
        <v>0</v>
      </c>
      <c r="Y382" s="209">
        <f t="shared" si="105"/>
        <v>0</v>
      </c>
      <c r="Z382" s="209">
        <f t="shared" si="106"/>
        <v>-0.39</v>
      </c>
      <c r="AA382" s="205">
        <f t="shared" si="107"/>
        <v>0</v>
      </c>
      <c r="AB382" s="209">
        <f t="shared" si="108"/>
        <v>0</v>
      </c>
      <c r="AC382" s="205">
        <f t="shared" si="109"/>
        <v>0</v>
      </c>
      <c r="AD382" s="210">
        <f t="shared" si="110"/>
        <v>0.55069444444961846</v>
      </c>
      <c r="AE382" s="210">
        <f t="shared" si="111"/>
        <v>0</v>
      </c>
      <c r="AF382" s="210">
        <f t="shared" si="112"/>
        <v>0.55069444444961846</v>
      </c>
      <c r="AG382" s="210">
        <f t="shared" si="113"/>
        <v>0</v>
      </c>
    </row>
    <row r="383" spans="2:33" ht="15" customHeight="1" x14ac:dyDescent="0.3">
      <c r="B383" s="196" t="s">
        <v>7</v>
      </c>
      <c r="C383" s="197" t="s">
        <v>13</v>
      </c>
      <c r="D383" s="198" t="str">
        <f t="shared" si="95"/>
        <v>C</v>
      </c>
      <c r="E383" s="199">
        <v>43521.333333333336</v>
      </c>
      <c r="F383" s="200" t="s">
        <v>120</v>
      </c>
      <c r="G383" s="201">
        <v>1.58602</v>
      </c>
      <c r="H383" s="201">
        <v>1.5955900000000001</v>
      </c>
      <c r="I383" s="202">
        <f t="shared" si="96"/>
        <v>9.5700000000000784E-3</v>
      </c>
      <c r="J383" s="201">
        <v>1.4839500000000001</v>
      </c>
      <c r="K383" s="199">
        <v>43522.434027777781</v>
      </c>
      <c r="L383" s="201">
        <v>1.58873</v>
      </c>
      <c r="M383" s="203">
        <f t="shared" si="97"/>
        <v>-2.7000000000000001E-3</v>
      </c>
      <c r="N383" s="204">
        <f t="shared" si="98"/>
        <v>-0.28000000000000003</v>
      </c>
      <c r="O383" s="205">
        <f t="shared" si="99"/>
        <v>0</v>
      </c>
      <c r="P383" s="206">
        <f t="shared" si="100"/>
        <v>0</v>
      </c>
      <c r="Q383" s="206">
        <f t="shared" si="101"/>
        <v>-0.28000000000000003</v>
      </c>
      <c r="R38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8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125460</v>
      </c>
      <c r="T38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127150</v>
      </c>
      <c r="U383" s="208">
        <f ca="1">IF(Tabla33610673[[#This Row],[Equity]]&lt;Tabla33610673[[#This Row],[Equity Peak]],(Tabla33610673[[#This Row],[Equity Peak]]-Tabla33610673[[#This Row],[Equity]])/Tabla33610673[[#This Row],[Equity Peak]],"")</f>
        <v>1.3291388124262681E-2</v>
      </c>
      <c r="V383" s="209">
        <f t="shared" si="102"/>
        <v>-0.28000000000000003</v>
      </c>
      <c r="W383" s="209">
        <f t="shared" si="103"/>
        <v>0</v>
      </c>
      <c r="X383" s="209">
        <f t="shared" si="104"/>
        <v>0</v>
      </c>
      <c r="Y383" s="209">
        <f t="shared" si="105"/>
        <v>0</v>
      </c>
      <c r="Z383" s="209">
        <f t="shared" si="106"/>
        <v>0</v>
      </c>
      <c r="AA383" s="205">
        <f t="shared" si="107"/>
        <v>0</v>
      </c>
      <c r="AB383" s="209">
        <f t="shared" si="108"/>
        <v>0</v>
      </c>
      <c r="AC383" s="205">
        <f t="shared" si="109"/>
        <v>0</v>
      </c>
      <c r="AD383" s="210">
        <f t="shared" si="110"/>
        <v>1.1006944444452529</v>
      </c>
      <c r="AE383" s="210">
        <f t="shared" si="111"/>
        <v>0</v>
      </c>
      <c r="AF383" s="210">
        <f t="shared" si="112"/>
        <v>1.1006944444452529</v>
      </c>
      <c r="AG383" s="210">
        <f t="shared" si="113"/>
        <v>0</v>
      </c>
    </row>
    <row r="384" spans="2:33" ht="15" customHeight="1" x14ac:dyDescent="0.3">
      <c r="B384" s="196" t="s">
        <v>19</v>
      </c>
      <c r="C384" s="197" t="s">
        <v>15</v>
      </c>
      <c r="D384" s="198" t="str">
        <f t="shared" si="95"/>
        <v>C</v>
      </c>
      <c r="E384" s="199">
        <v>43511.791666666664</v>
      </c>
      <c r="F384" s="200" t="s">
        <v>108</v>
      </c>
      <c r="G384" s="201">
        <v>56.027000000000001</v>
      </c>
      <c r="H384" s="201">
        <v>54.375</v>
      </c>
      <c r="I384" s="202">
        <f t="shared" si="96"/>
        <v>1.652000000000001</v>
      </c>
      <c r="J384" s="201">
        <v>75.853999999999999</v>
      </c>
      <c r="K384" s="199">
        <v>43521.679861111108</v>
      </c>
      <c r="L384" s="201">
        <v>56.009</v>
      </c>
      <c r="M384" s="203">
        <f t="shared" si="97"/>
        <v>-1.7999999999999999E-2</v>
      </c>
      <c r="N384" s="204">
        <f t="shared" si="98"/>
        <v>-0.01</v>
      </c>
      <c r="O384" s="205">
        <f t="shared" si="99"/>
        <v>0</v>
      </c>
      <c r="P384" s="206">
        <f t="shared" si="100"/>
        <v>0</v>
      </c>
      <c r="Q384" s="206">
        <f t="shared" si="101"/>
        <v>-0.01</v>
      </c>
      <c r="R38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8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125740</v>
      </c>
      <c r="T38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127150</v>
      </c>
      <c r="U384" s="208">
        <f ca="1">IF(Tabla33610673[[#This Row],[Equity]]&lt;Tabla33610673[[#This Row],[Equity Peak]],(Tabla33610673[[#This Row],[Equity Peak]]-Tabla33610673[[#This Row],[Equity]])/Tabla33610673[[#This Row],[Equity Peak]],"")</f>
        <v>1.108926464805348E-2</v>
      </c>
      <c r="V384" s="209">
        <f t="shared" si="102"/>
        <v>0</v>
      </c>
      <c r="W384" s="209">
        <f t="shared" si="103"/>
        <v>0</v>
      </c>
      <c r="X384" s="209">
        <f t="shared" si="104"/>
        <v>-0.01</v>
      </c>
      <c r="Y384" s="209">
        <f t="shared" si="105"/>
        <v>0</v>
      </c>
      <c r="Z384" s="209">
        <f t="shared" si="106"/>
        <v>0</v>
      </c>
      <c r="AA384" s="205">
        <f t="shared" si="107"/>
        <v>0</v>
      </c>
      <c r="AB384" s="209">
        <f t="shared" si="108"/>
        <v>0</v>
      </c>
      <c r="AC384" s="205">
        <f t="shared" si="109"/>
        <v>0</v>
      </c>
      <c r="AD384" s="210">
        <f t="shared" si="110"/>
        <v>9.8881944444437977</v>
      </c>
      <c r="AE384" s="210">
        <f t="shared" si="111"/>
        <v>0</v>
      </c>
      <c r="AF384" s="210">
        <f t="shared" si="112"/>
        <v>9.8881944444437977</v>
      </c>
      <c r="AG384" s="210">
        <f t="shared" si="113"/>
        <v>0</v>
      </c>
    </row>
    <row r="385" spans="2:33" ht="15" customHeight="1" x14ac:dyDescent="0.3">
      <c r="B385" s="196" t="s">
        <v>7</v>
      </c>
      <c r="C385" s="197" t="s">
        <v>13</v>
      </c>
      <c r="D385" s="198" t="str">
        <f t="shared" si="95"/>
        <v>C</v>
      </c>
      <c r="E385" s="199">
        <v>43517.833333333336</v>
      </c>
      <c r="F385" s="200" t="s">
        <v>121</v>
      </c>
      <c r="G385" s="201">
        <v>0.70799000000000001</v>
      </c>
      <c r="H385" s="201">
        <v>0.71296000000000004</v>
      </c>
      <c r="I385" s="202">
        <f t="shared" si="96"/>
        <v>4.9700000000000299E-3</v>
      </c>
      <c r="J385" s="201">
        <v>0.68150999999999995</v>
      </c>
      <c r="K385" s="199">
        <v>43518.609722222223</v>
      </c>
      <c r="L385" s="201">
        <v>0.71296000000000004</v>
      </c>
      <c r="M385" s="203">
        <f t="shared" si="97"/>
        <v>-5.0000000000000001E-3</v>
      </c>
      <c r="N385" s="204">
        <f t="shared" si="98"/>
        <v>-1.01</v>
      </c>
      <c r="O385" s="205">
        <f t="shared" si="99"/>
        <v>0</v>
      </c>
      <c r="P385" s="206">
        <f t="shared" si="100"/>
        <v>0</v>
      </c>
      <c r="Q385" s="206">
        <f t="shared" si="101"/>
        <v>-1.01</v>
      </c>
      <c r="R38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8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125750</v>
      </c>
      <c r="T38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127150</v>
      </c>
      <c r="U385" s="208">
        <f ca="1">IF(Tabla33610673[[#This Row],[Equity]]&lt;Tabla33610673[[#This Row],[Equity Peak]],(Tabla33610673[[#This Row],[Equity Peak]]-Tabla33610673[[#This Row],[Equity]])/Tabla33610673[[#This Row],[Equity Peak]],"")</f>
        <v>1.1010617381046009E-2</v>
      </c>
      <c r="V385" s="209">
        <f t="shared" si="102"/>
        <v>-1.01</v>
      </c>
      <c r="W385" s="209">
        <f t="shared" si="103"/>
        <v>0</v>
      </c>
      <c r="X385" s="209">
        <f t="shared" si="104"/>
        <v>0</v>
      </c>
      <c r="Y385" s="209">
        <f t="shared" si="105"/>
        <v>0</v>
      </c>
      <c r="Z385" s="209">
        <f t="shared" si="106"/>
        <v>0</v>
      </c>
      <c r="AA385" s="205">
        <f t="shared" si="107"/>
        <v>0</v>
      </c>
      <c r="AB385" s="209">
        <f t="shared" si="108"/>
        <v>0</v>
      </c>
      <c r="AC385" s="205">
        <f t="shared" si="109"/>
        <v>0</v>
      </c>
      <c r="AD385" s="210">
        <f t="shared" si="110"/>
        <v>0.77638888888759539</v>
      </c>
      <c r="AE385" s="210">
        <f t="shared" si="111"/>
        <v>0</v>
      </c>
      <c r="AF385" s="210">
        <f t="shared" si="112"/>
        <v>0.77638888888759539</v>
      </c>
      <c r="AG385" s="210">
        <f t="shared" si="113"/>
        <v>0</v>
      </c>
    </row>
    <row r="386" spans="2:33" ht="15" customHeight="1" x14ac:dyDescent="0.3">
      <c r="B386" s="196" t="s">
        <v>7</v>
      </c>
      <c r="C386" s="197" t="s">
        <v>15</v>
      </c>
      <c r="D386" s="198" t="str">
        <f t="shared" si="95"/>
        <v>C</v>
      </c>
      <c r="E386" s="199">
        <v>43517.5</v>
      </c>
      <c r="F386" s="200" t="s">
        <v>120</v>
      </c>
      <c r="G386" s="201">
        <v>1.5949599999999999</v>
      </c>
      <c r="H386" s="201">
        <v>1.5865</v>
      </c>
      <c r="I386" s="202">
        <f t="shared" si="96"/>
        <v>8.459999999999912E-3</v>
      </c>
      <c r="J386" s="201">
        <v>1.6852199999999999</v>
      </c>
      <c r="K386" s="199">
        <v>43518.602777777778</v>
      </c>
      <c r="L386" s="201">
        <v>1.59161</v>
      </c>
      <c r="M386" s="203">
        <f t="shared" si="97"/>
        <v>-3.3E-3</v>
      </c>
      <c r="N386" s="204">
        <f t="shared" si="98"/>
        <v>-0.39</v>
      </c>
      <c r="O386" s="205">
        <f t="shared" si="99"/>
        <v>0</v>
      </c>
      <c r="P386" s="206">
        <f t="shared" si="100"/>
        <v>0</v>
      </c>
      <c r="Q386" s="206">
        <f t="shared" si="101"/>
        <v>-0.39</v>
      </c>
      <c r="R38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8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126760</v>
      </c>
      <c r="T38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127150</v>
      </c>
      <c r="U386" s="208">
        <f ca="1">IF(Tabla33610673[[#This Row],[Equity]]&lt;Tabla33610673[[#This Row],[Equity Peak]],(Tabla33610673[[#This Row],[Equity Peak]]-Tabla33610673[[#This Row],[Equity]])/Tabla33610673[[#This Row],[Equity Peak]],"")</f>
        <v>3.067243413291388E-3</v>
      </c>
      <c r="V386" s="209">
        <f t="shared" si="102"/>
        <v>-0.39</v>
      </c>
      <c r="W386" s="209">
        <f t="shared" si="103"/>
        <v>0</v>
      </c>
      <c r="X386" s="209">
        <f t="shared" si="104"/>
        <v>0</v>
      </c>
      <c r="Y386" s="209">
        <f t="shared" si="105"/>
        <v>0</v>
      </c>
      <c r="Z386" s="209">
        <f t="shared" si="106"/>
        <v>0</v>
      </c>
      <c r="AA386" s="205">
        <f t="shared" si="107"/>
        <v>0</v>
      </c>
      <c r="AB386" s="209">
        <f t="shared" si="108"/>
        <v>0</v>
      </c>
      <c r="AC386" s="205">
        <f t="shared" si="109"/>
        <v>0</v>
      </c>
      <c r="AD386" s="210">
        <f t="shared" si="110"/>
        <v>1.1027777777781012</v>
      </c>
      <c r="AE386" s="210">
        <f t="shared" si="111"/>
        <v>0</v>
      </c>
      <c r="AF386" s="210">
        <f t="shared" si="112"/>
        <v>1.1027777777781012</v>
      </c>
      <c r="AG386" s="210">
        <f t="shared" si="113"/>
        <v>0</v>
      </c>
    </row>
    <row r="387" spans="2:33" ht="15" customHeight="1" x14ac:dyDescent="0.3">
      <c r="B387" s="196" t="s">
        <v>19</v>
      </c>
      <c r="C387" s="197" t="s">
        <v>15</v>
      </c>
      <c r="D387" s="198" t="str">
        <f t="shared" si="95"/>
        <v>C</v>
      </c>
      <c r="E387" s="199">
        <v>43514.541666666664</v>
      </c>
      <c r="F387" s="200" t="s">
        <v>89</v>
      </c>
      <c r="G387" s="201">
        <v>15.823</v>
      </c>
      <c r="H387" s="201">
        <v>15.62</v>
      </c>
      <c r="I387" s="202">
        <f t="shared" si="96"/>
        <v>0.20300000000000118</v>
      </c>
      <c r="J387" s="201">
        <v>16.795999999999999</v>
      </c>
      <c r="K387" s="199">
        <v>43517.15</v>
      </c>
      <c r="L387" s="201">
        <v>15.986000000000001</v>
      </c>
      <c r="M387" s="203">
        <f t="shared" si="97"/>
        <v>0.16300000000000001</v>
      </c>
      <c r="N387" s="204">
        <f t="shared" si="98"/>
        <v>0.8</v>
      </c>
      <c r="O387" s="205">
        <f t="shared" si="99"/>
        <v>0</v>
      </c>
      <c r="P387" s="206">
        <f t="shared" si="100"/>
        <v>0.8</v>
      </c>
      <c r="Q387" s="206">
        <f t="shared" si="101"/>
        <v>0</v>
      </c>
      <c r="R38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8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127150</v>
      </c>
      <c r="T38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127150</v>
      </c>
      <c r="U387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387" s="209">
        <f t="shared" si="102"/>
        <v>0</v>
      </c>
      <c r="W387" s="209">
        <f t="shared" si="103"/>
        <v>0</v>
      </c>
      <c r="X387" s="209">
        <f t="shared" si="104"/>
        <v>0.8</v>
      </c>
      <c r="Y387" s="209">
        <f t="shared" si="105"/>
        <v>0</v>
      </c>
      <c r="Z387" s="209">
        <f t="shared" si="106"/>
        <v>0</v>
      </c>
      <c r="AA387" s="205">
        <f t="shared" si="107"/>
        <v>0</v>
      </c>
      <c r="AB387" s="209">
        <f t="shared" si="108"/>
        <v>0</v>
      </c>
      <c r="AC387" s="205">
        <f t="shared" si="109"/>
        <v>0</v>
      </c>
      <c r="AD387" s="210">
        <f t="shared" si="110"/>
        <v>2.6083333333372138</v>
      </c>
      <c r="AE387" s="210">
        <f t="shared" si="111"/>
        <v>2.6083333333372138</v>
      </c>
      <c r="AF387" s="210">
        <f t="shared" si="112"/>
        <v>0</v>
      </c>
      <c r="AG387" s="210">
        <f t="shared" si="113"/>
        <v>0</v>
      </c>
    </row>
    <row r="388" spans="2:33" ht="15" customHeight="1" x14ac:dyDescent="0.3">
      <c r="B388" s="196" t="s">
        <v>7</v>
      </c>
      <c r="C388" s="197" t="s">
        <v>15</v>
      </c>
      <c r="D388" s="198" t="str">
        <f t="shared" si="95"/>
        <v>C</v>
      </c>
      <c r="E388" s="199">
        <v>43516.017361111109</v>
      </c>
      <c r="F388" s="200" t="s">
        <v>116</v>
      </c>
      <c r="G388" s="201">
        <v>1.82555</v>
      </c>
      <c r="H388" s="201">
        <v>1.80643</v>
      </c>
      <c r="I388" s="202">
        <f t="shared" si="96"/>
        <v>1.9120000000000026E-2</v>
      </c>
      <c r="J388" s="201">
        <v>1.8893</v>
      </c>
      <c r="K388" s="199">
        <v>43517.009027777778</v>
      </c>
      <c r="L388" s="201">
        <v>1.81423</v>
      </c>
      <c r="M388" s="203">
        <f t="shared" si="97"/>
        <v>-1.1299999999999999E-2</v>
      </c>
      <c r="N388" s="204">
        <f t="shared" si="98"/>
        <v>-0.59</v>
      </c>
      <c r="O388" s="205">
        <f t="shared" si="99"/>
        <v>0</v>
      </c>
      <c r="P388" s="206">
        <f t="shared" si="100"/>
        <v>0</v>
      </c>
      <c r="Q388" s="206">
        <f t="shared" si="101"/>
        <v>-0.59</v>
      </c>
      <c r="R38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8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126350</v>
      </c>
      <c r="T38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126940</v>
      </c>
      <c r="U388" s="208">
        <f ca="1">IF(Tabla33610673[[#This Row],[Equity]]&lt;Tabla33610673[[#This Row],[Equity Peak]],(Tabla33610673[[#This Row],[Equity Peak]]-Tabla33610673[[#This Row],[Equity]])/Tabla33610673[[#This Row],[Equity Peak]],"")</f>
        <v>4.6478651331337637E-3</v>
      </c>
      <c r="V388" s="209">
        <f t="shared" si="102"/>
        <v>-0.59</v>
      </c>
      <c r="W388" s="209">
        <f t="shared" si="103"/>
        <v>0</v>
      </c>
      <c r="X388" s="209">
        <f t="shared" si="104"/>
        <v>0</v>
      </c>
      <c r="Y388" s="209">
        <f t="shared" si="105"/>
        <v>0</v>
      </c>
      <c r="Z388" s="209">
        <f t="shared" si="106"/>
        <v>0</v>
      </c>
      <c r="AA388" s="205">
        <f t="shared" si="107"/>
        <v>0</v>
      </c>
      <c r="AB388" s="209">
        <f t="shared" si="108"/>
        <v>0</v>
      </c>
      <c r="AC388" s="205">
        <f t="shared" si="109"/>
        <v>0</v>
      </c>
      <c r="AD388" s="210">
        <f t="shared" si="110"/>
        <v>0.99166666666860692</v>
      </c>
      <c r="AE388" s="210">
        <f t="shared" si="111"/>
        <v>0</v>
      </c>
      <c r="AF388" s="210">
        <f t="shared" si="112"/>
        <v>0.99166666666860692</v>
      </c>
      <c r="AG388" s="210">
        <f t="shared" si="113"/>
        <v>0</v>
      </c>
    </row>
    <row r="389" spans="2:33" ht="15" customHeight="1" x14ac:dyDescent="0.3">
      <c r="B389" s="196" t="s">
        <v>19</v>
      </c>
      <c r="C389" s="197" t="s">
        <v>15</v>
      </c>
      <c r="D389" s="198" t="str">
        <f t="shared" si="95"/>
        <v>C</v>
      </c>
      <c r="E389" s="199">
        <v>43510.875</v>
      </c>
      <c r="F389" s="200" t="s">
        <v>88</v>
      </c>
      <c r="G389" s="201">
        <v>1311.55</v>
      </c>
      <c r="H389" s="201">
        <v>1299.99</v>
      </c>
      <c r="I389" s="202">
        <f t="shared" si="96"/>
        <v>11.559999999999945</v>
      </c>
      <c r="J389" s="201">
        <v>1385.53</v>
      </c>
      <c r="K389" s="199">
        <v>43516.981944444444</v>
      </c>
      <c r="L389" s="201">
        <v>1337.73</v>
      </c>
      <c r="M389" s="203">
        <f t="shared" si="97"/>
        <v>26.18</v>
      </c>
      <c r="N389" s="204">
        <f t="shared" si="98"/>
        <v>2.2599999999999998</v>
      </c>
      <c r="O389" s="205">
        <f t="shared" si="99"/>
        <v>0</v>
      </c>
      <c r="P389" s="206">
        <f t="shared" si="100"/>
        <v>2.2599999999999998</v>
      </c>
      <c r="Q389" s="206">
        <f t="shared" si="101"/>
        <v>0</v>
      </c>
      <c r="R38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8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126940</v>
      </c>
      <c r="T38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126940</v>
      </c>
      <c r="U389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389" s="209">
        <f t="shared" si="102"/>
        <v>0</v>
      </c>
      <c r="W389" s="209">
        <f t="shared" si="103"/>
        <v>0</v>
      </c>
      <c r="X389" s="209">
        <f t="shared" si="104"/>
        <v>2.2599999999999998</v>
      </c>
      <c r="Y389" s="209">
        <f t="shared" si="105"/>
        <v>0</v>
      </c>
      <c r="Z389" s="209">
        <f t="shared" si="106"/>
        <v>0</v>
      </c>
      <c r="AA389" s="205">
        <f t="shared" si="107"/>
        <v>0</v>
      </c>
      <c r="AB389" s="209">
        <f t="shared" si="108"/>
        <v>0</v>
      </c>
      <c r="AC389" s="205">
        <f t="shared" si="109"/>
        <v>0</v>
      </c>
      <c r="AD389" s="210">
        <f t="shared" si="110"/>
        <v>6.1069444444437977</v>
      </c>
      <c r="AE389" s="210">
        <f t="shared" si="111"/>
        <v>6.1069444444437977</v>
      </c>
      <c r="AF389" s="210">
        <f t="shared" si="112"/>
        <v>0</v>
      </c>
      <c r="AG389" s="210">
        <f t="shared" si="113"/>
        <v>0</v>
      </c>
    </row>
    <row r="390" spans="2:33" ht="15" customHeight="1" x14ac:dyDescent="0.3">
      <c r="B390" s="196" t="s">
        <v>7</v>
      </c>
      <c r="C390" s="197" t="s">
        <v>13</v>
      </c>
      <c r="D390" s="198" t="str">
        <f t="shared" si="95"/>
        <v>C</v>
      </c>
      <c r="E390" s="199">
        <v>43514.333333333336</v>
      </c>
      <c r="F390" s="200" t="s">
        <v>119</v>
      </c>
      <c r="G390" s="201">
        <v>0.87605</v>
      </c>
      <c r="H390" s="201">
        <v>0.87914000000000003</v>
      </c>
      <c r="I390" s="202">
        <f t="shared" si="96"/>
        <v>3.0900000000000372E-3</v>
      </c>
      <c r="J390" s="201">
        <v>0.86780999999999997</v>
      </c>
      <c r="K390" s="199">
        <v>43515.936111111114</v>
      </c>
      <c r="L390" s="201">
        <v>0.86780999999999997</v>
      </c>
      <c r="M390" s="203">
        <f t="shared" si="97"/>
        <v>8.2000000000000007E-3</v>
      </c>
      <c r="N390" s="204">
        <f t="shared" si="98"/>
        <v>2.65</v>
      </c>
      <c r="O390" s="205">
        <f t="shared" si="99"/>
        <v>0</v>
      </c>
      <c r="P390" s="206">
        <f t="shared" si="100"/>
        <v>2.65</v>
      </c>
      <c r="Q390" s="206">
        <f t="shared" si="101"/>
        <v>0</v>
      </c>
      <c r="R39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9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124680</v>
      </c>
      <c r="T39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124680</v>
      </c>
      <c r="U390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390" s="209">
        <f t="shared" si="102"/>
        <v>2.65</v>
      </c>
      <c r="W390" s="209">
        <f t="shared" si="103"/>
        <v>0</v>
      </c>
      <c r="X390" s="209">
        <f t="shared" si="104"/>
        <v>0</v>
      </c>
      <c r="Y390" s="209">
        <f t="shared" si="105"/>
        <v>0</v>
      </c>
      <c r="Z390" s="209">
        <f t="shared" si="106"/>
        <v>0</v>
      </c>
      <c r="AA390" s="205">
        <f t="shared" si="107"/>
        <v>0</v>
      </c>
      <c r="AB390" s="209">
        <f t="shared" si="108"/>
        <v>0</v>
      </c>
      <c r="AC390" s="205">
        <f t="shared" si="109"/>
        <v>0</v>
      </c>
      <c r="AD390" s="210">
        <f t="shared" si="110"/>
        <v>1.6027777777781012</v>
      </c>
      <c r="AE390" s="210">
        <f t="shared" si="111"/>
        <v>1.6027777777781012</v>
      </c>
      <c r="AF390" s="210">
        <f t="shared" si="112"/>
        <v>0</v>
      </c>
      <c r="AG390" s="210">
        <f t="shared" si="113"/>
        <v>0</v>
      </c>
    </row>
    <row r="391" spans="2:33" ht="15" customHeight="1" x14ac:dyDescent="0.3">
      <c r="B391" s="196" t="s">
        <v>5</v>
      </c>
      <c r="C391" s="197" t="s">
        <v>15</v>
      </c>
      <c r="D391" s="198" t="str">
        <f t="shared" si="95"/>
        <v>C</v>
      </c>
      <c r="E391" s="199">
        <v>43495.833333333336</v>
      </c>
      <c r="F391" s="200" t="s">
        <v>95</v>
      </c>
      <c r="G391" s="201">
        <v>24910.1</v>
      </c>
      <c r="H391" s="201">
        <v>24652.06</v>
      </c>
      <c r="I391" s="202">
        <f t="shared" si="96"/>
        <v>258.03999999999724</v>
      </c>
      <c r="J391" s="201">
        <v>25942.26</v>
      </c>
      <c r="K391" s="199">
        <v>43515.843055555553</v>
      </c>
      <c r="L391" s="201">
        <v>25942.26</v>
      </c>
      <c r="M391" s="203">
        <f t="shared" si="97"/>
        <v>1032.1600000000001</v>
      </c>
      <c r="N391" s="204">
        <f t="shared" si="98"/>
        <v>4</v>
      </c>
      <c r="O391" s="205">
        <f t="shared" si="99"/>
        <v>0</v>
      </c>
      <c r="P391" s="206">
        <f t="shared" si="100"/>
        <v>4</v>
      </c>
      <c r="Q391" s="206">
        <f t="shared" si="101"/>
        <v>0</v>
      </c>
      <c r="R39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9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122030</v>
      </c>
      <c r="T39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123700</v>
      </c>
      <c r="U391" s="208">
        <f ca="1">IF(Tabla33610673[[#This Row],[Equity]]&lt;Tabla33610673[[#This Row],[Equity Peak]],(Tabla33610673[[#This Row],[Equity Peak]]-Tabla33610673[[#This Row],[Equity]])/Tabla33610673[[#This Row],[Equity Peak]],"")</f>
        <v>1.3500404203718674E-2</v>
      </c>
      <c r="V391" s="209">
        <f t="shared" si="102"/>
        <v>0</v>
      </c>
      <c r="W391" s="209">
        <f t="shared" si="103"/>
        <v>0</v>
      </c>
      <c r="X391" s="209">
        <f t="shared" si="104"/>
        <v>0</v>
      </c>
      <c r="Y391" s="209">
        <f t="shared" si="105"/>
        <v>0</v>
      </c>
      <c r="Z391" s="209">
        <f t="shared" si="106"/>
        <v>4</v>
      </c>
      <c r="AA391" s="205">
        <f t="shared" si="107"/>
        <v>0</v>
      </c>
      <c r="AB391" s="209">
        <f t="shared" si="108"/>
        <v>0</v>
      </c>
      <c r="AC391" s="205">
        <f t="shared" si="109"/>
        <v>0</v>
      </c>
      <c r="AD391" s="210">
        <f t="shared" si="110"/>
        <v>20.009722222217533</v>
      </c>
      <c r="AE391" s="210">
        <f t="shared" si="111"/>
        <v>20.009722222217533</v>
      </c>
      <c r="AF391" s="210">
        <f t="shared" si="112"/>
        <v>0</v>
      </c>
      <c r="AG391" s="210">
        <f t="shared" si="113"/>
        <v>0</v>
      </c>
    </row>
    <row r="392" spans="2:33" ht="15" customHeight="1" x14ac:dyDescent="0.3">
      <c r="B392" s="196" t="s">
        <v>7</v>
      </c>
      <c r="C392" s="197" t="s">
        <v>13</v>
      </c>
      <c r="D392" s="198" t="str">
        <f t="shared" si="95"/>
        <v>C</v>
      </c>
      <c r="E392" s="199">
        <v>43511.017361111109</v>
      </c>
      <c r="F392" s="200" t="s">
        <v>118</v>
      </c>
      <c r="G392" s="201">
        <v>124.821</v>
      </c>
      <c r="H392" s="201">
        <v>125.52200000000001</v>
      </c>
      <c r="I392" s="202">
        <f t="shared" si="96"/>
        <v>0.70100000000000762</v>
      </c>
      <c r="J392" s="201">
        <v>122.018</v>
      </c>
      <c r="K392" s="199">
        <v>43514.179166666669</v>
      </c>
      <c r="L392" s="201">
        <v>125.143</v>
      </c>
      <c r="M392" s="203">
        <f t="shared" si="97"/>
        <v>-0.32200000000000001</v>
      </c>
      <c r="N392" s="204">
        <f t="shared" si="98"/>
        <v>-0.46</v>
      </c>
      <c r="O392" s="205">
        <f t="shared" si="99"/>
        <v>0</v>
      </c>
      <c r="P392" s="206">
        <f t="shared" si="100"/>
        <v>0</v>
      </c>
      <c r="Q392" s="206">
        <f t="shared" si="101"/>
        <v>-0.46</v>
      </c>
      <c r="R39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9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118030</v>
      </c>
      <c r="T39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123700</v>
      </c>
      <c r="U392" s="208">
        <f ca="1">IF(Tabla33610673[[#This Row],[Equity]]&lt;Tabla33610673[[#This Row],[Equity Peak]],(Tabla33610673[[#This Row],[Equity Peak]]-Tabla33610673[[#This Row],[Equity]])/Tabla33610673[[#This Row],[Equity Peak]],"")</f>
        <v>4.5836701697655621E-2</v>
      </c>
      <c r="V392" s="209">
        <f t="shared" si="102"/>
        <v>-0.46</v>
      </c>
      <c r="W392" s="209">
        <f t="shared" si="103"/>
        <v>0</v>
      </c>
      <c r="X392" s="209">
        <f t="shared" si="104"/>
        <v>0</v>
      </c>
      <c r="Y392" s="209">
        <f t="shared" si="105"/>
        <v>0</v>
      </c>
      <c r="Z392" s="209">
        <f t="shared" si="106"/>
        <v>0</v>
      </c>
      <c r="AA392" s="205">
        <f t="shared" si="107"/>
        <v>0</v>
      </c>
      <c r="AB392" s="209">
        <f t="shared" si="108"/>
        <v>0</v>
      </c>
      <c r="AC392" s="205">
        <f t="shared" si="109"/>
        <v>0</v>
      </c>
      <c r="AD392" s="210">
        <f t="shared" si="110"/>
        <v>3.1618055555591127</v>
      </c>
      <c r="AE392" s="210">
        <f t="shared" si="111"/>
        <v>0</v>
      </c>
      <c r="AF392" s="210">
        <f t="shared" si="112"/>
        <v>3.1618055555591127</v>
      </c>
      <c r="AG392" s="210">
        <f t="shared" si="113"/>
        <v>0</v>
      </c>
    </row>
    <row r="393" spans="2:33" ht="15" customHeight="1" x14ac:dyDescent="0.3">
      <c r="B393" s="196" t="s">
        <v>19</v>
      </c>
      <c r="C393" s="197" t="s">
        <v>13</v>
      </c>
      <c r="D393" s="198" t="str">
        <f t="shared" si="95"/>
        <v>C</v>
      </c>
      <c r="E393" s="199">
        <v>43510.208333333336</v>
      </c>
      <c r="F393" s="200" t="s">
        <v>89</v>
      </c>
      <c r="G393" s="201">
        <v>15.621</v>
      </c>
      <c r="H393" s="201">
        <v>15.821</v>
      </c>
      <c r="I393" s="202">
        <f t="shared" si="96"/>
        <v>0.19999999999999929</v>
      </c>
      <c r="J393" s="201">
        <v>14.659000000000001</v>
      </c>
      <c r="K393" s="199">
        <v>43514.124305555553</v>
      </c>
      <c r="L393" s="201">
        <v>15.821</v>
      </c>
      <c r="M393" s="203">
        <f t="shared" si="97"/>
        <v>-0.2</v>
      </c>
      <c r="N393" s="204">
        <f t="shared" si="98"/>
        <v>-1</v>
      </c>
      <c r="O393" s="205">
        <f t="shared" si="99"/>
        <v>0</v>
      </c>
      <c r="P393" s="206">
        <f t="shared" si="100"/>
        <v>0</v>
      </c>
      <c r="Q393" s="206">
        <f t="shared" si="101"/>
        <v>-1</v>
      </c>
      <c r="R39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9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118490</v>
      </c>
      <c r="T39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123700</v>
      </c>
      <c r="U393" s="208">
        <f ca="1">IF(Tabla33610673[[#This Row],[Equity]]&lt;Tabla33610673[[#This Row],[Equity Peak]],(Tabla33610673[[#This Row],[Equity Peak]]-Tabla33610673[[#This Row],[Equity]])/Tabla33610673[[#This Row],[Equity Peak]],"")</f>
        <v>4.2118027485852867E-2</v>
      </c>
      <c r="V393" s="209">
        <f t="shared" si="102"/>
        <v>0</v>
      </c>
      <c r="W393" s="209">
        <f t="shared" si="103"/>
        <v>0</v>
      </c>
      <c r="X393" s="209">
        <f t="shared" si="104"/>
        <v>-1</v>
      </c>
      <c r="Y393" s="209">
        <f t="shared" si="105"/>
        <v>0</v>
      </c>
      <c r="Z393" s="209">
        <f t="shared" si="106"/>
        <v>0</v>
      </c>
      <c r="AA393" s="205">
        <f t="shared" si="107"/>
        <v>0</v>
      </c>
      <c r="AB393" s="209">
        <f t="shared" si="108"/>
        <v>0</v>
      </c>
      <c r="AC393" s="205">
        <f t="shared" si="109"/>
        <v>0</v>
      </c>
      <c r="AD393" s="210">
        <f t="shared" si="110"/>
        <v>3.9159722222175333</v>
      </c>
      <c r="AE393" s="210">
        <f t="shared" si="111"/>
        <v>0</v>
      </c>
      <c r="AF393" s="210">
        <f t="shared" si="112"/>
        <v>3.9159722222175333</v>
      </c>
      <c r="AG393" s="210">
        <f t="shared" si="113"/>
        <v>0</v>
      </c>
    </row>
    <row r="394" spans="2:33" ht="15" customHeight="1" x14ac:dyDescent="0.3">
      <c r="B394" s="196" t="s">
        <v>7</v>
      </c>
      <c r="C394" s="197" t="s">
        <v>13</v>
      </c>
      <c r="D394" s="198" t="str">
        <f t="shared" si="95"/>
        <v>C</v>
      </c>
      <c r="E394" s="199">
        <v>43511.333333333336</v>
      </c>
      <c r="F394" s="200" t="s">
        <v>115</v>
      </c>
      <c r="G394" s="201">
        <v>141.22200000000001</v>
      </c>
      <c r="H394" s="201">
        <v>142.30500000000001</v>
      </c>
      <c r="I394" s="202">
        <f t="shared" si="96"/>
        <v>1.0829999999999984</v>
      </c>
      <c r="J394" s="201">
        <v>135.15600000000001</v>
      </c>
      <c r="K394" s="199">
        <v>43511.773611111108</v>
      </c>
      <c r="L394" s="201">
        <v>142.30500000000001</v>
      </c>
      <c r="M394" s="203">
        <f t="shared" si="97"/>
        <v>-1.083</v>
      </c>
      <c r="N394" s="204">
        <f t="shared" si="98"/>
        <v>-1</v>
      </c>
      <c r="O394" s="205">
        <f t="shared" si="99"/>
        <v>0</v>
      </c>
      <c r="P394" s="206">
        <f t="shared" si="100"/>
        <v>0</v>
      </c>
      <c r="Q394" s="206">
        <f t="shared" si="101"/>
        <v>-1</v>
      </c>
      <c r="R39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9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119490</v>
      </c>
      <c r="T39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123700</v>
      </c>
      <c r="U394" s="208">
        <f ca="1">IF(Tabla33610673[[#This Row],[Equity]]&lt;Tabla33610673[[#This Row],[Equity Peak]],(Tabla33610673[[#This Row],[Equity Peak]]-Tabla33610673[[#This Row],[Equity]])/Tabla33610673[[#This Row],[Equity Peak]],"")</f>
        <v>3.4033953112368634E-2</v>
      </c>
      <c r="V394" s="209">
        <f t="shared" si="102"/>
        <v>-1</v>
      </c>
      <c r="W394" s="209">
        <f t="shared" si="103"/>
        <v>0</v>
      </c>
      <c r="X394" s="209">
        <f t="shared" si="104"/>
        <v>0</v>
      </c>
      <c r="Y394" s="209">
        <f t="shared" si="105"/>
        <v>0</v>
      </c>
      <c r="Z394" s="209">
        <f t="shared" si="106"/>
        <v>0</v>
      </c>
      <c r="AA394" s="205">
        <f t="shared" si="107"/>
        <v>0</v>
      </c>
      <c r="AB394" s="209">
        <f t="shared" si="108"/>
        <v>0</v>
      </c>
      <c r="AC394" s="205">
        <f t="shared" si="109"/>
        <v>0</v>
      </c>
      <c r="AD394" s="210">
        <f t="shared" si="110"/>
        <v>0.44027777777228039</v>
      </c>
      <c r="AE394" s="210">
        <f t="shared" si="111"/>
        <v>0</v>
      </c>
      <c r="AF394" s="210">
        <f t="shared" si="112"/>
        <v>0.44027777777228039</v>
      </c>
      <c r="AG394" s="210">
        <f t="shared" si="113"/>
        <v>0</v>
      </c>
    </row>
    <row r="395" spans="2:33" ht="15" customHeight="1" x14ac:dyDescent="0.3">
      <c r="B395" s="196" t="s">
        <v>7</v>
      </c>
      <c r="C395" s="197" t="s">
        <v>15</v>
      </c>
      <c r="D395" s="198" t="str">
        <f t="shared" si="95"/>
        <v>C</v>
      </c>
      <c r="E395" s="199">
        <v>43509.166666666664</v>
      </c>
      <c r="F395" s="200" t="s">
        <v>118</v>
      </c>
      <c r="G395" s="201">
        <v>125.35599999999999</v>
      </c>
      <c r="H395" s="201">
        <v>124.679</v>
      </c>
      <c r="I395" s="202">
        <f t="shared" si="96"/>
        <v>0.6769999999999925</v>
      </c>
      <c r="J395" s="201">
        <v>128.06399999999999</v>
      </c>
      <c r="K395" s="199">
        <v>43511</v>
      </c>
      <c r="L395" s="201">
        <v>124.742</v>
      </c>
      <c r="M395" s="203">
        <f t="shared" si="97"/>
        <v>-0.61399999999999999</v>
      </c>
      <c r="N395" s="204">
        <f t="shared" si="98"/>
        <v>-0.91</v>
      </c>
      <c r="O395" s="205">
        <f t="shared" si="99"/>
        <v>0</v>
      </c>
      <c r="P395" s="206">
        <f t="shared" si="100"/>
        <v>0</v>
      </c>
      <c r="Q395" s="206">
        <f t="shared" si="101"/>
        <v>-0.91</v>
      </c>
      <c r="R39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9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120490</v>
      </c>
      <c r="T39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123700</v>
      </c>
      <c r="U395" s="208">
        <f ca="1">IF(Tabla33610673[[#This Row],[Equity]]&lt;Tabla33610673[[#This Row],[Equity Peak]],(Tabla33610673[[#This Row],[Equity Peak]]-Tabla33610673[[#This Row],[Equity]])/Tabla33610673[[#This Row],[Equity Peak]],"")</f>
        <v>2.5949878738884397E-2</v>
      </c>
      <c r="V395" s="209">
        <f t="shared" si="102"/>
        <v>-0.91</v>
      </c>
      <c r="W395" s="209">
        <f t="shared" si="103"/>
        <v>0</v>
      </c>
      <c r="X395" s="209">
        <f t="shared" si="104"/>
        <v>0</v>
      </c>
      <c r="Y395" s="209">
        <f t="shared" si="105"/>
        <v>0</v>
      </c>
      <c r="Z395" s="209">
        <f t="shared" si="106"/>
        <v>0</v>
      </c>
      <c r="AA395" s="205">
        <f t="shared" si="107"/>
        <v>0</v>
      </c>
      <c r="AB395" s="209">
        <f t="shared" si="108"/>
        <v>0</v>
      </c>
      <c r="AC395" s="205">
        <f t="shared" si="109"/>
        <v>0</v>
      </c>
      <c r="AD395" s="210">
        <f t="shared" si="110"/>
        <v>1.8333333333357587</v>
      </c>
      <c r="AE395" s="210">
        <f t="shared" si="111"/>
        <v>0</v>
      </c>
      <c r="AF395" s="210">
        <f t="shared" si="112"/>
        <v>1.8333333333357587</v>
      </c>
      <c r="AG395" s="210">
        <f t="shared" si="113"/>
        <v>0</v>
      </c>
    </row>
    <row r="396" spans="2:33" ht="15" customHeight="1" x14ac:dyDescent="0.3">
      <c r="B396" s="196" t="s">
        <v>19</v>
      </c>
      <c r="C396" s="197" t="s">
        <v>15</v>
      </c>
      <c r="D396" s="198" t="str">
        <f t="shared" si="95"/>
        <v>C</v>
      </c>
      <c r="E396" s="199">
        <v>43509.458333333336</v>
      </c>
      <c r="F396" s="200" t="s">
        <v>108</v>
      </c>
      <c r="G396" s="201">
        <v>53.777000000000001</v>
      </c>
      <c r="H396" s="201">
        <v>52.104999999999997</v>
      </c>
      <c r="I396" s="202">
        <f t="shared" si="96"/>
        <v>1.6720000000000041</v>
      </c>
      <c r="J396" s="201">
        <v>73.837000000000003</v>
      </c>
      <c r="K396" s="199">
        <v>43510.731249999997</v>
      </c>
      <c r="L396" s="201">
        <v>53.668999999999997</v>
      </c>
      <c r="M396" s="203">
        <f t="shared" si="97"/>
        <v>-0.108</v>
      </c>
      <c r="N396" s="204">
        <f t="shared" si="98"/>
        <v>-0.06</v>
      </c>
      <c r="O396" s="205">
        <f t="shared" si="99"/>
        <v>0</v>
      </c>
      <c r="P396" s="206">
        <f t="shared" si="100"/>
        <v>0</v>
      </c>
      <c r="Q396" s="206">
        <f t="shared" si="101"/>
        <v>-0.06</v>
      </c>
      <c r="R39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9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121400</v>
      </c>
      <c r="T39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123700</v>
      </c>
      <c r="U396" s="208">
        <f ca="1">IF(Tabla33610673[[#This Row],[Equity]]&lt;Tabla33610673[[#This Row],[Equity Peak]],(Tabla33610673[[#This Row],[Equity Peak]]-Tabla33610673[[#This Row],[Equity]])/Tabla33610673[[#This Row],[Equity Peak]],"")</f>
        <v>1.8593371059013743E-2</v>
      </c>
      <c r="V396" s="209">
        <f t="shared" si="102"/>
        <v>0</v>
      </c>
      <c r="W396" s="209">
        <f t="shared" si="103"/>
        <v>0</v>
      </c>
      <c r="X396" s="209">
        <f t="shared" si="104"/>
        <v>-0.06</v>
      </c>
      <c r="Y396" s="209">
        <f t="shared" si="105"/>
        <v>0</v>
      </c>
      <c r="Z396" s="209">
        <f t="shared" si="106"/>
        <v>0</v>
      </c>
      <c r="AA396" s="205">
        <f t="shared" si="107"/>
        <v>0</v>
      </c>
      <c r="AB396" s="209">
        <f t="shared" si="108"/>
        <v>0</v>
      </c>
      <c r="AC396" s="205">
        <f t="shared" si="109"/>
        <v>0</v>
      </c>
      <c r="AD396" s="210">
        <f t="shared" si="110"/>
        <v>1.272916666661331</v>
      </c>
      <c r="AE396" s="210">
        <f t="shared" si="111"/>
        <v>0</v>
      </c>
      <c r="AF396" s="210">
        <f t="shared" si="112"/>
        <v>1.272916666661331</v>
      </c>
      <c r="AG396" s="210">
        <f t="shared" si="113"/>
        <v>0</v>
      </c>
    </row>
    <row r="397" spans="2:33" ht="15" customHeight="1" x14ac:dyDescent="0.3">
      <c r="B397" s="196" t="s">
        <v>7</v>
      </c>
      <c r="C397" s="197" t="s">
        <v>15</v>
      </c>
      <c r="D397" s="198" t="str">
        <f t="shared" si="95"/>
        <v>C</v>
      </c>
      <c r="E397" s="199">
        <v>43509.5</v>
      </c>
      <c r="F397" s="200" t="s">
        <v>122</v>
      </c>
      <c r="G397" s="201">
        <v>78.769000000000005</v>
      </c>
      <c r="H397" s="201">
        <v>78.459999999999994</v>
      </c>
      <c r="I397" s="202">
        <f t="shared" si="96"/>
        <v>0.30900000000001171</v>
      </c>
      <c r="J397" s="201">
        <v>84.119</v>
      </c>
      <c r="K397" s="199">
        <v>43510.709027777775</v>
      </c>
      <c r="L397" s="201">
        <v>78.497</v>
      </c>
      <c r="M397" s="203">
        <f t="shared" si="97"/>
        <v>-0.27200000000000002</v>
      </c>
      <c r="N397" s="204">
        <f t="shared" si="98"/>
        <v>-0.88</v>
      </c>
      <c r="O397" s="205">
        <f t="shared" si="99"/>
        <v>0</v>
      </c>
      <c r="P397" s="206">
        <f t="shared" si="100"/>
        <v>0</v>
      </c>
      <c r="Q397" s="206">
        <f t="shared" si="101"/>
        <v>-0.88</v>
      </c>
      <c r="R39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9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121460</v>
      </c>
      <c r="T39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123700</v>
      </c>
      <c r="U397" s="208">
        <f ca="1">IF(Tabla33610673[[#This Row],[Equity]]&lt;Tabla33610673[[#This Row],[Equity Peak]],(Tabla33610673[[#This Row],[Equity Peak]]-Tabla33610673[[#This Row],[Equity]])/Tabla33610673[[#This Row],[Equity Peak]],"")</f>
        <v>1.810832659660469E-2</v>
      </c>
      <c r="V397" s="209">
        <f t="shared" si="102"/>
        <v>-0.88</v>
      </c>
      <c r="W397" s="209">
        <f t="shared" si="103"/>
        <v>0</v>
      </c>
      <c r="X397" s="209">
        <f t="shared" si="104"/>
        <v>0</v>
      </c>
      <c r="Y397" s="209">
        <f t="shared" si="105"/>
        <v>0</v>
      </c>
      <c r="Z397" s="209">
        <f t="shared" si="106"/>
        <v>0</v>
      </c>
      <c r="AA397" s="205">
        <f t="shared" si="107"/>
        <v>0</v>
      </c>
      <c r="AB397" s="209">
        <f t="shared" si="108"/>
        <v>0</v>
      </c>
      <c r="AC397" s="205">
        <f t="shared" si="109"/>
        <v>0</v>
      </c>
      <c r="AD397" s="210">
        <f t="shared" si="110"/>
        <v>1.2090277777751908</v>
      </c>
      <c r="AE397" s="210">
        <f t="shared" si="111"/>
        <v>0</v>
      </c>
      <c r="AF397" s="210">
        <f t="shared" si="112"/>
        <v>1.2090277777751908</v>
      </c>
      <c r="AG397" s="210">
        <f t="shared" si="113"/>
        <v>0</v>
      </c>
    </row>
    <row r="398" spans="2:33" ht="15" customHeight="1" x14ac:dyDescent="0.3">
      <c r="B398" s="196" t="s">
        <v>7</v>
      </c>
      <c r="C398" s="197" t="s">
        <v>13</v>
      </c>
      <c r="D398" s="198" t="str">
        <f t="shared" si="95"/>
        <v>C</v>
      </c>
      <c r="E398" s="199">
        <v>43509.666666666664</v>
      </c>
      <c r="F398" s="200" t="s">
        <v>120</v>
      </c>
      <c r="G398" s="201">
        <v>1.58921</v>
      </c>
      <c r="H398" s="201">
        <v>1.5950500000000001</v>
      </c>
      <c r="I398" s="202">
        <f t="shared" si="96"/>
        <v>5.8400000000000674E-3</v>
      </c>
      <c r="J398" s="201">
        <v>1.52695</v>
      </c>
      <c r="K398" s="199">
        <v>43510.693055555559</v>
      </c>
      <c r="L398" s="201">
        <v>1.5897300000000001</v>
      </c>
      <c r="M398" s="203">
        <f t="shared" si="97"/>
        <v>-5.0000000000000001E-4</v>
      </c>
      <c r="N398" s="204">
        <f t="shared" si="98"/>
        <v>-0.09</v>
      </c>
      <c r="O398" s="205">
        <f t="shared" si="99"/>
        <v>0</v>
      </c>
      <c r="P398" s="206">
        <f t="shared" si="100"/>
        <v>0</v>
      </c>
      <c r="Q398" s="206">
        <f t="shared" si="101"/>
        <v>-0.09</v>
      </c>
      <c r="R39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9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122340</v>
      </c>
      <c r="T39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123700</v>
      </c>
      <c r="U398" s="208">
        <f ca="1">IF(Tabla33610673[[#This Row],[Equity]]&lt;Tabla33610673[[#This Row],[Equity Peak]],(Tabla33610673[[#This Row],[Equity Peak]]-Tabla33610673[[#This Row],[Equity]])/Tabla33610673[[#This Row],[Equity Peak]],"")</f>
        <v>1.099434114793856E-2</v>
      </c>
      <c r="V398" s="209">
        <f t="shared" si="102"/>
        <v>-0.09</v>
      </c>
      <c r="W398" s="209">
        <f t="shared" si="103"/>
        <v>0</v>
      </c>
      <c r="X398" s="209">
        <f t="shared" si="104"/>
        <v>0</v>
      </c>
      <c r="Y398" s="209">
        <f t="shared" si="105"/>
        <v>0</v>
      </c>
      <c r="Z398" s="209">
        <f t="shared" si="106"/>
        <v>0</v>
      </c>
      <c r="AA398" s="205">
        <f t="shared" si="107"/>
        <v>0</v>
      </c>
      <c r="AB398" s="209">
        <f t="shared" si="108"/>
        <v>0</v>
      </c>
      <c r="AC398" s="205">
        <f t="shared" si="109"/>
        <v>0</v>
      </c>
      <c r="AD398" s="210">
        <f t="shared" si="110"/>
        <v>1.0263888888948713</v>
      </c>
      <c r="AE398" s="210">
        <f t="shared" si="111"/>
        <v>0</v>
      </c>
      <c r="AF398" s="210">
        <f t="shared" si="112"/>
        <v>1.0263888888948713</v>
      </c>
      <c r="AG398" s="210">
        <f t="shared" si="113"/>
        <v>0</v>
      </c>
    </row>
    <row r="399" spans="2:33" ht="15" customHeight="1" x14ac:dyDescent="0.3">
      <c r="B399" s="196" t="s">
        <v>5</v>
      </c>
      <c r="C399" s="197" t="s">
        <v>13</v>
      </c>
      <c r="D399" s="198" t="str">
        <f t="shared" si="95"/>
        <v>C</v>
      </c>
      <c r="E399" s="199">
        <v>43507.541666666664</v>
      </c>
      <c r="F399" s="200" t="s">
        <v>91</v>
      </c>
      <c r="G399" s="201">
        <v>11009.25</v>
      </c>
      <c r="H399" s="201">
        <v>11244.64</v>
      </c>
      <c r="I399" s="202">
        <f t="shared" si="96"/>
        <v>235.38999999999942</v>
      </c>
      <c r="J399" s="201">
        <v>10067.700000000001</v>
      </c>
      <c r="K399" s="199">
        <v>43510.343055555553</v>
      </c>
      <c r="L399" s="201">
        <v>11244.64</v>
      </c>
      <c r="M399" s="203">
        <f t="shared" si="97"/>
        <v>-235.39</v>
      </c>
      <c r="N399" s="204">
        <f t="shared" si="98"/>
        <v>-1</v>
      </c>
      <c r="O399" s="205">
        <f t="shared" si="99"/>
        <v>0</v>
      </c>
      <c r="P399" s="206">
        <f t="shared" si="100"/>
        <v>0</v>
      </c>
      <c r="Q399" s="206">
        <f t="shared" si="101"/>
        <v>-1</v>
      </c>
      <c r="R39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39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122430</v>
      </c>
      <c r="T39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123700</v>
      </c>
      <c r="U399" s="208">
        <f ca="1">IF(Tabla33610673[[#This Row],[Equity]]&lt;Tabla33610673[[#This Row],[Equity Peak]],(Tabla33610673[[#This Row],[Equity Peak]]-Tabla33610673[[#This Row],[Equity]])/Tabla33610673[[#This Row],[Equity Peak]],"")</f>
        <v>1.026677445432498E-2</v>
      </c>
      <c r="V399" s="209">
        <f t="shared" si="102"/>
        <v>0</v>
      </c>
      <c r="W399" s="209">
        <f t="shared" si="103"/>
        <v>0</v>
      </c>
      <c r="X399" s="209">
        <f t="shared" si="104"/>
        <v>0</v>
      </c>
      <c r="Y399" s="209">
        <f t="shared" si="105"/>
        <v>0</v>
      </c>
      <c r="Z399" s="209">
        <f t="shared" si="106"/>
        <v>-1</v>
      </c>
      <c r="AA399" s="205">
        <f t="shared" si="107"/>
        <v>0</v>
      </c>
      <c r="AB399" s="209">
        <f t="shared" si="108"/>
        <v>0</v>
      </c>
      <c r="AC399" s="205">
        <f t="shared" si="109"/>
        <v>0</v>
      </c>
      <c r="AD399" s="210">
        <f t="shared" si="110"/>
        <v>2.8013888888890506</v>
      </c>
      <c r="AE399" s="210">
        <f t="shared" si="111"/>
        <v>0</v>
      </c>
      <c r="AF399" s="210">
        <f t="shared" si="112"/>
        <v>2.8013888888890506</v>
      </c>
      <c r="AG399" s="210">
        <f t="shared" si="113"/>
        <v>0</v>
      </c>
    </row>
    <row r="400" spans="2:33" ht="15" customHeight="1" x14ac:dyDescent="0.3">
      <c r="B400" s="196" t="s">
        <v>7</v>
      </c>
      <c r="C400" s="197" t="s">
        <v>13</v>
      </c>
      <c r="D400" s="198" t="str">
        <f t="shared" si="95"/>
        <v>C</v>
      </c>
      <c r="E400" s="199">
        <v>43503.017361111109</v>
      </c>
      <c r="F400" s="200" t="s">
        <v>121</v>
      </c>
      <c r="G400" s="201">
        <v>0.71113999999999999</v>
      </c>
      <c r="H400" s="201">
        <v>0.71514999999999995</v>
      </c>
      <c r="I400" s="202">
        <f t="shared" si="96"/>
        <v>4.009999999999958E-3</v>
      </c>
      <c r="J400" s="201">
        <v>0.68972999999999995</v>
      </c>
      <c r="K400" s="199">
        <v>43509.086805555555</v>
      </c>
      <c r="L400" s="201">
        <v>0.71221999999999996</v>
      </c>
      <c r="M400" s="203">
        <f t="shared" si="97"/>
        <v>-1.1000000000000001E-3</v>
      </c>
      <c r="N400" s="204">
        <f t="shared" si="98"/>
        <v>-0.27</v>
      </c>
      <c r="O400" s="205">
        <f t="shared" si="99"/>
        <v>0</v>
      </c>
      <c r="P400" s="206">
        <f t="shared" si="100"/>
        <v>0</v>
      </c>
      <c r="Q400" s="206">
        <f t="shared" si="101"/>
        <v>-0.27</v>
      </c>
      <c r="R40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0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123430</v>
      </c>
      <c r="T40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123700</v>
      </c>
      <c r="U400" s="208">
        <f ca="1">IF(Tabla33610673[[#This Row],[Equity]]&lt;Tabla33610673[[#This Row],[Equity Peak]],(Tabla33610673[[#This Row],[Equity Peak]]-Tabla33610673[[#This Row],[Equity]])/Tabla33610673[[#This Row],[Equity Peak]],"")</f>
        <v>2.1827000808407439E-3</v>
      </c>
      <c r="V400" s="209">
        <f t="shared" si="102"/>
        <v>-0.27</v>
      </c>
      <c r="W400" s="209">
        <f t="shared" si="103"/>
        <v>0</v>
      </c>
      <c r="X400" s="209">
        <f t="shared" si="104"/>
        <v>0</v>
      </c>
      <c r="Y400" s="209">
        <f t="shared" si="105"/>
        <v>0</v>
      </c>
      <c r="Z400" s="209">
        <f t="shared" si="106"/>
        <v>0</v>
      </c>
      <c r="AA400" s="205">
        <f t="shared" si="107"/>
        <v>0</v>
      </c>
      <c r="AB400" s="209">
        <f t="shared" si="108"/>
        <v>0</v>
      </c>
      <c r="AC400" s="205">
        <f t="shared" si="109"/>
        <v>0</v>
      </c>
      <c r="AD400" s="210">
        <f t="shared" si="110"/>
        <v>6.0694444444452529</v>
      </c>
      <c r="AE400" s="210">
        <f t="shared" si="111"/>
        <v>0</v>
      </c>
      <c r="AF400" s="210">
        <f t="shared" si="112"/>
        <v>6.0694444444452529</v>
      </c>
      <c r="AG400" s="210">
        <f t="shared" si="113"/>
        <v>0</v>
      </c>
    </row>
    <row r="401" spans="2:33" ht="15" customHeight="1" x14ac:dyDescent="0.3">
      <c r="B401" s="196" t="s">
        <v>7</v>
      </c>
      <c r="C401" s="197" t="s">
        <v>13</v>
      </c>
      <c r="D401" s="198" t="str">
        <f t="shared" ref="D401:D444" si="114">IF(E401&lt;&gt;"",IF(K401&lt;&gt;"","C","O"),"")</f>
        <v>C</v>
      </c>
      <c r="E401" s="199">
        <v>43503.017361111109</v>
      </c>
      <c r="F401" s="200" t="s">
        <v>117</v>
      </c>
      <c r="G401" s="201">
        <v>1.13673</v>
      </c>
      <c r="H401" s="201">
        <v>1.14086</v>
      </c>
      <c r="I401" s="202">
        <f t="shared" ref="I401:I444" si="115">ABS(G401-H401)</f>
        <v>4.129999999999967E-3</v>
      </c>
      <c r="J401" s="201">
        <v>1.1103000000000001</v>
      </c>
      <c r="K401" s="199">
        <v>43508.748611111114</v>
      </c>
      <c r="L401" s="201">
        <v>1.13121</v>
      </c>
      <c r="M401" s="203">
        <f t="shared" ref="M401:M444" si="116">ROUND(IF(C401="L",(L401-G401),(G401-L401)),4)</f>
        <v>5.4999999999999997E-3</v>
      </c>
      <c r="N401" s="204">
        <f t="shared" ref="N401:N444" si="117">IFERROR(ROUND((M401/I401),2),"")</f>
        <v>1.33</v>
      </c>
      <c r="O401" s="205">
        <f t="shared" ref="O401:O444" si="118">IF(D401="O",IF(N401&lt;0,N401,0),0)</f>
        <v>0</v>
      </c>
      <c r="P401" s="206">
        <f t="shared" ref="P401:P444" si="119">IF(N401&gt;= 0,N401,0)</f>
        <v>1.33</v>
      </c>
      <c r="Q401" s="206">
        <f t="shared" ref="Q401:Q444" si="120">IF(N401&lt;0,N401,0)</f>
        <v>0</v>
      </c>
      <c r="R40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0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123700</v>
      </c>
      <c r="T40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123700</v>
      </c>
      <c r="U401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401" s="209">
        <f t="shared" ref="V401:V444" si="121">IF(B401="FX",N401,0)</f>
        <v>1.33</v>
      </c>
      <c r="W401" s="209">
        <f t="shared" ref="W401:W444" si="122">IF(D401="O",IF(V401&lt;0,V401,0),0)</f>
        <v>0</v>
      </c>
      <c r="X401" s="209">
        <f t="shared" ref="X401:X444" si="123">IF(B401="COM",N401,0)</f>
        <v>0</v>
      </c>
      <c r="Y401" s="209">
        <f t="shared" ref="Y401:Y444" si="124">IF(D401="O",IF(X401&lt;0,X401,0),0)</f>
        <v>0</v>
      </c>
      <c r="Z401" s="209">
        <f t="shared" ref="Z401:Z444" si="125">IF(B401="IND",N401,0)</f>
        <v>0</v>
      </c>
      <c r="AA401" s="205">
        <f t="shared" ref="AA401:AA444" si="126">IF(D401="O",IF(Z401&lt;0,Z401,0),0)</f>
        <v>0</v>
      </c>
      <c r="AB401" s="209">
        <f t="shared" ref="AB401:AB444" si="127">IF(B401="CRYPTO",N401,0)</f>
        <v>0</v>
      </c>
      <c r="AC401" s="205">
        <f t="shared" ref="AC401:AC444" si="128">IF(D401="O",IF(AB401&lt;0,AB401,0),0)</f>
        <v>0</v>
      </c>
      <c r="AD401" s="210">
        <f t="shared" ref="AD401:AD444" si="129">IF(K401&lt;&gt;"",K401-E401,0)</f>
        <v>5.7312500000043656</v>
      </c>
      <c r="AE401" s="210">
        <f t="shared" ref="AE401:AE444" si="130">IF(N401&gt;0,AD401,0)</f>
        <v>5.7312500000043656</v>
      </c>
      <c r="AF401" s="210">
        <f t="shared" ref="AF401:AF444" si="131">IF(N401&lt;0,AD401,0)</f>
        <v>0</v>
      </c>
      <c r="AG401" s="210">
        <f t="shared" ref="AG401:AG444" si="132">IF(N401=0,AD401,0)</f>
        <v>0</v>
      </c>
    </row>
    <row r="402" spans="2:33" ht="15" customHeight="1" x14ac:dyDescent="0.3">
      <c r="B402" s="196" t="s">
        <v>7</v>
      </c>
      <c r="C402" s="197" t="s">
        <v>13</v>
      </c>
      <c r="D402" s="198" t="str">
        <f t="shared" si="114"/>
        <v>C</v>
      </c>
      <c r="E402" s="199">
        <v>43503.166666666664</v>
      </c>
      <c r="F402" s="200" t="s">
        <v>122</v>
      </c>
      <c r="G402" s="201">
        <v>77.998000000000005</v>
      </c>
      <c r="H402" s="201">
        <v>78.489999999999995</v>
      </c>
      <c r="I402" s="202">
        <f t="shared" si="115"/>
        <v>0.49199999999999022</v>
      </c>
      <c r="J402" s="201">
        <v>69.471999999999994</v>
      </c>
      <c r="K402" s="199">
        <v>43508.745833333334</v>
      </c>
      <c r="L402" s="201">
        <v>78.373999999999995</v>
      </c>
      <c r="M402" s="203">
        <f t="shared" si="116"/>
        <v>-0.376</v>
      </c>
      <c r="N402" s="204">
        <f t="shared" si="117"/>
        <v>-0.76</v>
      </c>
      <c r="O402" s="205">
        <f t="shared" si="118"/>
        <v>0</v>
      </c>
      <c r="P402" s="206">
        <f t="shared" si="119"/>
        <v>0</v>
      </c>
      <c r="Q402" s="206">
        <f t="shared" si="120"/>
        <v>-0.76</v>
      </c>
      <c r="R40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0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122370</v>
      </c>
      <c r="T40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123640</v>
      </c>
      <c r="U402" s="208">
        <f ca="1">IF(Tabla33610673[[#This Row],[Equity]]&lt;Tabla33610673[[#This Row],[Equity Peak]],(Tabla33610673[[#This Row],[Equity Peak]]-Tabla33610673[[#This Row],[Equity]])/Tabla33610673[[#This Row],[Equity Peak]],"")</f>
        <v>1.0271756713037853E-2</v>
      </c>
      <c r="V402" s="209">
        <f t="shared" si="121"/>
        <v>-0.76</v>
      </c>
      <c r="W402" s="209">
        <f t="shared" si="122"/>
        <v>0</v>
      </c>
      <c r="X402" s="209">
        <f t="shared" si="123"/>
        <v>0</v>
      </c>
      <c r="Y402" s="209">
        <f t="shared" si="124"/>
        <v>0</v>
      </c>
      <c r="Z402" s="209">
        <f t="shared" si="125"/>
        <v>0</v>
      </c>
      <c r="AA402" s="205">
        <f t="shared" si="126"/>
        <v>0</v>
      </c>
      <c r="AB402" s="209">
        <f t="shared" si="127"/>
        <v>0</v>
      </c>
      <c r="AC402" s="205">
        <f t="shared" si="128"/>
        <v>0</v>
      </c>
      <c r="AD402" s="210">
        <f t="shared" si="129"/>
        <v>5.5791666666700621</v>
      </c>
      <c r="AE402" s="210">
        <f t="shared" si="130"/>
        <v>0</v>
      </c>
      <c r="AF402" s="210">
        <f t="shared" si="131"/>
        <v>5.5791666666700621</v>
      </c>
      <c r="AG402" s="210">
        <f t="shared" si="132"/>
        <v>0</v>
      </c>
    </row>
    <row r="403" spans="2:33" ht="15" customHeight="1" x14ac:dyDescent="0.3">
      <c r="B403" s="196" t="s">
        <v>7</v>
      </c>
      <c r="C403" s="197" t="s">
        <v>13</v>
      </c>
      <c r="D403" s="198" t="str">
        <f t="shared" si="114"/>
        <v>C</v>
      </c>
      <c r="E403" s="199">
        <v>43502.833333333336</v>
      </c>
      <c r="F403" s="200" t="s">
        <v>118</v>
      </c>
      <c r="G403" s="201">
        <v>124.845</v>
      </c>
      <c r="H403" s="201">
        <v>125.496</v>
      </c>
      <c r="I403" s="202">
        <f t="shared" si="115"/>
        <v>0.65099999999999625</v>
      </c>
      <c r="J403" s="201">
        <v>122.24</v>
      </c>
      <c r="K403" s="199">
        <v>43508.745138888888</v>
      </c>
      <c r="L403" s="201">
        <v>124.96599999999999</v>
      </c>
      <c r="M403" s="203">
        <f t="shared" si="116"/>
        <v>-0.121</v>
      </c>
      <c r="N403" s="204">
        <f t="shared" si="117"/>
        <v>-0.19</v>
      </c>
      <c r="O403" s="205">
        <f t="shared" si="118"/>
        <v>0</v>
      </c>
      <c r="P403" s="206">
        <f t="shared" si="119"/>
        <v>0</v>
      </c>
      <c r="Q403" s="206">
        <f t="shared" si="120"/>
        <v>-0.19</v>
      </c>
      <c r="R40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0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123130</v>
      </c>
      <c r="T40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123640</v>
      </c>
      <c r="U403" s="208">
        <f ca="1">IF(Tabla33610673[[#This Row],[Equity]]&lt;Tabla33610673[[#This Row],[Equity Peak]],(Tabla33610673[[#This Row],[Equity Peak]]-Tabla33610673[[#This Row],[Equity]])/Tabla33610673[[#This Row],[Equity Peak]],"")</f>
        <v>4.1248786800388224E-3</v>
      </c>
      <c r="V403" s="209">
        <f t="shared" si="121"/>
        <v>-0.19</v>
      </c>
      <c r="W403" s="209">
        <f t="shared" si="122"/>
        <v>0</v>
      </c>
      <c r="X403" s="209">
        <f t="shared" si="123"/>
        <v>0</v>
      </c>
      <c r="Y403" s="209">
        <f t="shared" si="124"/>
        <v>0</v>
      </c>
      <c r="Z403" s="209">
        <f t="shared" si="125"/>
        <v>0</v>
      </c>
      <c r="AA403" s="205">
        <f t="shared" si="126"/>
        <v>0</v>
      </c>
      <c r="AB403" s="209">
        <f t="shared" si="127"/>
        <v>0</v>
      </c>
      <c r="AC403" s="205">
        <f t="shared" si="128"/>
        <v>0</v>
      </c>
      <c r="AD403" s="210">
        <f t="shared" si="129"/>
        <v>5.9118055555518367</v>
      </c>
      <c r="AE403" s="210">
        <f t="shared" si="130"/>
        <v>0</v>
      </c>
      <c r="AF403" s="210">
        <f t="shared" si="131"/>
        <v>5.9118055555518367</v>
      </c>
      <c r="AG403" s="210">
        <f t="shared" si="132"/>
        <v>0</v>
      </c>
    </row>
    <row r="404" spans="2:33" ht="15" customHeight="1" x14ac:dyDescent="0.3">
      <c r="B404" s="196" t="s">
        <v>19</v>
      </c>
      <c r="C404" s="197" t="s">
        <v>13</v>
      </c>
      <c r="D404" s="198" t="str">
        <f t="shared" si="114"/>
        <v>C</v>
      </c>
      <c r="E404" s="199">
        <v>43504.017361111109</v>
      </c>
      <c r="F404" s="200" t="s">
        <v>108</v>
      </c>
      <c r="G404" s="201">
        <v>52.8</v>
      </c>
      <c r="H404" s="201">
        <v>54.518999999999998</v>
      </c>
      <c r="I404" s="202">
        <f t="shared" si="115"/>
        <v>1.7190000000000012</v>
      </c>
      <c r="J404" s="201">
        <v>32.168999999999997</v>
      </c>
      <c r="K404" s="199">
        <v>43508.200694444444</v>
      </c>
      <c r="L404" s="201">
        <v>52.972000000000001</v>
      </c>
      <c r="M404" s="203">
        <f t="shared" si="116"/>
        <v>-0.17199999999999999</v>
      </c>
      <c r="N404" s="204">
        <f t="shared" si="117"/>
        <v>-0.1</v>
      </c>
      <c r="O404" s="205">
        <f t="shared" si="118"/>
        <v>0</v>
      </c>
      <c r="P404" s="206">
        <f t="shared" si="119"/>
        <v>0</v>
      </c>
      <c r="Q404" s="206">
        <f t="shared" si="120"/>
        <v>-0.1</v>
      </c>
      <c r="R40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0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123320</v>
      </c>
      <c r="T40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123640</v>
      </c>
      <c r="U404" s="208">
        <f ca="1">IF(Tabla33610673[[#This Row],[Equity]]&lt;Tabla33610673[[#This Row],[Equity Peak]],(Tabla33610673[[#This Row],[Equity Peak]]-Tabla33610673[[#This Row],[Equity]])/Tabla33610673[[#This Row],[Equity Peak]],"")</f>
        <v>2.5881591717890652E-3</v>
      </c>
      <c r="V404" s="209">
        <f t="shared" si="121"/>
        <v>0</v>
      </c>
      <c r="W404" s="209">
        <f t="shared" si="122"/>
        <v>0</v>
      </c>
      <c r="X404" s="209">
        <f t="shared" si="123"/>
        <v>-0.1</v>
      </c>
      <c r="Y404" s="209">
        <f t="shared" si="124"/>
        <v>0</v>
      </c>
      <c r="Z404" s="209">
        <f t="shared" si="125"/>
        <v>0</v>
      </c>
      <c r="AA404" s="205">
        <f t="shared" si="126"/>
        <v>0</v>
      </c>
      <c r="AB404" s="209">
        <f t="shared" si="127"/>
        <v>0</v>
      </c>
      <c r="AC404" s="205">
        <f t="shared" si="128"/>
        <v>0</v>
      </c>
      <c r="AD404" s="210">
        <f t="shared" si="129"/>
        <v>4.1833333333343035</v>
      </c>
      <c r="AE404" s="210">
        <f t="shared" si="130"/>
        <v>0</v>
      </c>
      <c r="AF404" s="210">
        <f t="shared" si="131"/>
        <v>4.1833333333343035</v>
      </c>
      <c r="AG404" s="210">
        <f t="shared" si="132"/>
        <v>0</v>
      </c>
    </row>
    <row r="405" spans="2:33" ht="15" customHeight="1" x14ac:dyDescent="0.3">
      <c r="B405" s="196" t="s">
        <v>7</v>
      </c>
      <c r="C405" s="197" t="s">
        <v>15</v>
      </c>
      <c r="D405" s="198" t="str">
        <f t="shared" si="114"/>
        <v>C</v>
      </c>
      <c r="E405" s="199">
        <v>43503.666666666664</v>
      </c>
      <c r="F405" s="200" t="s">
        <v>116</v>
      </c>
      <c r="G405" s="201">
        <v>1.82456</v>
      </c>
      <c r="H405" s="201">
        <v>1.80355</v>
      </c>
      <c r="I405" s="202">
        <f t="shared" si="115"/>
        <v>2.1009999999999973E-2</v>
      </c>
      <c r="J405" s="201">
        <v>1.8946000000000001</v>
      </c>
      <c r="K405" s="199">
        <v>43507.102083333331</v>
      </c>
      <c r="L405" s="201">
        <v>1.8212299999999999</v>
      </c>
      <c r="M405" s="203">
        <f t="shared" si="116"/>
        <v>-3.3E-3</v>
      </c>
      <c r="N405" s="204">
        <f t="shared" si="117"/>
        <v>-0.16</v>
      </c>
      <c r="O405" s="205">
        <f t="shared" si="118"/>
        <v>0</v>
      </c>
      <c r="P405" s="206">
        <f t="shared" si="119"/>
        <v>0</v>
      </c>
      <c r="Q405" s="206">
        <f t="shared" si="120"/>
        <v>-0.16</v>
      </c>
      <c r="R40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0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123420</v>
      </c>
      <c r="T40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123640</v>
      </c>
      <c r="U405" s="208">
        <f ca="1">IF(Tabla33610673[[#This Row],[Equity]]&lt;Tabla33610673[[#This Row],[Equity Peak]],(Tabla33610673[[#This Row],[Equity Peak]]-Tabla33610673[[#This Row],[Equity]])/Tabla33610673[[#This Row],[Equity Peak]],"")</f>
        <v>1.7793594306049821E-3</v>
      </c>
      <c r="V405" s="209">
        <f t="shared" si="121"/>
        <v>-0.16</v>
      </c>
      <c r="W405" s="209">
        <f t="shared" si="122"/>
        <v>0</v>
      </c>
      <c r="X405" s="209">
        <f t="shared" si="123"/>
        <v>0</v>
      </c>
      <c r="Y405" s="209">
        <f t="shared" si="124"/>
        <v>0</v>
      </c>
      <c r="Z405" s="209">
        <f t="shared" si="125"/>
        <v>0</v>
      </c>
      <c r="AA405" s="205">
        <f t="shared" si="126"/>
        <v>0</v>
      </c>
      <c r="AB405" s="209">
        <f t="shared" si="127"/>
        <v>0</v>
      </c>
      <c r="AC405" s="205">
        <f t="shared" si="128"/>
        <v>0</v>
      </c>
      <c r="AD405" s="210">
        <f t="shared" si="129"/>
        <v>3.4354166666671517</v>
      </c>
      <c r="AE405" s="210">
        <f t="shared" si="130"/>
        <v>0</v>
      </c>
      <c r="AF405" s="210">
        <f t="shared" si="131"/>
        <v>3.4354166666671517</v>
      </c>
      <c r="AG405" s="210">
        <f t="shared" si="132"/>
        <v>0</v>
      </c>
    </row>
    <row r="406" spans="2:33" ht="15" customHeight="1" x14ac:dyDescent="0.3">
      <c r="B406" s="196" t="s">
        <v>7</v>
      </c>
      <c r="C406" s="197" t="s">
        <v>15</v>
      </c>
      <c r="D406" s="198" t="str">
        <f t="shared" si="114"/>
        <v>C</v>
      </c>
      <c r="E406" s="199">
        <v>43502.5</v>
      </c>
      <c r="F406" s="200" t="s">
        <v>120</v>
      </c>
      <c r="G406" s="201">
        <v>1.5960099999999999</v>
      </c>
      <c r="H406" s="201">
        <v>1.58734</v>
      </c>
      <c r="I406" s="202">
        <f t="shared" si="115"/>
        <v>8.6699999999999555E-3</v>
      </c>
      <c r="J406" s="201">
        <v>1.68849</v>
      </c>
      <c r="K406" s="199">
        <v>43507.054861111108</v>
      </c>
      <c r="L406" s="201">
        <v>1.59552</v>
      </c>
      <c r="M406" s="203">
        <f t="shared" si="116"/>
        <v>-5.0000000000000001E-4</v>
      </c>
      <c r="N406" s="204">
        <f t="shared" si="117"/>
        <v>-0.06</v>
      </c>
      <c r="O406" s="205">
        <f t="shared" si="118"/>
        <v>0</v>
      </c>
      <c r="P406" s="206">
        <f t="shared" si="119"/>
        <v>0</v>
      </c>
      <c r="Q406" s="206">
        <f t="shared" si="120"/>
        <v>-0.06</v>
      </c>
      <c r="R40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0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123580</v>
      </c>
      <c r="T40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123640</v>
      </c>
      <c r="U406" s="208">
        <f ca="1">IF(Tabla33610673[[#This Row],[Equity]]&lt;Tabla33610673[[#This Row],[Equity Peak]],(Tabla33610673[[#This Row],[Equity Peak]]-Tabla33610673[[#This Row],[Equity]])/Tabla33610673[[#This Row],[Equity Peak]],"")</f>
        <v>4.8527984471044967E-4</v>
      </c>
      <c r="V406" s="209">
        <f t="shared" si="121"/>
        <v>-0.06</v>
      </c>
      <c r="W406" s="209">
        <f t="shared" si="122"/>
        <v>0</v>
      </c>
      <c r="X406" s="209">
        <f t="shared" si="123"/>
        <v>0</v>
      </c>
      <c r="Y406" s="209">
        <f t="shared" si="124"/>
        <v>0</v>
      </c>
      <c r="Z406" s="209">
        <f t="shared" si="125"/>
        <v>0</v>
      </c>
      <c r="AA406" s="205">
        <f t="shared" si="126"/>
        <v>0</v>
      </c>
      <c r="AB406" s="209">
        <f t="shared" si="127"/>
        <v>0</v>
      </c>
      <c r="AC406" s="205">
        <f t="shared" si="128"/>
        <v>0</v>
      </c>
      <c r="AD406" s="210">
        <f t="shared" si="129"/>
        <v>4.554861111108039</v>
      </c>
      <c r="AE406" s="210">
        <f t="shared" si="130"/>
        <v>0</v>
      </c>
      <c r="AF406" s="210">
        <f t="shared" si="131"/>
        <v>4.554861111108039</v>
      </c>
      <c r="AG406" s="210">
        <f t="shared" si="132"/>
        <v>0</v>
      </c>
    </row>
    <row r="407" spans="2:33" ht="15" customHeight="1" x14ac:dyDescent="0.3">
      <c r="B407" s="196" t="s">
        <v>19</v>
      </c>
      <c r="C407" s="197" t="s">
        <v>15</v>
      </c>
      <c r="D407" s="198" t="str">
        <f t="shared" si="114"/>
        <v>C</v>
      </c>
      <c r="E407" s="199">
        <v>43469.625</v>
      </c>
      <c r="F407" s="200" t="s">
        <v>108</v>
      </c>
      <c r="G407" s="201">
        <v>48.131999999999998</v>
      </c>
      <c r="H407" s="201">
        <v>46.424999999999997</v>
      </c>
      <c r="I407" s="202">
        <f t="shared" si="115"/>
        <v>1.7070000000000007</v>
      </c>
      <c r="J407" s="201">
        <v>68.614999999999995</v>
      </c>
      <c r="K407" s="199">
        <v>43504.017361111109</v>
      </c>
      <c r="L407" s="201">
        <v>52.8</v>
      </c>
      <c r="M407" s="203">
        <f t="shared" si="116"/>
        <v>4.6680000000000001</v>
      </c>
      <c r="N407" s="204">
        <f t="shared" si="117"/>
        <v>2.73</v>
      </c>
      <c r="O407" s="205">
        <f t="shared" si="118"/>
        <v>0</v>
      </c>
      <c r="P407" s="206">
        <f t="shared" si="119"/>
        <v>2.73</v>
      </c>
      <c r="Q407" s="206">
        <f t="shared" si="120"/>
        <v>0</v>
      </c>
      <c r="R40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0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123640</v>
      </c>
      <c r="T40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123640</v>
      </c>
      <c r="U407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407" s="209">
        <f t="shared" si="121"/>
        <v>0</v>
      </c>
      <c r="W407" s="209">
        <f t="shared" si="122"/>
        <v>0</v>
      </c>
      <c r="X407" s="209">
        <f t="shared" si="123"/>
        <v>2.73</v>
      </c>
      <c r="Y407" s="209">
        <f t="shared" si="124"/>
        <v>0</v>
      </c>
      <c r="Z407" s="209">
        <f t="shared" si="125"/>
        <v>0</v>
      </c>
      <c r="AA407" s="205">
        <f t="shared" si="126"/>
        <v>0</v>
      </c>
      <c r="AB407" s="209">
        <f t="shared" si="127"/>
        <v>0</v>
      </c>
      <c r="AC407" s="205">
        <f t="shared" si="128"/>
        <v>0</v>
      </c>
      <c r="AD407" s="210">
        <f t="shared" si="129"/>
        <v>34.392361111109494</v>
      </c>
      <c r="AE407" s="210">
        <f t="shared" si="130"/>
        <v>34.392361111109494</v>
      </c>
      <c r="AF407" s="210">
        <f t="shared" si="131"/>
        <v>0</v>
      </c>
      <c r="AG407" s="210">
        <f t="shared" si="132"/>
        <v>0</v>
      </c>
    </row>
    <row r="408" spans="2:33" ht="15" customHeight="1" x14ac:dyDescent="0.3">
      <c r="B408" s="196" t="s">
        <v>5</v>
      </c>
      <c r="C408" s="197" t="s">
        <v>15</v>
      </c>
      <c r="D408" s="198" t="str">
        <f t="shared" si="114"/>
        <v>C</v>
      </c>
      <c r="E408" s="199">
        <v>43496.017361111109</v>
      </c>
      <c r="F408" s="200" t="s">
        <v>93</v>
      </c>
      <c r="G408" s="201">
        <v>2683.22</v>
      </c>
      <c r="H408" s="201">
        <v>2662.17</v>
      </c>
      <c r="I408" s="202">
        <f t="shared" si="115"/>
        <v>21.049999999999727</v>
      </c>
      <c r="J408" s="201">
        <v>2739.36</v>
      </c>
      <c r="K408" s="199">
        <v>43503.776388888888</v>
      </c>
      <c r="L408" s="201">
        <v>2688.06</v>
      </c>
      <c r="M408" s="203">
        <f t="shared" si="116"/>
        <v>4.84</v>
      </c>
      <c r="N408" s="204">
        <f t="shared" si="117"/>
        <v>0.23</v>
      </c>
      <c r="O408" s="205">
        <f t="shared" si="118"/>
        <v>0</v>
      </c>
      <c r="P408" s="206">
        <f t="shared" si="119"/>
        <v>0.23</v>
      </c>
      <c r="Q408" s="206">
        <f t="shared" si="120"/>
        <v>0</v>
      </c>
      <c r="R40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0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120910</v>
      </c>
      <c r="T40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120910</v>
      </c>
      <c r="U408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408" s="209">
        <f t="shared" si="121"/>
        <v>0</v>
      </c>
      <c r="W408" s="209">
        <f t="shared" si="122"/>
        <v>0</v>
      </c>
      <c r="X408" s="209">
        <f t="shared" si="123"/>
        <v>0</v>
      </c>
      <c r="Y408" s="209">
        <f t="shared" si="124"/>
        <v>0</v>
      </c>
      <c r="Z408" s="209">
        <f t="shared" si="125"/>
        <v>0.23</v>
      </c>
      <c r="AA408" s="205">
        <f t="shared" si="126"/>
        <v>0</v>
      </c>
      <c r="AB408" s="209">
        <f t="shared" si="127"/>
        <v>0</v>
      </c>
      <c r="AC408" s="205">
        <f t="shared" si="128"/>
        <v>0</v>
      </c>
      <c r="AD408" s="210">
        <f t="shared" si="129"/>
        <v>7.7590277777781012</v>
      </c>
      <c r="AE408" s="210">
        <f t="shared" si="130"/>
        <v>7.7590277777781012</v>
      </c>
      <c r="AF408" s="210">
        <f t="shared" si="131"/>
        <v>0</v>
      </c>
      <c r="AG408" s="210">
        <f t="shared" si="132"/>
        <v>0</v>
      </c>
    </row>
    <row r="409" spans="2:33" ht="15" customHeight="1" x14ac:dyDescent="0.3">
      <c r="B409" s="196" t="s">
        <v>5</v>
      </c>
      <c r="C409" s="197" t="s">
        <v>15</v>
      </c>
      <c r="D409" s="198" t="str">
        <f t="shared" si="114"/>
        <v>C</v>
      </c>
      <c r="E409" s="199">
        <v>43495.166666666664</v>
      </c>
      <c r="F409" s="200" t="s">
        <v>94</v>
      </c>
      <c r="G409" s="201">
        <v>6861.65</v>
      </c>
      <c r="H409" s="201">
        <v>6794.27</v>
      </c>
      <c r="I409" s="202">
        <f t="shared" si="115"/>
        <v>67.3799999999992</v>
      </c>
      <c r="J409" s="201">
        <v>7198.53</v>
      </c>
      <c r="K409" s="199">
        <v>43503.720833333333</v>
      </c>
      <c r="L409" s="201">
        <v>7131</v>
      </c>
      <c r="M409" s="203">
        <f t="shared" si="116"/>
        <v>269.35000000000002</v>
      </c>
      <c r="N409" s="204">
        <f t="shared" si="117"/>
        <v>4</v>
      </c>
      <c r="O409" s="205">
        <f t="shared" si="118"/>
        <v>0</v>
      </c>
      <c r="P409" s="206">
        <f t="shared" si="119"/>
        <v>4</v>
      </c>
      <c r="Q409" s="206">
        <f t="shared" si="120"/>
        <v>0</v>
      </c>
      <c r="R40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0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120680</v>
      </c>
      <c r="T40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120680</v>
      </c>
      <c r="U409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409" s="209">
        <f t="shared" si="121"/>
        <v>0</v>
      </c>
      <c r="W409" s="209">
        <f t="shared" si="122"/>
        <v>0</v>
      </c>
      <c r="X409" s="209">
        <f t="shared" si="123"/>
        <v>0</v>
      </c>
      <c r="Y409" s="209">
        <f t="shared" si="124"/>
        <v>0</v>
      </c>
      <c r="Z409" s="209">
        <f t="shared" si="125"/>
        <v>4</v>
      </c>
      <c r="AA409" s="205">
        <f t="shared" si="126"/>
        <v>0</v>
      </c>
      <c r="AB409" s="209">
        <f t="shared" si="127"/>
        <v>0</v>
      </c>
      <c r="AC409" s="205">
        <f t="shared" si="128"/>
        <v>0</v>
      </c>
      <c r="AD409" s="210">
        <f t="shared" si="129"/>
        <v>8.5541666666686069</v>
      </c>
      <c r="AE409" s="210">
        <f t="shared" si="130"/>
        <v>8.5541666666686069</v>
      </c>
      <c r="AF409" s="210">
        <f t="shared" si="131"/>
        <v>0</v>
      </c>
      <c r="AG409" s="210">
        <f t="shared" si="132"/>
        <v>0</v>
      </c>
    </row>
    <row r="410" spans="2:33" ht="15" customHeight="1" x14ac:dyDescent="0.3">
      <c r="B410" s="196" t="s">
        <v>7</v>
      </c>
      <c r="C410" s="197" t="s">
        <v>15</v>
      </c>
      <c r="D410" s="198" t="str">
        <f t="shared" si="114"/>
        <v>C</v>
      </c>
      <c r="E410" s="199">
        <v>43497.833333333336</v>
      </c>
      <c r="F410" s="200" t="s">
        <v>118</v>
      </c>
      <c r="G410" s="201">
        <v>125.65900000000001</v>
      </c>
      <c r="H410" s="201">
        <v>124.789</v>
      </c>
      <c r="I410" s="202">
        <f t="shared" si="115"/>
        <v>0.87000000000000455</v>
      </c>
      <c r="J410" s="201">
        <v>129.13900000000001</v>
      </c>
      <c r="K410" s="199">
        <v>43502.272222222222</v>
      </c>
      <c r="L410" s="201">
        <v>125.105</v>
      </c>
      <c r="M410" s="203">
        <f t="shared" si="116"/>
        <v>-0.55400000000000005</v>
      </c>
      <c r="N410" s="204">
        <f t="shared" si="117"/>
        <v>-0.64</v>
      </c>
      <c r="O410" s="205">
        <f t="shared" si="118"/>
        <v>0</v>
      </c>
      <c r="P410" s="206">
        <f t="shared" si="119"/>
        <v>0</v>
      </c>
      <c r="Q410" s="206">
        <f t="shared" si="120"/>
        <v>-0.64</v>
      </c>
      <c r="R41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1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116680</v>
      </c>
      <c r="T41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119640</v>
      </c>
      <c r="U410" s="208">
        <f ca="1">IF(Tabla33610673[[#This Row],[Equity]]&lt;Tabla33610673[[#This Row],[Equity Peak]],(Tabla33610673[[#This Row],[Equity Peak]]-Tabla33610673[[#This Row],[Equity]])/Tabla33610673[[#This Row],[Equity Peak]],"")</f>
        <v>2.4740889334670679E-2</v>
      </c>
      <c r="V410" s="209">
        <f t="shared" si="121"/>
        <v>-0.64</v>
      </c>
      <c r="W410" s="209">
        <f t="shared" si="122"/>
        <v>0</v>
      </c>
      <c r="X410" s="209">
        <f t="shared" si="123"/>
        <v>0</v>
      </c>
      <c r="Y410" s="209">
        <f t="shared" si="124"/>
        <v>0</v>
      </c>
      <c r="Z410" s="209">
        <f t="shared" si="125"/>
        <v>0</v>
      </c>
      <c r="AA410" s="205">
        <f t="shared" si="126"/>
        <v>0</v>
      </c>
      <c r="AB410" s="209">
        <f t="shared" si="127"/>
        <v>0</v>
      </c>
      <c r="AC410" s="205">
        <f t="shared" si="128"/>
        <v>0</v>
      </c>
      <c r="AD410" s="210">
        <f t="shared" si="129"/>
        <v>4.4388888888861402</v>
      </c>
      <c r="AE410" s="210">
        <f t="shared" si="130"/>
        <v>0</v>
      </c>
      <c r="AF410" s="210">
        <f t="shared" si="131"/>
        <v>4.4388888888861402</v>
      </c>
      <c r="AG410" s="210">
        <f t="shared" si="132"/>
        <v>0</v>
      </c>
    </row>
    <row r="411" spans="2:33" ht="15" customHeight="1" x14ac:dyDescent="0.3">
      <c r="B411" s="196" t="s">
        <v>19</v>
      </c>
      <c r="C411" s="197" t="s">
        <v>15</v>
      </c>
      <c r="D411" s="198" t="str">
        <f t="shared" si="114"/>
        <v>C</v>
      </c>
      <c r="E411" s="199">
        <v>43490.708333333336</v>
      </c>
      <c r="F411" s="200" t="s">
        <v>88</v>
      </c>
      <c r="G411" s="201">
        <v>1293.77</v>
      </c>
      <c r="H411" s="201">
        <v>1283.33</v>
      </c>
      <c r="I411" s="202">
        <f t="shared" si="115"/>
        <v>10.440000000000055</v>
      </c>
      <c r="J411" s="201">
        <v>1360.57</v>
      </c>
      <c r="K411" s="199">
        <v>43500.257638888892</v>
      </c>
      <c r="L411" s="201">
        <v>1314.59</v>
      </c>
      <c r="M411" s="203">
        <f t="shared" si="116"/>
        <v>20.82</v>
      </c>
      <c r="N411" s="204">
        <f t="shared" si="117"/>
        <v>1.99</v>
      </c>
      <c r="O411" s="205">
        <f t="shared" si="118"/>
        <v>0</v>
      </c>
      <c r="P411" s="206">
        <f t="shared" si="119"/>
        <v>1.99</v>
      </c>
      <c r="Q411" s="206">
        <f t="shared" si="120"/>
        <v>0</v>
      </c>
      <c r="R41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1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117320</v>
      </c>
      <c r="T41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119640</v>
      </c>
      <c r="U411" s="208">
        <f ca="1">IF(Tabla33610673[[#This Row],[Equity]]&lt;Tabla33610673[[#This Row],[Equity Peak]],(Tabla33610673[[#This Row],[Equity Peak]]-Tabla33610673[[#This Row],[Equity]])/Tabla33610673[[#This Row],[Equity Peak]],"")</f>
        <v>1.9391507856904047E-2</v>
      </c>
      <c r="V411" s="209">
        <f t="shared" si="121"/>
        <v>0</v>
      </c>
      <c r="W411" s="209">
        <f t="shared" si="122"/>
        <v>0</v>
      </c>
      <c r="X411" s="209">
        <f t="shared" si="123"/>
        <v>1.99</v>
      </c>
      <c r="Y411" s="209">
        <f t="shared" si="124"/>
        <v>0</v>
      </c>
      <c r="Z411" s="209">
        <f t="shared" si="125"/>
        <v>0</v>
      </c>
      <c r="AA411" s="205">
        <f t="shared" si="126"/>
        <v>0</v>
      </c>
      <c r="AB411" s="209">
        <f t="shared" si="127"/>
        <v>0</v>
      </c>
      <c r="AC411" s="205">
        <f t="shared" si="128"/>
        <v>0</v>
      </c>
      <c r="AD411" s="210">
        <f t="shared" si="129"/>
        <v>9.5493055555562023</v>
      </c>
      <c r="AE411" s="210">
        <f t="shared" si="130"/>
        <v>9.5493055555562023</v>
      </c>
      <c r="AF411" s="210">
        <f t="shared" si="131"/>
        <v>0</v>
      </c>
      <c r="AG411" s="210">
        <f t="shared" si="132"/>
        <v>0</v>
      </c>
    </row>
    <row r="412" spans="2:33" ht="15" customHeight="1" x14ac:dyDescent="0.3">
      <c r="B412" s="196" t="s">
        <v>7</v>
      </c>
      <c r="C412" s="197" t="s">
        <v>13</v>
      </c>
      <c r="D412" s="198" t="str">
        <f t="shared" si="114"/>
        <v>C</v>
      </c>
      <c r="E412" s="199">
        <v>43495.333333333336</v>
      </c>
      <c r="F412" s="200" t="s">
        <v>120</v>
      </c>
      <c r="G412" s="201">
        <v>1.5896699999999999</v>
      </c>
      <c r="H412" s="201">
        <v>1.5957399999999999</v>
      </c>
      <c r="I412" s="202">
        <f t="shared" si="115"/>
        <v>6.0700000000000198E-3</v>
      </c>
      <c r="J412" s="201">
        <v>1.5249200000000001</v>
      </c>
      <c r="K412" s="199">
        <v>43500.075694444444</v>
      </c>
      <c r="L412" s="201">
        <v>1.5822700000000001</v>
      </c>
      <c r="M412" s="203">
        <f t="shared" si="116"/>
        <v>7.4000000000000003E-3</v>
      </c>
      <c r="N412" s="204">
        <f t="shared" si="117"/>
        <v>1.22</v>
      </c>
      <c r="O412" s="205">
        <f t="shared" si="118"/>
        <v>0</v>
      </c>
      <c r="P412" s="206">
        <f t="shared" si="119"/>
        <v>1.22</v>
      </c>
      <c r="Q412" s="206">
        <f t="shared" si="120"/>
        <v>0</v>
      </c>
      <c r="R41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1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115330</v>
      </c>
      <c r="T41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119640</v>
      </c>
      <c r="U412" s="208">
        <f ca="1">IF(Tabla33610673[[#This Row],[Equity]]&lt;Tabla33610673[[#This Row],[Equity Peak]],(Tabla33610673[[#This Row],[Equity Peak]]-Tabla33610673[[#This Row],[Equity]])/Tabla33610673[[#This Row],[Equity Peak]],"")</f>
        <v>3.6024740889334668E-2</v>
      </c>
      <c r="V412" s="209">
        <f t="shared" si="121"/>
        <v>1.22</v>
      </c>
      <c r="W412" s="209">
        <f t="shared" si="122"/>
        <v>0</v>
      </c>
      <c r="X412" s="209">
        <f t="shared" si="123"/>
        <v>0</v>
      </c>
      <c r="Y412" s="209">
        <f t="shared" si="124"/>
        <v>0</v>
      </c>
      <c r="Z412" s="209">
        <f t="shared" si="125"/>
        <v>0</v>
      </c>
      <c r="AA412" s="205">
        <f t="shared" si="126"/>
        <v>0</v>
      </c>
      <c r="AB412" s="209">
        <f t="shared" si="127"/>
        <v>0</v>
      </c>
      <c r="AC412" s="205">
        <f t="shared" si="128"/>
        <v>0</v>
      </c>
      <c r="AD412" s="210">
        <f t="shared" si="129"/>
        <v>4.742361111108039</v>
      </c>
      <c r="AE412" s="210">
        <f t="shared" si="130"/>
        <v>4.742361111108039</v>
      </c>
      <c r="AF412" s="210">
        <f t="shared" si="131"/>
        <v>0</v>
      </c>
      <c r="AG412" s="210">
        <f t="shared" si="132"/>
        <v>0</v>
      </c>
    </row>
    <row r="413" spans="2:33" ht="15" customHeight="1" x14ac:dyDescent="0.3">
      <c r="B413" s="196" t="s">
        <v>7</v>
      </c>
      <c r="C413" s="197" t="s">
        <v>13</v>
      </c>
      <c r="D413" s="198" t="str">
        <f t="shared" si="114"/>
        <v>C</v>
      </c>
      <c r="E413" s="199">
        <v>43496.5</v>
      </c>
      <c r="F413" s="200" t="s">
        <v>118</v>
      </c>
      <c r="G413" s="201">
        <v>124.67400000000001</v>
      </c>
      <c r="H413" s="201">
        <v>125.389</v>
      </c>
      <c r="I413" s="202">
        <f t="shared" si="115"/>
        <v>0.7149999999999892</v>
      </c>
      <c r="J413" s="201">
        <v>121.815</v>
      </c>
      <c r="K413" s="199">
        <v>43497.717361111114</v>
      </c>
      <c r="L413" s="201">
        <v>125.255</v>
      </c>
      <c r="M413" s="203">
        <f t="shared" si="116"/>
        <v>-0.58099999999999996</v>
      </c>
      <c r="N413" s="204">
        <f t="shared" si="117"/>
        <v>-0.81</v>
      </c>
      <c r="O413" s="205">
        <f t="shared" si="118"/>
        <v>0</v>
      </c>
      <c r="P413" s="206">
        <f t="shared" si="119"/>
        <v>0</v>
      </c>
      <c r="Q413" s="206">
        <f t="shared" si="120"/>
        <v>-0.81</v>
      </c>
      <c r="R41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1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114110</v>
      </c>
      <c r="T41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119640</v>
      </c>
      <c r="U413" s="208">
        <f ca="1">IF(Tabla33610673[[#This Row],[Equity]]&lt;Tabla33610673[[#This Row],[Equity Peak]],(Tabla33610673[[#This Row],[Equity Peak]]-Tabla33610673[[#This Row],[Equity]])/Tabla33610673[[#This Row],[Equity Peak]],"")</f>
        <v>4.6221999331327313E-2</v>
      </c>
      <c r="V413" s="209">
        <f t="shared" si="121"/>
        <v>-0.81</v>
      </c>
      <c r="W413" s="209">
        <f t="shared" si="122"/>
        <v>0</v>
      </c>
      <c r="X413" s="209">
        <f t="shared" si="123"/>
        <v>0</v>
      </c>
      <c r="Y413" s="209">
        <f t="shared" si="124"/>
        <v>0</v>
      </c>
      <c r="Z413" s="209">
        <f t="shared" si="125"/>
        <v>0</v>
      </c>
      <c r="AA413" s="205">
        <f t="shared" si="126"/>
        <v>0</v>
      </c>
      <c r="AB413" s="209">
        <f t="shared" si="127"/>
        <v>0</v>
      </c>
      <c r="AC413" s="205">
        <f t="shared" si="128"/>
        <v>0</v>
      </c>
      <c r="AD413" s="210">
        <f t="shared" si="129"/>
        <v>1.2173611111138598</v>
      </c>
      <c r="AE413" s="210">
        <f t="shared" si="130"/>
        <v>0</v>
      </c>
      <c r="AF413" s="210">
        <f t="shared" si="131"/>
        <v>1.2173611111138598</v>
      </c>
      <c r="AG413" s="210">
        <f t="shared" si="132"/>
        <v>0</v>
      </c>
    </row>
    <row r="414" spans="2:33" ht="15" customHeight="1" x14ac:dyDescent="0.3">
      <c r="B414" s="196" t="s">
        <v>7</v>
      </c>
      <c r="C414" s="197" t="s">
        <v>13</v>
      </c>
      <c r="D414" s="198" t="str">
        <f t="shared" si="114"/>
        <v>C</v>
      </c>
      <c r="E414" s="199">
        <v>43496.017361111109</v>
      </c>
      <c r="F414" s="200" t="s">
        <v>113</v>
      </c>
      <c r="G414" s="201">
        <v>109.04</v>
      </c>
      <c r="H414" s="201">
        <v>109.804</v>
      </c>
      <c r="I414" s="202">
        <f t="shared" si="115"/>
        <v>0.76399999999999579</v>
      </c>
      <c r="J414" s="201">
        <v>105.473</v>
      </c>
      <c r="K414" s="199">
        <v>43497.673611111109</v>
      </c>
      <c r="L414" s="201">
        <v>109.093</v>
      </c>
      <c r="M414" s="203">
        <f t="shared" si="116"/>
        <v>-5.2999999999999999E-2</v>
      </c>
      <c r="N414" s="204">
        <f t="shared" si="117"/>
        <v>-7.0000000000000007E-2</v>
      </c>
      <c r="O414" s="205">
        <f t="shared" si="118"/>
        <v>0</v>
      </c>
      <c r="P414" s="206">
        <f t="shared" si="119"/>
        <v>0</v>
      </c>
      <c r="Q414" s="206">
        <f t="shared" si="120"/>
        <v>-7.0000000000000007E-2</v>
      </c>
      <c r="R41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1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114920</v>
      </c>
      <c r="T41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119640</v>
      </c>
      <c r="U414" s="208">
        <f ca="1">IF(Tabla33610673[[#This Row],[Equity]]&lt;Tabla33610673[[#This Row],[Equity Peak]],(Tabla33610673[[#This Row],[Equity Peak]]-Tabla33610673[[#This Row],[Equity]])/Tabla33610673[[#This Row],[Equity Peak]],"")</f>
        <v>3.9451688398528917E-2</v>
      </c>
      <c r="V414" s="209">
        <f t="shared" si="121"/>
        <v>-7.0000000000000007E-2</v>
      </c>
      <c r="W414" s="209">
        <f t="shared" si="122"/>
        <v>0</v>
      </c>
      <c r="X414" s="209">
        <f t="shared" si="123"/>
        <v>0</v>
      </c>
      <c r="Y414" s="209">
        <f t="shared" si="124"/>
        <v>0</v>
      </c>
      <c r="Z414" s="209">
        <f t="shared" si="125"/>
        <v>0</v>
      </c>
      <c r="AA414" s="205">
        <f t="shared" si="126"/>
        <v>0</v>
      </c>
      <c r="AB414" s="209">
        <f t="shared" si="127"/>
        <v>0</v>
      </c>
      <c r="AC414" s="205">
        <f t="shared" si="128"/>
        <v>0</v>
      </c>
      <c r="AD414" s="210">
        <f t="shared" si="129"/>
        <v>1.65625</v>
      </c>
      <c r="AE414" s="210">
        <f t="shared" si="130"/>
        <v>0</v>
      </c>
      <c r="AF414" s="210">
        <f t="shared" si="131"/>
        <v>1.65625</v>
      </c>
      <c r="AG414" s="210">
        <f t="shared" si="132"/>
        <v>0</v>
      </c>
    </row>
    <row r="415" spans="2:33" ht="15" customHeight="1" x14ac:dyDescent="0.3">
      <c r="B415" s="196" t="s">
        <v>19</v>
      </c>
      <c r="C415" s="197" t="s">
        <v>15</v>
      </c>
      <c r="D415" s="198" t="str">
        <f t="shared" si="114"/>
        <v>C</v>
      </c>
      <c r="E415" s="199">
        <v>43493.041666666664</v>
      </c>
      <c r="F415" s="200" t="s">
        <v>89</v>
      </c>
      <c r="G415" s="201">
        <v>15.754</v>
      </c>
      <c r="H415" s="201">
        <v>15.544</v>
      </c>
      <c r="I415" s="202">
        <f t="shared" si="115"/>
        <v>0.20999999999999908</v>
      </c>
      <c r="J415" s="201">
        <v>16.762</v>
      </c>
      <c r="K415" s="199">
        <v>43497.183333333334</v>
      </c>
      <c r="L415" s="201">
        <v>15.977</v>
      </c>
      <c r="M415" s="203">
        <f t="shared" si="116"/>
        <v>0.223</v>
      </c>
      <c r="N415" s="204">
        <f t="shared" si="117"/>
        <v>1.06</v>
      </c>
      <c r="O415" s="205">
        <f t="shared" si="118"/>
        <v>0</v>
      </c>
      <c r="P415" s="206">
        <f t="shared" si="119"/>
        <v>1.06</v>
      </c>
      <c r="Q415" s="206">
        <f t="shared" si="120"/>
        <v>0</v>
      </c>
      <c r="R41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1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114990</v>
      </c>
      <c r="T41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119640</v>
      </c>
      <c r="U415" s="208">
        <f ca="1">IF(Tabla33610673[[#This Row],[Equity]]&lt;Tabla33610673[[#This Row],[Equity Peak]],(Tabla33610673[[#This Row],[Equity Peak]]-Tabla33610673[[#This Row],[Equity]])/Tabla33610673[[#This Row],[Equity Peak]],"")</f>
        <v>3.8866599799398195E-2</v>
      </c>
      <c r="V415" s="209">
        <f t="shared" si="121"/>
        <v>0</v>
      </c>
      <c r="W415" s="209">
        <f t="shared" si="122"/>
        <v>0</v>
      </c>
      <c r="X415" s="209">
        <f t="shared" si="123"/>
        <v>1.06</v>
      </c>
      <c r="Y415" s="209">
        <f t="shared" si="124"/>
        <v>0</v>
      </c>
      <c r="Z415" s="209">
        <f t="shared" si="125"/>
        <v>0</v>
      </c>
      <c r="AA415" s="205">
        <f t="shared" si="126"/>
        <v>0</v>
      </c>
      <c r="AB415" s="209">
        <f t="shared" si="127"/>
        <v>0</v>
      </c>
      <c r="AC415" s="205">
        <f t="shared" si="128"/>
        <v>0</v>
      </c>
      <c r="AD415" s="210">
        <f t="shared" si="129"/>
        <v>4.1416666666700621</v>
      </c>
      <c r="AE415" s="210">
        <f t="shared" si="130"/>
        <v>4.1416666666700621</v>
      </c>
      <c r="AF415" s="210">
        <f t="shared" si="131"/>
        <v>0</v>
      </c>
      <c r="AG415" s="210">
        <f t="shared" si="132"/>
        <v>0</v>
      </c>
    </row>
    <row r="416" spans="2:33" ht="15" customHeight="1" x14ac:dyDescent="0.3">
      <c r="B416" s="196" t="s">
        <v>7</v>
      </c>
      <c r="C416" s="197" t="s">
        <v>15</v>
      </c>
      <c r="D416" s="198" t="str">
        <f t="shared" si="114"/>
        <v>C</v>
      </c>
      <c r="E416" s="199">
        <v>43494.5</v>
      </c>
      <c r="F416" s="200" t="s">
        <v>118</v>
      </c>
      <c r="G416" s="201">
        <v>125.232</v>
      </c>
      <c r="H416" s="201">
        <v>124.43300000000001</v>
      </c>
      <c r="I416" s="202">
        <f t="shared" si="115"/>
        <v>0.79899999999999238</v>
      </c>
      <c r="J416" s="201">
        <v>128.42699999999999</v>
      </c>
      <c r="K416" s="199">
        <v>43496.5</v>
      </c>
      <c r="L416" s="201">
        <v>124.67400000000001</v>
      </c>
      <c r="M416" s="203">
        <f t="shared" si="116"/>
        <v>-0.55800000000000005</v>
      </c>
      <c r="N416" s="204">
        <f t="shared" si="117"/>
        <v>-0.7</v>
      </c>
      <c r="O416" s="205">
        <f t="shared" si="118"/>
        <v>0</v>
      </c>
      <c r="P416" s="206">
        <f t="shared" si="119"/>
        <v>0</v>
      </c>
      <c r="Q416" s="206">
        <f t="shared" si="120"/>
        <v>-0.7</v>
      </c>
      <c r="R41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1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113930</v>
      </c>
      <c r="T41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119640</v>
      </c>
      <c r="U416" s="208">
        <f ca="1">IF(Tabla33610673[[#This Row],[Equity]]&lt;Tabla33610673[[#This Row],[Equity Peak]],(Tabla33610673[[#This Row],[Equity Peak]]-Tabla33610673[[#This Row],[Equity]])/Tabla33610673[[#This Row],[Equity Peak]],"")</f>
        <v>4.7726512871949178E-2</v>
      </c>
      <c r="V416" s="209">
        <f t="shared" si="121"/>
        <v>-0.7</v>
      </c>
      <c r="W416" s="209">
        <f t="shared" si="122"/>
        <v>0</v>
      </c>
      <c r="X416" s="209">
        <f t="shared" si="123"/>
        <v>0</v>
      </c>
      <c r="Y416" s="209">
        <f t="shared" si="124"/>
        <v>0</v>
      </c>
      <c r="Z416" s="209">
        <f t="shared" si="125"/>
        <v>0</v>
      </c>
      <c r="AA416" s="205">
        <f t="shared" si="126"/>
        <v>0</v>
      </c>
      <c r="AB416" s="209">
        <f t="shared" si="127"/>
        <v>0</v>
      </c>
      <c r="AC416" s="205">
        <f t="shared" si="128"/>
        <v>0</v>
      </c>
      <c r="AD416" s="210">
        <f t="shared" si="129"/>
        <v>2</v>
      </c>
      <c r="AE416" s="210">
        <f t="shared" si="130"/>
        <v>0</v>
      </c>
      <c r="AF416" s="210">
        <f t="shared" si="131"/>
        <v>2</v>
      </c>
      <c r="AG416" s="210">
        <f t="shared" si="132"/>
        <v>0</v>
      </c>
    </row>
    <row r="417" spans="2:33" ht="15" customHeight="1" x14ac:dyDescent="0.3">
      <c r="B417" s="196" t="s">
        <v>7</v>
      </c>
      <c r="C417" s="197" t="s">
        <v>15</v>
      </c>
      <c r="D417" s="198" t="str">
        <f t="shared" si="114"/>
        <v>C</v>
      </c>
      <c r="E417" s="199">
        <v>43481.833333333336</v>
      </c>
      <c r="F417" s="200" t="s">
        <v>116</v>
      </c>
      <c r="G417" s="201">
        <v>1.79036</v>
      </c>
      <c r="H417" s="201">
        <v>1.7698199999999999</v>
      </c>
      <c r="I417" s="202">
        <f t="shared" si="115"/>
        <v>2.0540000000000003E-2</v>
      </c>
      <c r="J417" s="201">
        <v>1.8588199999999999</v>
      </c>
      <c r="K417" s="199">
        <v>43495.888194444444</v>
      </c>
      <c r="L417" s="201">
        <v>1.81206</v>
      </c>
      <c r="M417" s="203">
        <f t="shared" si="116"/>
        <v>2.1700000000000001E-2</v>
      </c>
      <c r="N417" s="204">
        <f t="shared" si="117"/>
        <v>1.06</v>
      </c>
      <c r="O417" s="205">
        <f t="shared" si="118"/>
        <v>0</v>
      </c>
      <c r="P417" s="206">
        <f t="shared" si="119"/>
        <v>1.06</v>
      </c>
      <c r="Q417" s="206">
        <f t="shared" si="120"/>
        <v>0</v>
      </c>
      <c r="R41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1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114630</v>
      </c>
      <c r="T41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119640</v>
      </c>
      <c r="U417" s="208">
        <f ca="1">IF(Tabla33610673[[#This Row],[Equity]]&lt;Tabla33610673[[#This Row],[Equity Peak]],(Tabla33610673[[#This Row],[Equity Peak]]-Tabla33610673[[#This Row],[Equity]])/Tabla33610673[[#This Row],[Equity Peak]],"")</f>
        <v>4.1875626880641927E-2</v>
      </c>
      <c r="V417" s="209">
        <f t="shared" si="121"/>
        <v>1.06</v>
      </c>
      <c r="W417" s="209">
        <f t="shared" si="122"/>
        <v>0</v>
      </c>
      <c r="X417" s="209">
        <f t="shared" si="123"/>
        <v>0</v>
      </c>
      <c r="Y417" s="209">
        <f t="shared" si="124"/>
        <v>0</v>
      </c>
      <c r="Z417" s="209">
        <f t="shared" si="125"/>
        <v>0</v>
      </c>
      <c r="AA417" s="205">
        <f t="shared" si="126"/>
        <v>0</v>
      </c>
      <c r="AB417" s="209">
        <f t="shared" si="127"/>
        <v>0</v>
      </c>
      <c r="AC417" s="205">
        <f t="shared" si="128"/>
        <v>0</v>
      </c>
      <c r="AD417" s="210">
        <f t="shared" si="129"/>
        <v>14.054861111108039</v>
      </c>
      <c r="AE417" s="210">
        <f t="shared" si="130"/>
        <v>14.054861111108039</v>
      </c>
      <c r="AF417" s="210">
        <f t="shared" si="131"/>
        <v>0</v>
      </c>
      <c r="AG417" s="210">
        <f t="shared" si="132"/>
        <v>0</v>
      </c>
    </row>
    <row r="418" spans="2:33" ht="15" customHeight="1" x14ac:dyDescent="0.3">
      <c r="B418" s="196" t="s">
        <v>7</v>
      </c>
      <c r="C418" s="197" t="s">
        <v>13</v>
      </c>
      <c r="D418" s="198" t="str">
        <f t="shared" si="114"/>
        <v>C</v>
      </c>
      <c r="E418" s="199">
        <v>43495.333333333336</v>
      </c>
      <c r="F418" s="200" t="s">
        <v>113</v>
      </c>
      <c r="G418" s="201">
        <v>109.273</v>
      </c>
      <c r="H418" s="201">
        <v>109.878</v>
      </c>
      <c r="I418" s="202">
        <f t="shared" si="115"/>
        <v>0.60500000000000398</v>
      </c>
      <c r="J418" s="201">
        <v>106.44799999999999</v>
      </c>
      <c r="K418" s="199">
        <v>43495.609722222223</v>
      </c>
      <c r="L418" s="201">
        <v>109.57599999999999</v>
      </c>
      <c r="M418" s="203">
        <f t="shared" si="116"/>
        <v>-0.30299999999999999</v>
      </c>
      <c r="N418" s="204">
        <f t="shared" si="117"/>
        <v>-0.5</v>
      </c>
      <c r="O418" s="205">
        <f t="shared" si="118"/>
        <v>0</v>
      </c>
      <c r="P418" s="206">
        <f t="shared" si="119"/>
        <v>0</v>
      </c>
      <c r="Q418" s="206">
        <f t="shared" si="120"/>
        <v>-0.5</v>
      </c>
      <c r="R41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1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113570</v>
      </c>
      <c r="T41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119640</v>
      </c>
      <c r="U418" s="208">
        <f ca="1">IF(Tabla33610673[[#This Row],[Equity]]&lt;Tabla33610673[[#This Row],[Equity Peak]],(Tabla33610673[[#This Row],[Equity Peak]]-Tabla33610673[[#This Row],[Equity]])/Tabla33610673[[#This Row],[Equity Peak]],"")</f>
        <v>5.073553995319291E-2</v>
      </c>
      <c r="V418" s="209">
        <f t="shared" si="121"/>
        <v>-0.5</v>
      </c>
      <c r="W418" s="209">
        <f t="shared" si="122"/>
        <v>0</v>
      </c>
      <c r="X418" s="209">
        <f t="shared" si="123"/>
        <v>0</v>
      </c>
      <c r="Y418" s="209">
        <f t="shared" si="124"/>
        <v>0</v>
      </c>
      <c r="Z418" s="209">
        <f t="shared" si="125"/>
        <v>0</v>
      </c>
      <c r="AA418" s="205">
        <f t="shared" si="126"/>
        <v>0</v>
      </c>
      <c r="AB418" s="209">
        <f t="shared" si="127"/>
        <v>0</v>
      </c>
      <c r="AC418" s="205">
        <f t="shared" si="128"/>
        <v>0</v>
      </c>
      <c r="AD418" s="210">
        <f t="shared" si="129"/>
        <v>0.27638888888759539</v>
      </c>
      <c r="AE418" s="210">
        <f t="shared" si="130"/>
        <v>0</v>
      </c>
      <c r="AF418" s="210">
        <f t="shared" si="131"/>
        <v>0.27638888888759539</v>
      </c>
      <c r="AG418" s="210">
        <f t="shared" si="132"/>
        <v>0</v>
      </c>
    </row>
    <row r="419" spans="2:33" ht="15" customHeight="1" x14ac:dyDescent="0.3">
      <c r="B419" s="196" t="s">
        <v>7</v>
      </c>
      <c r="C419" s="197" t="s">
        <v>15</v>
      </c>
      <c r="D419" s="198" t="str">
        <f t="shared" si="114"/>
        <v>C</v>
      </c>
      <c r="E419" s="199">
        <v>43494.166666666664</v>
      </c>
      <c r="F419" s="200" t="s">
        <v>120</v>
      </c>
      <c r="G419" s="201">
        <v>1.59693</v>
      </c>
      <c r="H419" s="201">
        <v>1.5910899999999999</v>
      </c>
      <c r="I419" s="202">
        <f t="shared" si="115"/>
        <v>5.8400000000000674E-3</v>
      </c>
      <c r="J419" s="201">
        <v>1.65926</v>
      </c>
      <c r="K419" s="199">
        <v>43495.10833333333</v>
      </c>
      <c r="L419" s="201">
        <v>1.5918099999999999</v>
      </c>
      <c r="M419" s="203">
        <f t="shared" si="116"/>
        <v>-5.1000000000000004E-3</v>
      </c>
      <c r="N419" s="204">
        <f t="shared" si="117"/>
        <v>-0.87</v>
      </c>
      <c r="O419" s="205">
        <f t="shared" si="118"/>
        <v>0</v>
      </c>
      <c r="P419" s="206">
        <f t="shared" si="119"/>
        <v>0</v>
      </c>
      <c r="Q419" s="206">
        <f t="shared" si="120"/>
        <v>-0.87</v>
      </c>
      <c r="R41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1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114070</v>
      </c>
      <c r="T41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119640</v>
      </c>
      <c r="U419" s="208">
        <f ca="1">IF(Tabla33610673[[#This Row],[Equity]]&lt;Tabla33610673[[#This Row],[Equity Peak]],(Tabla33610673[[#This Row],[Equity Peak]]-Tabla33610673[[#This Row],[Equity]])/Tabla33610673[[#This Row],[Equity Peak]],"")</f>
        <v>4.6556335673687728E-2</v>
      </c>
      <c r="V419" s="209">
        <f t="shared" si="121"/>
        <v>-0.87</v>
      </c>
      <c r="W419" s="209">
        <f t="shared" si="122"/>
        <v>0</v>
      </c>
      <c r="X419" s="209">
        <f t="shared" si="123"/>
        <v>0</v>
      </c>
      <c r="Y419" s="209">
        <f t="shared" si="124"/>
        <v>0</v>
      </c>
      <c r="Z419" s="209">
        <f t="shared" si="125"/>
        <v>0</v>
      </c>
      <c r="AA419" s="205">
        <f t="shared" si="126"/>
        <v>0</v>
      </c>
      <c r="AB419" s="209">
        <f t="shared" si="127"/>
        <v>0</v>
      </c>
      <c r="AC419" s="205">
        <f t="shared" si="128"/>
        <v>0</v>
      </c>
      <c r="AD419" s="210">
        <f t="shared" si="129"/>
        <v>0.94166666666569654</v>
      </c>
      <c r="AE419" s="210">
        <f t="shared" si="130"/>
        <v>0</v>
      </c>
      <c r="AF419" s="210">
        <f t="shared" si="131"/>
        <v>0.94166666666569654</v>
      </c>
      <c r="AG419" s="210">
        <f t="shared" si="132"/>
        <v>0</v>
      </c>
    </row>
    <row r="420" spans="2:33" ht="15" customHeight="1" x14ac:dyDescent="0.3">
      <c r="B420" s="196" t="s">
        <v>7</v>
      </c>
      <c r="C420" s="197" t="s">
        <v>15</v>
      </c>
      <c r="D420" s="198" t="str">
        <f t="shared" si="114"/>
        <v>C</v>
      </c>
      <c r="E420" s="199">
        <v>43483.017361111109</v>
      </c>
      <c r="F420" s="200" t="s">
        <v>115</v>
      </c>
      <c r="G420" s="201">
        <v>141.63300000000001</v>
      </c>
      <c r="H420" s="201">
        <v>139.97999999999999</v>
      </c>
      <c r="I420" s="202">
        <f t="shared" si="115"/>
        <v>1.65300000000002</v>
      </c>
      <c r="J420" s="201">
        <v>150.887</v>
      </c>
      <c r="K420" s="199">
        <v>43494.914583333331</v>
      </c>
      <c r="L420" s="201">
        <v>143.26900000000001</v>
      </c>
      <c r="M420" s="203">
        <f t="shared" si="116"/>
        <v>1.6359999999999999</v>
      </c>
      <c r="N420" s="204">
        <f t="shared" si="117"/>
        <v>0.99</v>
      </c>
      <c r="O420" s="205">
        <f t="shared" si="118"/>
        <v>0</v>
      </c>
      <c r="P420" s="206">
        <f t="shared" si="119"/>
        <v>0.99</v>
      </c>
      <c r="Q420" s="206">
        <f t="shared" si="120"/>
        <v>0</v>
      </c>
      <c r="R42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2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114940</v>
      </c>
      <c r="T42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119640</v>
      </c>
      <c r="U420" s="208">
        <f ca="1">IF(Tabla33610673[[#This Row],[Equity]]&lt;Tabla33610673[[#This Row],[Equity Peak]],(Tabla33610673[[#This Row],[Equity Peak]]-Tabla33610673[[#This Row],[Equity]])/Tabla33610673[[#This Row],[Equity Peak]],"")</f>
        <v>3.9284520227348713E-2</v>
      </c>
      <c r="V420" s="209">
        <f t="shared" si="121"/>
        <v>0.99</v>
      </c>
      <c r="W420" s="209">
        <f t="shared" si="122"/>
        <v>0</v>
      </c>
      <c r="X420" s="209">
        <f t="shared" si="123"/>
        <v>0</v>
      </c>
      <c r="Y420" s="209">
        <f t="shared" si="124"/>
        <v>0</v>
      </c>
      <c r="Z420" s="209">
        <f t="shared" si="125"/>
        <v>0</v>
      </c>
      <c r="AA420" s="205">
        <f t="shared" si="126"/>
        <v>0</v>
      </c>
      <c r="AB420" s="209">
        <f t="shared" si="127"/>
        <v>0</v>
      </c>
      <c r="AC420" s="205">
        <f t="shared" si="128"/>
        <v>0</v>
      </c>
      <c r="AD420" s="210">
        <f t="shared" si="129"/>
        <v>11.897222222221899</v>
      </c>
      <c r="AE420" s="210">
        <f t="shared" si="130"/>
        <v>11.897222222221899</v>
      </c>
      <c r="AF420" s="210">
        <f t="shared" si="131"/>
        <v>0</v>
      </c>
      <c r="AG420" s="210">
        <f t="shared" si="132"/>
        <v>0</v>
      </c>
    </row>
    <row r="421" spans="2:33" ht="15" customHeight="1" x14ac:dyDescent="0.3">
      <c r="B421" s="196" t="s">
        <v>5</v>
      </c>
      <c r="C421" s="197" t="s">
        <v>13</v>
      </c>
      <c r="D421" s="198" t="str">
        <f t="shared" si="114"/>
        <v>C</v>
      </c>
      <c r="E421" s="199">
        <v>43488.5</v>
      </c>
      <c r="F421" s="200" t="s">
        <v>94</v>
      </c>
      <c r="G421" s="201">
        <v>6881.76</v>
      </c>
      <c r="H421" s="201">
        <v>6938.69</v>
      </c>
      <c r="I421" s="202">
        <f t="shared" si="115"/>
        <v>56.929999999999382</v>
      </c>
      <c r="J421" s="201">
        <v>6597.13</v>
      </c>
      <c r="K421" s="199">
        <v>43494.411805555559</v>
      </c>
      <c r="L421" s="201">
        <v>6803.07</v>
      </c>
      <c r="M421" s="203">
        <f t="shared" si="116"/>
        <v>78.69</v>
      </c>
      <c r="N421" s="204">
        <f t="shared" si="117"/>
        <v>1.38</v>
      </c>
      <c r="O421" s="205">
        <f t="shared" si="118"/>
        <v>0</v>
      </c>
      <c r="P421" s="206">
        <f t="shared" si="119"/>
        <v>1.38</v>
      </c>
      <c r="Q421" s="206">
        <f t="shared" si="120"/>
        <v>0</v>
      </c>
      <c r="R42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2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113950</v>
      </c>
      <c r="T42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119640</v>
      </c>
      <c r="U421" s="208">
        <f ca="1">IF(Tabla33610673[[#This Row],[Equity]]&lt;Tabla33610673[[#This Row],[Equity Peak]],(Tabla33610673[[#This Row],[Equity Peak]]-Tabla33610673[[#This Row],[Equity]])/Tabla33610673[[#This Row],[Equity Peak]],"")</f>
        <v>4.7559344700768974E-2</v>
      </c>
      <c r="V421" s="209">
        <f t="shared" si="121"/>
        <v>0</v>
      </c>
      <c r="W421" s="209">
        <f t="shared" si="122"/>
        <v>0</v>
      </c>
      <c r="X421" s="209">
        <f t="shared" si="123"/>
        <v>0</v>
      </c>
      <c r="Y421" s="209">
        <f t="shared" si="124"/>
        <v>0</v>
      </c>
      <c r="Z421" s="209">
        <f t="shared" si="125"/>
        <v>1.38</v>
      </c>
      <c r="AA421" s="205">
        <f t="shared" si="126"/>
        <v>0</v>
      </c>
      <c r="AB421" s="209">
        <f t="shared" si="127"/>
        <v>0</v>
      </c>
      <c r="AC421" s="205">
        <f t="shared" si="128"/>
        <v>0</v>
      </c>
      <c r="AD421" s="210">
        <f t="shared" si="129"/>
        <v>5.9118055555591127</v>
      </c>
      <c r="AE421" s="210">
        <f t="shared" si="130"/>
        <v>5.9118055555591127</v>
      </c>
      <c r="AF421" s="210">
        <f t="shared" si="131"/>
        <v>0</v>
      </c>
      <c r="AG421" s="210">
        <f t="shared" si="132"/>
        <v>0</v>
      </c>
    </row>
    <row r="422" spans="2:33" ht="15" customHeight="1" x14ac:dyDescent="0.3">
      <c r="B422" s="196" t="s">
        <v>7</v>
      </c>
      <c r="C422" s="197" t="s">
        <v>15</v>
      </c>
      <c r="D422" s="198" t="str">
        <f t="shared" si="114"/>
        <v>C</v>
      </c>
      <c r="E422" s="199">
        <v>43493.017361111109</v>
      </c>
      <c r="F422" s="200" t="s">
        <v>122</v>
      </c>
      <c r="G422" s="201">
        <v>78.516000000000005</v>
      </c>
      <c r="H422" s="201">
        <v>78.031000000000006</v>
      </c>
      <c r="I422" s="202">
        <f t="shared" si="115"/>
        <v>0.48499999999999943</v>
      </c>
      <c r="J422" s="201">
        <v>86.927000000000007</v>
      </c>
      <c r="K422" s="199">
        <v>43494.105555555558</v>
      </c>
      <c r="L422" s="201">
        <v>78.031000000000006</v>
      </c>
      <c r="M422" s="203">
        <f t="shared" si="116"/>
        <v>-0.48499999999999999</v>
      </c>
      <c r="N422" s="204">
        <f t="shared" si="117"/>
        <v>-1</v>
      </c>
      <c r="O422" s="205">
        <f t="shared" si="118"/>
        <v>0</v>
      </c>
      <c r="P422" s="206">
        <f t="shared" si="119"/>
        <v>0</v>
      </c>
      <c r="Q422" s="206">
        <f t="shared" si="120"/>
        <v>-1</v>
      </c>
      <c r="R42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2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112570</v>
      </c>
      <c r="T42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119640</v>
      </c>
      <c r="U422" s="208">
        <f ca="1">IF(Tabla33610673[[#This Row],[Equity]]&lt;Tabla33610673[[#This Row],[Equity Peak]],(Tabla33610673[[#This Row],[Equity Peak]]-Tabla33610673[[#This Row],[Equity]])/Tabla33610673[[#This Row],[Equity Peak]],"")</f>
        <v>5.9093948512203273E-2</v>
      </c>
      <c r="V422" s="209">
        <f t="shared" si="121"/>
        <v>-1</v>
      </c>
      <c r="W422" s="209">
        <f t="shared" si="122"/>
        <v>0</v>
      </c>
      <c r="X422" s="209">
        <f t="shared" si="123"/>
        <v>0</v>
      </c>
      <c r="Y422" s="209">
        <f t="shared" si="124"/>
        <v>0</v>
      </c>
      <c r="Z422" s="209">
        <f t="shared" si="125"/>
        <v>0</v>
      </c>
      <c r="AA422" s="205">
        <f t="shared" si="126"/>
        <v>0</v>
      </c>
      <c r="AB422" s="209">
        <f t="shared" si="127"/>
        <v>0</v>
      </c>
      <c r="AC422" s="205">
        <f t="shared" si="128"/>
        <v>0</v>
      </c>
      <c r="AD422" s="210">
        <f t="shared" si="129"/>
        <v>1.0881944444481633</v>
      </c>
      <c r="AE422" s="210">
        <f t="shared" si="130"/>
        <v>0</v>
      </c>
      <c r="AF422" s="210">
        <f t="shared" si="131"/>
        <v>1.0881944444481633</v>
      </c>
      <c r="AG422" s="210">
        <f t="shared" si="132"/>
        <v>0</v>
      </c>
    </row>
    <row r="423" spans="2:33" ht="15" customHeight="1" x14ac:dyDescent="0.3">
      <c r="B423" s="196" t="s">
        <v>7</v>
      </c>
      <c r="C423" s="197" t="s">
        <v>13</v>
      </c>
      <c r="D423" s="198" t="str">
        <f t="shared" si="114"/>
        <v>C</v>
      </c>
      <c r="E423" s="199">
        <v>43490.666666666664</v>
      </c>
      <c r="F423" s="200" t="s">
        <v>120</v>
      </c>
      <c r="G423" s="201">
        <v>1.59138</v>
      </c>
      <c r="H423" s="201">
        <v>1.5992999999999999</v>
      </c>
      <c r="I423" s="202">
        <f t="shared" si="115"/>
        <v>7.9199999999999271E-3</v>
      </c>
      <c r="J423" s="201">
        <v>1.50695</v>
      </c>
      <c r="K423" s="199">
        <v>43493.720138888886</v>
      </c>
      <c r="L423" s="201">
        <v>1.59379</v>
      </c>
      <c r="M423" s="203">
        <f t="shared" si="116"/>
        <v>-2.3999999999999998E-3</v>
      </c>
      <c r="N423" s="204">
        <f t="shared" si="117"/>
        <v>-0.3</v>
      </c>
      <c r="O423" s="205">
        <f t="shared" si="118"/>
        <v>0</v>
      </c>
      <c r="P423" s="206">
        <f t="shared" si="119"/>
        <v>0</v>
      </c>
      <c r="Q423" s="206">
        <f t="shared" si="120"/>
        <v>-0.3</v>
      </c>
      <c r="R42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2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113570</v>
      </c>
      <c r="T42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119640</v>
      </c>
      <c r="U423" s="208">
        <f ca="1">IF(Tabla33610673[[#This Row],[Equity]]&lt;Tabla33610673[[#This Row],[Equity Peak]],(Tabla33610673[[#This Row],[Equity Peak]]-Tabla33610673[[#This Row],[Equity]])/Tabla33610673[[#This Row],[Equity Peak]],"")</f>
        <v>5.073553995319291E-2</v>
      </c>
      <c r="V423" s="209">
        <f t="shared" si="121"/>
        <v>-0.3</v>
      </c>
      <c r="W423" s="209">
        <f t="shared" si="122"/>
        <v>0</v>
      </c>
      <c r="X423" s="209">
        <f t="shared" si="123"/>
        <v>0</v>
      </c>
      <c r="Y423" s="209">
        <f t="shared" si="124"/>
        <v>0</v>
      </c>
      <c r="Z423" s="209">
        <f t="shared" si="125"/>
        <v>0</v>
      </c>
      <c r="AA423" s="205">
        <f t="shared" si="126"/>
        <v>0</v>
      </c>
      <c r="AB423" s="209">
        <f t="shared" si="127"/>
        <v>0</v>
      </c>
      <c r="AC423" s="205">
        <f t="shared" si="128"/>
        <v>0</v>
      </c>
      <c r="AD423" s="210">
        <f t="shared" si="129"/>
        <v>3.0534722222218988</v>
      </c>
      <c r="AE423" s="210">
        <f t="shared" si="130"/>
        <v>0</v>
      </c>
      <c r="AF423" s="210">
        <f t="shared" si="131"/>
        <v>3.0534722222218988</v>
      </c>
      <c r="AG423" s="210">
        <f t="shared" si="132"/>
        <v>0</v>
      </c>
    </row>
    <row r="424" spans="2:33" ht="15" customHeight="1" x14ac:dyDescent="0.3">
      <c r="B424" s="196" t="s">
        <v>7</v>
      </c>
      <c r="C424" s="197" t="s">
        <v>13</v>
      </c>
      <c r="D424" s="198" t="str">
        <f t="shared" si="114"/>
        <v>C</v>
      </c>
      <c r="E424" s="199">
        <v>43489.333333333336</v>
      </c>
      <c r="F424" s="200" t="s">
        <v>122</v>
      </c>
      <c r="G424" s="201">
        <v>77.885000000000005</v>
      </c>
      <c r="H424" s="201">
        <v>78.311999999999998</v>
      </c>
      <c r="I424" s="202">
        <f t="shared" si="115"/>
        <v>0.4269999999999925</v>
      </c>
      <c r="J424" s="201">
        <v>70.483999999999995</v>
      </c>
      <c r="K424" s="199">
        <v>43490.582638888889</v>
      </c>
      <c r="L424" s="201">
        <v>78.311999999999998</v>
      </c>
      <c r="M424" s="203">
        <f t="shared" si="116"/>
        <v>-0.42699999999999999</v>
      </c>
      <c r="N424" s="204">
        <f t="shared" si="117"/>
        <v>-1</v>
      </c>
      <c r="O424" s="205">
        <f t="shared" si="118"/>
        <v>0</v>
      </c>
      <c r="P424" s="206">
        <f t="shared" si="119"/>
        <v>0</v>
      </c>
      <c r="Q424" s="206">
        <f t="shared" si="120"/>
        <v>-1</v>
      </c>
      <c r="R42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2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113870</v>
      </c>
      <c r="T42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119640</v>
      </c>
      <c r="U424" s="208">
        <f ca="1">IF(Tabla33610673[[#This Row],[Equity]]&lt;Tabla33610673[[#This Row],[Equity Peak]],(Tabla33610673[[#This Row],[Equity Peak]]-Tabla33610673[[#This Row],[Equity]])/Tabla33610673[[#This Row],[Equity Peak]],"")</f>
        <v>4.8228017385489805E-2</v>
      </c>
      <c r="V424" s="209">
        <f t="shared" si="121"/>
        <v>-1</v>
      </c>
      <c r="W424" s="209">
        <f t="shared" si="122"/>
        <v>0</v>
      </c>
      <c r="X424" s="209">
        <f t="shared" si="123"/>
        <v>0</v>
      </c>
      <c r="Y424" s="209">
        <f t="shared" si="124"/>
        <v>0</v>
      </c>
      <c r="Z424" s="209">
        <f t="shared" si="125"/>
        <v>0</v>
      </c>
      <c r="AA424" s="205">
        <f t="shared" si="126"/>
        <v>0</v>
      </c>
      <c r="AB424" s="209">
        <f t="shared" si="127"/>
        <v>0</v>
      </c>
      <c r="AC424" s="205">
        <f t="shared" si="128"/>
        <v>0</v>
      </c>
      <c r="AD424" s="210">
        <f t="shared" si="129"/>
        <v>1.2493055555532919</v>
      </c>
      <c r="AE424" s="210">
        <f t="shared" si="130"/>
        <v>0</v>
      </c>
      <c r="AF424" s="210">
        <f t="shared" si="131"/>
        <v>1.2493055555532919</v>
      </c>
      <c r="AG424" s="210">
        <f t="shared" si="132"/>
        <v>0</v>
      </c>
    </row>
    <row r="425" spans="2:33" ht="15" customHeight="1" x14ac:dyDescent="0.3">
      <c r="B425" s="196" t="s">
        <v>7</v>
      </c>
      <c r="C425" s="197" t="s">
        <v>15</v>
      </c>
      <c r="D425" s="198" t="str">
        <f t="shared" si="114"/>
        <v>C</v>
      </c>
      <c r="E425" s="199">
        <v>43489.333333333336</v>
      </c>
      <c r="F425" s="200" t="s">
        <v>120</v>
      </c>
      <c r="G425" s="201">
        <v>1.60229</v>
      </c>
      <c r="H425" s="201">
        <v>1.5953599999999999</v>
      </c>
      <c r="I425" s="202">
        <f t="shared" si="115"/>
        <v>6.9300000000001027E-3</v>
      </c>
      <c r="J425" s="201">
        <v>1.6761900000000001</v>
      </c>
      <c r="K425" s="199">
        <v>43489.605555555558</v>
      </c>
      <c r="L425" s="201">
        <v>1.5953599999999999</v>
      </c>
      <c r="M425" s="203">
        <f t="shared" si="116"/>
        <v>-6.8999999999999999E-3</v>
      </c>
      <c r="N425" s="204">
        <f t="shared" si="117"/>
        <v>-1</v>
      </c>
      <c r="O425" s="205">
        <f t="shared" si="118"/>
        <v>0</v>
      </c>
      <c r="P425" s="206">
        <f t="shared" si="119"/>
        <v>0</v>
      </c>
      <c r="Q425" s="206">
        <f t="shared" si="120"/>
        <v>-1</v>
      </c>
      <c r="R42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2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114870</v>
      </c>
      <c r="T42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119640</v>
      </c>
      <c r="U425" s="208">
        <f ca="1">IF(Tabla33610673[[#This Row],[Equity]]&lt;Tabla33610673[[#This Row],[Equity Peak]],(Tabla33610673[[#This Row],[Equity Peak]]-Tabla33610673[[#This Row],[Equity]])/Tabla33610673[[#This Row],[Equity Peak]],"")</f>
        <v>3.9869608826479441E-2</v>
      </c>
      <c r="V425" s="209">
        <f t="shared" si="121"/>
        <v>-1</v>
      </c>
      <c r="W425" s="209">
        <f t="shared" si="122"/>
        <v>0</v>
      </c>
      <c r="X425" s="209">
        <f t="shared" si="123"/>
        <v>0</v>
      </c>
      <c r="Y425" s="209">
        <f t="shared" si="124"/>
        <v>0</v>
      </c>
      <c r="Z425" s="209">
        <f t="shared" si="125"/>
        <v>0</v>
      </c>
      <c r="AA425" s="205">
        <f t="shared" si="126"/>
        <v>0</v>
      </c>
      <c r="AB425" s="209">
        <f t="shared" si="127"/>
        <v>0</v>
      </c>
      <c r="AC425" s="205">
        <f t="shared" si="128"/>
        <v>0</v>
      </c>
      <c r="AD425" s="210">
        <f t="shared" si="129"/>
        <v>0.27222222222189885</v>
      </c>
      <c r="AE425" s="210">
        <f t="shared" si="130"/>
        <v>0</v>
      </c>
      <c r="AF425" s="210">
        <f t="shared" si="131"/>
        <v>0.27222222222189885</v>
      </c>
      <c r="AG425" s="210">
        <f t="shared" si="132"/>
        <v>0</v>
      </c>
    </row>
    <row r="426" spans="2:33" ht="15" customHeight="1" x14ac:dyDescent="0.3">
      <c r="B426" s="196" t="s">
        <v>7</v>
      </c>
      <c r="C426" s="197" t="s">
        <v>13</v>
      </c>
      <c r="D426" s="198" t="str">
        <f t="shared" si="114"/>
        <v>C</v>
      </c>
      <c r="E426" s="199">
        <v>43487.666666666664</v>
      </c>
      <c r="F426" s="200" t="s">
        <v>121</v>
      </c>
      <c r="G426" s="201">
        <v>0.71316999999999997</v>
      </c>
      <c r="H426" s="201">
        <v>0.71618999999999999</v>
      </c>
      <c r="I426" s="202">
        <f t="shared" si="115"/>
        <v>3.0200000000000227E-3</v>
      </c>
      <c r="J426" s="201">
        <v>0.69708999999999999</v>
      </c>
      <c r="K426" s="199">
        <v>43489.084027777775</v>
      </c>
      <c r="L426" s="201">
        <v>0.71618999999999999</v>
      </c>
      <c r="M426" s="203">
        <f t="shared" si="116"/>
        <v>-3.0000000000000001E-3</v>
      </c>
      <c r="N426" s="204">
        <f t="shared" si="117"/>
        <v>-0.99</v>
      </c>
      <c r="O426" s="205">
        <f t="shared" si="118"/>
        <v>0</v>
      </c>
      <c r="P426" s="206">
        <f t="shared" si="119"/>
        <v>0</v>
      </c>
      <c r="Q426" s="206">
        <f t="shared" si="120"/>
        <v>-0.99</v>
      </c>
      <c r="R42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2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115870</v>
      </c>
      <c r="T42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119640</v>
      </c>
      <c r="U426" s="208">
        <f ca="1">IF(Tabla33610673[[#This Row],[Equity]]&lt;Tabla33610673[[#This Row],[Equity Peak]],(Tabla33610673[[#This Row],[Equity Peak]]-Tabla33610673[[#This Row],[Equity]])/Tabla33610673[[#This Row],[Equity Peak]],"")</f>
        <v>3.1511200267469071E-2</v>
      </c>
      <c r="V426" s="209">
        <f t="shared" si="121"/>
        <v>-0.99</v>
      </c>
      <c r="W426" s="209">
        <f t="shared" si="122"/>
        <v>0</v>
      </c>
      <c r="X426" s="209">
        <f t="shared" si="123"/>
        <v>0</v>
      </c>
      <c r="Y426" s="209">
        <f t="shared" si="124"/>
        <v>0</v>
      </c>
      <c r="Z426" s="209">
        <f t="shared" si="125"/>
        <v>0</v>
      </c>
      <c r="AA426" s="205">
        <f t="shared" si="126"/>
        <v>0</v>
      </c>
      <c r="AB426" s="209">
        <f t="shared" si="127"/>
        <v>0</v>
      </c>
      <c r="AC426" s="205">
        <f t="shared" si="128"/>
        <v>0</v>
      </c>
      <c r="AD426" s="210">
        <f t="shared" si="129"/>
        <v>1.4173611111109494</v>
      </c>
      <c r="AE426" s="210">
        <f t="shared" si="130"/>
        <v>0</v>
      </c>
      <c r="AF426" s="210">
        <f t="shared" si="131"/>
        <v>1.4173611111109494</v>
      </c>
      <c r="AG426" s="210">
        <f t="shared" si="132"/>
        <v>0</v>
      </c>
    </row>
    <row r="427" spans="2:33" ht="15" customHeight="1" x14ac:dyDescent="0.3">
      <c r="B427" s="196" t="s">
        <v>7</v>
      </c>
      <c r="C427" s="197" t="s">
        <v>13</v>
      </c>
      <c r="D427" s="198" t="str">
        <f t="shared" si="114"/>
        <v>C</v>
      </c>
      <c r="E427" s="199">
        <v>43482.666666666664</v>
      </c>
      <c r="F427" s="200" t="s">
        <v>117</v>
      </c>
      <c r="G427" s="201">
        <v>1.1397900000000001</v>
      </c>
      <c r="H427" s="201">
        <v>1.1473599999999999</v>
      </c>
      <c r="I427" s="202">
        <f t="shared" si="115"/>
        <v>7.5699999999998546E-3</v>
      </c>
      <c r="J427" s="201">
        <v>1.0913600000000001</v>
      </c>
      <c r="K427" s="199">
        <v>43488.747916666667</v>
      </c>
      <c r="L427" s="201">
        <v>1.13811</v>
      </c>
      <c r="M427" s="203">
        <f t="shared" si="116"/>
        <v>1.6999999999999999E-3</v>
      </c>
      <c r="N427" s="204">
        <f t="shared" si="117"/>
        <v>0.22</v>
      </c>
      <c r="O427" s="205">
        <f t="shared" si="118"/>
        <v>0</v>
      </c>
      <c r="P427" s="206">
        <f t="shared" si="119"/>
        <v>0.22</v>
      </c>
      <c r="Q427" s="206">
        <f t="shared" si="120"/>
        <v>0</v>
      </c>
      <c r="R42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2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116860</v>
      </c>
      <c r="T42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119640</v>
      </c>
      <c r="U427" s="208">
        <f ca="1">IF(Tabla33610673[[#This Row],[Equity]]&lt;Tabla33610673[[#This Row],[Equity Peak]],(Tabla33610673[[#This Row],[Equity Peak]]-Tabla33610673[[#This Row],[Equity]])/Tabla33610673[[#This Row],[Equity Peak]],"")</f>
        <v>2.3236375794048813E-2</v>
      </c>
      <c r="V427" s="209">
        <f t="shared" si="121"/>
        <v>0.22</v>
      </c>
      <c r="W427" s="209">
        <f t="shared" si="122"/>
        <v>0</v>
      </c>
      <c r="X427" s="209">
        <f t="shared" si="123"/>
        <v>0</v>
      </c>
      <c r="Y427" s="209">
        <f t="shared" si="124"/>
        <v>0</v>
      </c>
      <c r="Z427" s="209">
        <f t="shared" si="125"/>
        <v>0</v>
      </c>
      <c r="AA427" s="205">
        <f t="shared" si="126"/>
        <v>0</v>
      </c>
      <c r="AB427" s="209">
        <f t="shared" si="127"/>
        <v>0</v>
      </c>
      <c r="AC427" s="205">
        <f t="shared" si="128"/>
        <v>0</v>
      </c>
      <c r="AD427" s="210">
        <f t="shared" si="129"/>
        <v>6.0812500000029104</v>
      </c>
      <c r="AE427" s="210">
        <f t="shared" si="130"/>
        <v>6.0812500000029104</v>
      </c>
      <c r="AF427" s="210">
        <f t="shared" si="131"/>
        <v>0</v>
      </c>
      <c r="AG427" s="210">
        <f t="shared" si="132"/>
        <v>0</v>
      </c>
    </row>
    <row r="428" spans="2:33" ht="15" customHeight="1" x14ac:dyDescent="0.3">
      <c r="B428" s="196" t="s">
        <v>19</v>
      </c>
      <c r="C428" s="197" t="s">
        <v>13</v>
      </c>
      <c r="D428" s="198" t="str">
        <f t="shared" si="114"/>
        <v>C</v>
      </c>
      <c r="E428" s="199">
        <v>43487.208333333336</v>
      </c>
      <c r="F428" s="200" t="s">
        <v>89</v>
      </c>
      <c r="G428" s="201">
        <v>15.214</v>
      </c>
      <c r="H428" s="201">
        <v>15.44</v>
      </c>
      <c r="I428" s="202">
        <f t="shared" si="115"/>
        <v>0.22599999999999909</v>
      </c>
      <c r="J428" s="201">
        <v>14.128</v>
      </c>
      <c r="K428" s="199">
        <v>43488.481944444444</v>
      </c>
      <c r="L428" s="201">
        <v>15.44</v>
      </c>
      <c r="M428" s="203">
        <f t="shared" si="116"/>
        <v>-0.22600000000000001</v>
      </c>
      <c r="N428" s="204">
        <f t="shared" si="117"/>
        <v>-1</v>
      </c>
      <c r="O428" s="205">
        <f t="shared" si="118"/>
        <v>0</v>
      </c>
      <c r="P428" s="206">
        <f t="shared" si="119"/>
        <v>0</v>
      </c>
      <c r="Q428" s="206">
        <f t="shared" si="120"/>
        <v>-1</v>
      </c>
      <c r="R42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2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116640</v>
      </c>
      <c r="T42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119640</v>
      </c>
      <c r="U428" s="208">
        <f ca="1">IF(Tabla33610673[[#This Row],[Equity]]&lt;Tabla33610673[[#This Row],[Equity Peak]],(Tabla33610673[[#This Row],[Equity Peak]]-Tabla33610673[[#This Row],[Equity]])/Tabla33610673[[#This Row],[Equity Peak]],"")</f>
        <v>2.5075225677031094E-2</v>
      </c>
      <c r="V428" s="209">
        <f t="shared" si="121"/>
        <v>0</v>
      </c>
      <c r="W428" s="209">
        <f t="shared" si="122"/>
        <v>0</v>
      </c>
      <c r="X428" s="209">
        <f t="shared" si="123"/>
        <v>-1</v>
      </c>
      <c r="Y428" s="209">
        <f t="shared" si="124"/>
        <v>0</v>
      </c>
      <c r="Z428" s="209">
        <f t="shared" si="125"/>
        <v>0</v>
      </c>
      <c r="AA428" s="205">
        <f t="shared" si="126"/>
        <v>0</v>
      </c>
      <c r="AB428" s="209">
        <f t="shared" si="127"/>
        <v>0</v>
      </c>
      <c r="AC428" s="205">
        <f t="shared" si="128"/>
        <v>0</v>
      </c>
      <c r="AD428" s="210">
        <f t="shared" si="129"/>
        <v>1.273611111108039</v>
      </c>
      <c r="AE428" s="210">
        <f t="shared" si="130"/>
        <v>0</v>
      </c>
      <c r="AF428" s="210">
        <f t="shared" si="131"/>
        <v>1.273611111108039</v>
      </c>
      <c r="AG428" s="210">
        <f t="shared" si="132"/>
        <v>0</v>
      </c>
    </row>
    <row r="429" spans="2:33" ht="15" customHeight="1" x14ac:dyDescent="0.3">
      <c r="B429" s="196" t="s">
        <v>7</v>
      </c>
      <c r="C429" s="197" t="s">
        <v>13</v>
      </c>
      <c r="D429" s="198" t="str">
        <f t="shared" si="114"/>
        <v>C</v>
      </c>
      <c r="E429" s="199">
        <v>43488.017361111109</v>
      </c>
      <c r="F429" s="200" t="s">
        <v>122</v>
      </c>
      <c r="G429" s="201">
        <v>77.888000000000005</v>
      </c>
      <c r="H429" s="201">
        <v>78.281999999999996</v>
      </c>
      <c r="I429" s="202">
        <f t="shared" si="115"/>
        <v>0.39399999999999125</v>
      </c>
      <c r="J429" s="201">
        <v>71.061000000000007</v>
      </c>
      <c r="K429" s="199">
        <v>43488.10833333333</v>
      </c>
      <c r="L429" s="201">
        <v>78.281999999999996</v>
      </c>
      <c r="M429" s="203">
        <f t="shared" si="116"/>
        <v>-0.39400000000000002</v>
      </c>
      <c r="N429" s="204">
        <f t="shared" si="117"/>
        <v>-1</v>
      </c>
      <c r="O429" s="205">
        <f t="shared" si="118"/>
        <v>0</v>
      </c>
      <c r="P429" s="206">
        <f t="shared" si="119"/>
        <v>0</v>
      </c>
      <c r="Q429" s="206">
        <f t="shared" si="120"/>
        <v>-1</v>
      </c>
      <c r="R42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2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117640</v>
      </c>
      <c r="T42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119640</v>
      </c>
      <c r="U429" s="208">
        <f ca="1">IF(Tabla33610673[[#This Row],[Equity]]&lt;Tabla33610673[[#This Row],[Equity Peak]],(Tabla33610673[[#This Row],[Equity Peak]]-Tabla33610673[[#This Row],[Equity]])/Tabla33610673[[#This Row],[Equity Peak]],"")</f>
        <v>1.671681711802073E-2</v>
      </c>
      <c r="V429" s="209">
        <f t="shared" si="121"/>
        <v>-1</v>
      </c>
      <c r="W429" s="209">
        <f t="shared" si="122"/>
        <v>0</v>
      </c>
      <c r="X429" s="209">
        <f t="shared" si="123"/>
        <v>0</v>
      </c>
      <c r="Y429" s="209">
        <f t="shared" si="124"/>
        <v>0</v>
      </c>
      <c r="Z429" s="209">
        <f t="shared" si="125"/>
        <v>0</v>
      </c>
      <c r="AA429" s="205">
        <f t="shared" si="126"/>
        <v>0</v>
      </c>
      <c r="AB429" s="209">
        <f t="shared" si="127"/>
        <v>0</v>
      </c>
      <c r="AC429" s="205">
        <f t="shared" si="128"/>
        <v>0</v>
      </c>
      <c r="AD429" s="210">
        <f t="shared" si="129"/>
        <v>9.0972222220443655E-2</v>
      </c>
      <c r="AE429" s="210">
        <f t="shared" si="130"/>
        <v>0</v>
      </c>
      <c r="AF429" s="210">
        <f t="shared" si="131"/>
        <v>9.0972222220443655E-2</v>
      </c>
      <c r="AG429" s="210">
        <f t="shared" si="132"/>
        <v>0</v>
      </c>
    </row>
    <row r="430" spans="2:33" ht="15" customHeight="1" x14ac:dyDescent="0.3">
      <c r="B430" s="196" t="s">
        <v>5</v>
      </c>
      <c r="C430" s="197" t="s">
        <v>15</v>
      </c>
      <c r="D430" s="198" t="str">
        <f t="shared" si="114"/>
        <v>C</v>
      </c>
      <c r="E430" s="199">
        <v>43483.833333333336</v>
      </c>
      <c r="F430" s="200" t="s">
        <v>95</v>
      </c>
      <c r="G430" s="201">
        <v>24726.9</v>
      </c>
      <c r="H430" s="201">
        <v>24457.279999999999</v>
      </c>
      <c r="I430" s="202">
        <f t="shared" si="115"/>
        <v>269.62000000000262</v>
      </c>
      <c r="J430" s="201">
        <v>25805.360000000001</v>
      </c>
      <c r="K430" s="199">
        <v>43487.748611111114</v>
      </c>
      <c r="L430" s="201">
        <v>24457.279999999999</v>
      </c>
      <c r="M430" s="203">
        <f t="shared" si="116"/>
        <v>-269.62</v>
      </c>
      <c r="N430" s="204">
        <f t="shared" si="117"/>
        <v>-1</v>
      </c>
      <c r="O430" s="205">
        <f t="shared" si="118"/>
        <v>0</v>
      </c>
      <c r="P430" s="206">
        <f t="shared" si="119"/>
        <v>0</v>
      </c>
      <c r="Q430" s="206">
        <f t="shared" si="120"/>
        <v>-1</v>
      </c>
      <c r="R43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3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118640</v>
      </c>
      <c r="T43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119640</v>
      </c>
      <c r="U430" s="208">
        <f ca="1">IF(Tabla33610673[[#This Row],[Equity]]&lt;Tabla33610673[[#This Row],[Equity Peak]],(Tabla33610673[[#This Row],[Equity Peak]]-Tabla33610673[[#This Row],[Equity]])/Tabla33610673[[#This Row],[Equity Peak]],"")</f>
        <v>8.3584085590103652E-3</v>
      </c>
      <c r="V430" s="209">
        <f t="shared" si="121"/>
        <v>0</v>
      </c>
      <c r="W430" s="209">
        <f t="shared" si="122"/>
        <v>0</v>
      </c>
      <c r="X430" s="209">
        <f t="shared" si="123"/>
        <v>0</v>
      </c>
      <c r="Y430" s="209">
        <f t="shared" si="124"/>
        <v>0</v>
      </c>
      <c r="Z430" s="209">
        <f t="shared" si="125"/>
        <v>-1</v>
      </c>
      <c r="AA430" s="205">
        <f t="shared" si="126"/>
        <v>0</v>
      </c>
      <c r="AB430" s="209">
        <f t="shared" si="127"/>
        <v>0</v>
      </c>
      <c r="AC430" s="205">
        <f t="shared" si="128"/>
        <v>0</v>
      </c>
      <c r="AD430" s="210">
        <f t="shared" si="129"/>
        <v>3.9152777777781012</v>
      </c>
      <c r="AE430" s="210">
        <f t="shared" si="130"/>
        <v>0</v>
      </c>
      <c r="AF430" s="210">
        <f t="shared" si="131"/>
        <v>3.9152777777781012</v>
      </c>
      <c r="AG430" s="210">
        <f t="shared" si="132"/>
        <v>0</v>
      </c>
    </row>
    <row r="431" spans="2:33" ht="15" customHeight="1" x14ac:dyDescent="0.3">
      <c r="B431" s="196" t="s">
        <v>5</v>
      </c>
      <c r="C431" s="197" t="s">
        <v>15</v>
      </c>
      <c r="D431" s="198" t="str">
        <f t="shared" si="114"/>
        <v>C</v>
      </c>
      <c r="E431" s="199">
        <v>43483.333333333336</v>
      </c>
      <c r="F431" s="200" t="s">
        <v>94</v>
      </c>
      <c r="G431" s="201">
        <v>6868.41</v>
      </c>
      <c r="H431" s="201">
        <v>6806.76</v>
      </c>
      <c r="I431" s="202">
        <f t="shared" si="115"/>
        <v>61.649999999999636</v>
      </c>
      <c r="J431" s="201">
        <v>7176.67</v>
      </c>
      <c r="K431" s="199">
        <v>43487.4375</v>
      </c>
      <c r="L431" s="201">
        <v>6934.16</v>
      </c>
      <c r="M431" s="203">
        <f t="shared" si="116"/>
        <v>65.75</v>
      </c>
      <c r="N431" s="204">
        <f t="shared" si="117"/>
        <v>1.07</v>
      </c>
      <c r="O431" s="205">
        <f t="shared" si="118"/>
        <v>0</v>
      </c>
      <c r="P431" s="206">
        <f t="shared" si="119"/>
        <v>1.07</v>
      </c>
      <c r="Q431" s="206">
        <f t="shared" si="120"/>
        <v>0</v>
      </c>
      <c r="R43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3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119640</v>
      </c>
      <c r="T43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119640</v>
      </c>
      <c r="U431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431" s="209">
        <f t="shared" si="121"/>
        <v>0</v>
      </c>
      <c r="W431" s="209">
        <f t="shared" si="122"/>
        <v>0</v>
      </c>
      <c r="X431" s="209">
        <f t="shared" si="123"/>
        <v>0</v>
      </c>
      <c r="Y431" s="209">
        <f t="shared" si="124"/>
        <v>0</v>
      </c>
      <c r="Z431" s="209">
        <f t="shared" si="125"/>
        <v>1.07</v>
      </c>
      <c r="AA431" s="205">
        <f t="shared" si="126"/>
        <v>0</v>
      </c>
      <c r="AB431" s="209">
        <f t="shared" si="127"/>
        <v>0</v>
      </c>
      <c r="AC431" s="205">
        <f t="shared" si="128"/>
        <v>0</v>
      </c>
      <c r="AD431" s="210">
        <f t="shared" si="129"/>
        <v>4.1041666666642413</v>
      </c>
      <c r="AE431" s="210">
        <f t="shared" si="130"/>
        <v>4.1041666666642413</v>
      </c>
      <c r="AF431" s="210">
        <f t="shared" si="131"/>
        <v>0</v>
      </c>
      <c r="AG431" s="210">
        <f t="shared" si="132"/>
        <v>0</v>
      </c>
    </row>
    <row r="432" spans="2:33" ht="15" customHeight="1" x14ac:dyDescent="0.3">
      <c r="B432" s="196" t="s">
        <v>7</v>
      </c>
      <c r="C432" s="197" t="s">
        <v>15</v>
      </c>
      <c r="D432" s="198" t="str">
        <f t="shared" si="114"/>
        <v>C</v>
      </c>
      <c r="E432" s="199">
        <v>43483.017361111109</v>
      </c>
      <c r="F432" s="200" t="s">
        <v>122</v>
      </c>
      <c r="G432" s="201">
        <v>78.44</v>
      </c>
      <c r="H432" s="201">
        <v>77.942999999999998</v>
      </c>
      <c r="I432" s="202">
        <f t="shared" si="115"/>
        <v>0.49699999999999989</v>
      </c>
      <c r="J432" s="201">
        <v>87.061000000000007</v>
      </c>
      <c r="K432" s="199">
        <v>43487.411805555559</v>
      </c>
      <c r="L432" s="201">
        <v>78.001999999999995</v>
      </c>
      <c r="M432" s="203">
        <f t="shared" si="116"/>
        <v>-0.438</v>
      </c>
      <c r="N432" s="204">
        <f t="shared" si="117"/>
        <v>-0.88</v>
      </c>
      <c r="O432" s="205">
        <f t="shared" si="118"/>
        <v>0</v>
      </c>
      <c r="P432" s="206">
        <f t="shared" si="119"/>
        <v>0</v>
      </c>
      <c r="Q432" s="206">
        <f t="shared" si="120"/>
        <v>-0.88</v>
      </c>
      <c r="R43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3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118570</v>
      </c>
      <c r="T43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119450</v>
      </c>
      <c r="U432" s="208">
        <f ca="1">IF(Tabla33610673[[#This Row],[Equity]]&lt;Tabla33610673[[#This Row],[Equity Peak]],(Tabla33610673[[#This Row],[Equity Peak]]-Tabla33610673[[#This Row],[Equity]])/Tabla33610673[[#This Row],[Equity Peak]],"")</f>
        <v>7.3670992046881538E-3</v>
      </c>
      <c r="V432" s="209">
        <f t="shared" si="121"/>
        <v>-0.88</v>
      </c>
      <c r="W432" s="209">
        <f t="shared" si="122"/>
        <v>0</v>
      </c>
      <c r="X432" s="209">
        <f t="shared" si="123"/>
        <v>0</v>
      </c>
      <c r="Y432" s="209">
        <f t="shared" si="124"/>
        <v>0</v>
      </c>
      <c r="Z432" s="209">
        <f t="shared" si="125"/>
        <v>0</v>
      </c>
      <c r="AA432" s="205">
        <f t="shared" si="126"/>
        <v>0</v>
      </c>
      <c r="AB432" s="209">
        <f t="shared" si="127"/>
        <v>0</v>
      </c>
      <c r="AC432" s="205">
        <f t="shared" si="128"/>
        <v>0</v>
      </c>
      <c r="AD432" s="210">
        <f t="shared" si="129"/>
        <v>4.3944444444496185</v>
      </c>
      <c r="AE432" s="210">
        <f t="shared" si="130"/>
        <v>0</v>
      </c>
      <c r="AF432" s="210">
        <f t="shared" si="131"/>
        <v>4.3944444444496185</v>
      </c>
      <c r="AG432" s="210">
        <f t="shared" si="132"/>
        <v>0</v>
      </c>
    </row>
    <row r="433" spans="2:33" ht="15" customHeight="1" x14ac:dyDescent="0.3">
      <c r="B433" s="196" t="s">
        <v>5</v>
      </c>
      <c r="C433" s="197" t="s">
        <v>15</v>
      </c>
      <c r="D433" s="198" t="str">
        <f t="shared" si="114"/>
        <v>C</v>
      </c>
      <c r="E433" s="199">
        <v>43472.506944444445</v>
      </c>
      <c r="F433" s="200" t="s">
        <v>90</v>
      </c>
      <c r="G433" s="201">
        <v>5664.8</v>
      </c>
      <c r="H433" s="201">
        <v>5616.2</v>
      </c>
      <c r="I433" s="202">
        <f t="shared" si="115"/>
        <v>48.600000000000364</v>
      </c>
      <c r="J433" s="201">
        <v>6312.8</v>
      </c>
      <c r="K433" s="199">
        <v>43487.293055555558</v>
      </c>
      <c r="L433" s="201">
        <v>5851.85</v>
      </c>
      <c r="M433" s="203">
        <f t="shared" si="116"/>
        <v>187.05</v>
      </c>
      <c r="N433" s="204">
        <f t="shared" si="117"/>
        <v>3.85</v>
      </c>
      <c r="O433" s="205">
        <f t="shared" si="118"/>
        <v>0</v>
      </c>
      <c r="P433" s="206">
        <f t="shared" si="119"/>
        <v>3.85</v>
      </c>
      <c r="Q433" s="206">
        <f t="shared" si="120"/>
        <v>0</v>
      </c>
      <c r="R43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3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119450</v>
      </c>
      <c r="T43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119450</v>
      </c>
      <c r="U433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433" s="209">
        <f t="shared" si="121"/>
        <v>0</v>
      </c>
      <c r="W433" s="209">
        <f t="shared" si="122"/>
        <v>0</v>
      </c>
      <c r="X433" s="209">
        <f t="shared" si="123"/>
        <v>0</v>
      </c>
      <c r="Y433" s="209">
        <f t="shared" si="124"/>
        <v>0</v>
      </c>
      <c r="Z433" s="209">
        <f t="shared" si="125"/>
        <v>3.85</v>
      </c>
      <c r="AA433" s="205">
        <f t="shared" si="126"/>
        <v>0</v>
      </c>
      <c r="AB433" s="209">
        <f t="shared" si="127"/>
        <v>0</v>
      </c>
      <c r="AC433" s="205">
        <f t="shared" si="128"/>
        <v>0</v>
      </c>
      <c r="AD433" s="210">
        <f t="shared" si="129"/>
        <v>14.786111111112405</v>
      </c>
      <c r="AE433" s="210">
        <f t="shared" si="130"/>
        <v>14.786111111112405</v>
      </c>
      <c r="AF433" s="210">
        <f t="shared" si="131"/>
        <v>0</v>
      </c>
      <c r="AG433" s="210">
        <f t="shared" si="132"/>
        <v>0</v>
      </c>
    </row>
    <row r="434" spans="2:33" ht="15" customHeight="1" x14ac:dyDescent="0.3">
      <c r="B434" s="196" t="s">
        <v>5</v>
      </c>
      <c r="C434" s="197" t="s">
        <v>15</v>
      </c>
      <c r="D434" s="198" t="str">
        <f t="shared" si="114"/>
        <v>C</v>
      </c>
      <c r="E434" s="199">
        <v>43483.833333333336</v>
      </c>
      <c r="F434" s="200" t="s">
        <v>93</v>
      </c>
      <c r="G434" s="201">
        <v>2674.29</v>
      </c>
      <c r="H434" s="201">
        <v>2655.7</v>
      </c>
      <c r="I434" s="202">
        <f t="shared" si="115"/>
        <v>18.590000000000146</v>
      </c>
      <c r="J434" s="201">
        <v>2723.86</v>
      </c>
      <c r="K434" s="199">
        <v>43486.651388888888</v>
      </c>
      <c r="L434" s="201">
        <v>2655.7</v>
      </c>
      <c r="M434" s="203">
        <f t="shared" si="116"/>
        <v>-18.59</v>
      </c>
      <c r="N434" s="204">
        <f t="shared" si="117"/>
        <v>-1</v>
      </c>
      <c r="O434" s="205">
        <f t="shared" si="118"/>
        <v>0</v>
      </c>
      <c r="P434" s="206">
        <f t="shared" si="119"/>
        <v>0</v>
      </c>
      <c r="Q434" s="206">
        <f t="shared" si="120"/>
        <v>-1</v>
      </c>
      <c r="R43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3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115600</v>
      </c>
      <c r="T43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117890</v>
      </c>
      <c r="U434" s="208">
        <f ca="1">IF(Tabla33610673[[#This Row],[Equity]]&lt;Tabla33610673[[#This Row],[Equity Peak]],(Tabla33610673[[#This Row],[Equity Peak]]-Tabla33610673[[#This Row],[Equity]])/Tabla33610673[[#This Row],[Equity Peak]],"")</f>
        <v>1.9424887607091355E-2</v>
      </c>
      <c r="V434" s="209">
        <f t="shared" si="121"/>
        <v>0</v>
      </c>
      <c r="W434" s="209">
        <f t="shared" si="122"/>
        <v>0</v>
      </c>
      <c r="X434" s="209">
        <f t="shared" si="123"/>
        <v>0</v>
      </c>
      <c r="Y434" s="209">
        <f t="shared" si="124"/>
        <v>0</v>
      </c>
      <c r="Z434" s="209">
        <f t="shared" si="125"/>
        <v>-1</v>
      </c>
      <c r="AA434" s="205">
        <f t="shared" si="126"/>
        <v>0</v>
      </c>
      <c r="AB434" s="209">
        <f t="shared" si="127"/>
        <v>0</v>
      </c>
      <c r="AC434" s="205">
        <f t="shared" si="128"/>
        <v>0</v>
      </c>
      <c r="AD434" s="210">
        <f t="shared" si="129"/>
        <v>2.8180555555518367</v>
      </c>
      <c r="AE434" s="210">
        <f t="shared" si="130"/>
        <v>0</v>
      </c>
      <c r="AF434" s="210">
        <f t="shared" si="131"/>
        <v>2.8180555555518367</v>
      </c>
      <c r="AG434" s="210">
        <f t="shared" si="132"/>
        <v>0</v>
      </c>
    </row>
    <row r="435" spans="2:33" ht="15" customHeight="1" x14ac:dyDescent="0.3">
      <c r="B435" s="196" t="s">
        <v>5</v>
      </c>
      <c r="C435" s="197" t="s">
        <v>13</v>
      </c>
      <c r="D435" s="198" t="str">
        <f t="shared" si="114"/>
        <v>C</v>
      </c>
      <c r="E435" s="199">
        <v>43482.166666666664</v>
      </c>
      <c r="F435" s="200" t="s">
        <v>94</v>
      </c>
      <c r="G435" s="201">
        <v>6831.26</v>
      </c>
      <c r="H435" s="201">
        <v>6905.34</v>
      </c>
      <c r="I435" s="202">
        <f t="shared" si="115"/>
        <v>74.079999999999927</v>
      </c>
      <c r="J435" s="201">
        <v>6460.88</v>
      </c>
      <c r="K435" s="199">
        <v>43483.333333333336</v>
      </c>
      <c r="L435" s="201">
        <v>6868.41</v>
      </c>
      <c r="M435" s="203">
        <f t="shared" si="116"/>
        <v>-37.15</v>
      </c>
      <c r="N435" s="204">
        <f t="shared" si="117"/>
        <v>-0.5</v>
      </c>
      <c r="O435" s="205">
        <f t="shared" si="118"/>
        <v>0</v>
      </c>
      <c r="P435" s="206">
        <f t="shared" si="119"/>
        <v>0</v>
      </c>
      <c r="Q435" s="206">
        <f t="shared" si="120"/>
        <v>-0.5</v>
      </c>
      <c r="R435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35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116600</v>
      </c>
      <c r="T435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117890</v>
      </c>
      <c r="U435" s="208">
        <f ca="1">IF(Tabla33610673[[#This Row],[Equity]]&lt;Tabla33610673[[#This Row],[Equity Peak]],(Tabla33610673[[#This Row],[Equity Peak]]-Tabla33610673[[#This Row],[Equity]])/Tabla33610673[[#This Row],[Equity Peak]],"")</f>
        <v>1.0942403935872423E-2</v>
      </c>
      <c r="V435" s="209">
        <f t="shared" si="121"/>
        <v>0</v>
      </c>
      <c r="W435" s="209">
        <f t="shared" si="122"/>
        <v>0</v>
      </c>
      <c r="X435" s="209">
        <f t="shared" si="123"/>
        <v>0</v>
      </c>
      <c r="Y435" s="209">
        <f t="shared" si="124"/>
        <v>0</v>
      </c>
      <c r="Z435" s="209">
        <f t="shared" si="125"/>
        <v>-0.5</v>
      </c>
      <c r="AA435" s="205">
        <f t="shared" si="126"/>
        <v>0</v>
      </c>
      <c r="AB435" s="209">
        <f t="shared" si="127"/>
        <v>0</v>
      </c>
      <c r="AC435" s="205">
        <f t="shared" si="128"/>
        <v>0</v>
      </c>
      <c r="AD435" s="210">
        <f t="shared" si="129"/>
        <v>1.1666666666715173</v>
      </c>
      <c r="AE435" s="210">
        <f t="shared" si="130"/>
        <v>0</v>
      </c>
      <c r="AF435" s="210">
        <f t="shared" si="131"/>
        <v>1.1666666666715173</v>
      </c>
      <c r="AG435" s="210">
        <f t="shared" si="132"/>
        <v>0</v>
      </c>
    </row>
    <row r="436" spans="2:33" ht="15" customHeight="1" x14ac:dyDescent="0.3">
      <c r="B436" s="196" t="s">
        <v>7</v>
      </c>
      <c r="C436" s="197" t="s">
        <v>15</v>
      </c>
      <c r="D436" s="198" t="str">
        <f t="shared" si="114"/>
        <v>C</v>
      </c>
      <c r="E436" s="199">
        <v>43474.166666666664</v>
      </c>
      <c r="F436" s="200" t="s">
        <v>119</v>
      </c>
      <c r="G436" s="201">
        <v>0.89949000000000001</v>
      </c>
      <c r="H436" s="201">
        <v>0.89659</v>
      </c>
      <c r="I436" s="202">
        <f t="shared" si="115"/>
        <v>2.9000000000000137E-3</v>
      </c>
      <c r="J436" s="201">
        <v>0.90720999999999996</v>
      </c>
      <c r="K436" s="199">
        <v>43476.718055555553</v>
      </c>
      <c r="L436" s="201">
        <v>0.89717000000000002</v>
      </c>
      <c r="M436" s="203">
        <f t="shared" si="116"/>
        <v>-2.3E-3</v>
      </c>
      <c r="N436" s="204">
        <f t="shared" si="117"/>
        <v>-0.79</v>
      </c>
      <c r="O436" s="205">
        <f t="shared" si="118"/>
        <v>0</v>
      </c>
      <c r="P436" s="206">
        <f t="shared" si="119"/>
        <v>0</v>
      </c>
      <c r="Q436" s="206">
        <f t="shared" si="120"/>
        <v>-0.79</v>
      </c>
      <c r="R436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36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117100</v>
      </c>
      <c r="T436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117890</v>
      </c>
      <c r="U436" s="208">
        <f ca="1">IF(Tabla33610673[[#This Row],[Equity]]&lt;Tabla33610673[[#This Row],[Equity Peak]],(Tabla33610673[[#This Row],[Equity Peak]]-Tabla33610673[[#This Row],[Equity]])/Tabla33610673[[#This Row],[Equity Peak]],"")</f>
        <v>6.7011621002629569E-3</v>
      </c>
      <c r="V436" s="209">
        <f t="shared" si="121"/>
        <v>-0.79</v>
      </c>
      <c r="W436" s="209">
        <f t="shared" si="122"/>
        <v>0</v>
      </c>
      <c r="X436" s="209">
        <f t="shared" si="123"/>
        <v>0</v>
      </c>
      <c r="Y436" s="209">
        <f t="shared" si="124"/>
        <v>0</v>
      </c>
      <c r="Z436" s="209">
        <f t="shared" si="125"/>
        <v>0</v>
      </c>
      <c r="AA436" s="205">
        <f t="shared" si="126"/>
        <v>0</v>
      </c>
      <c r="AB436" s="209">
        <f t="shared" si="127"/>
        <v>0</v>
      </c>
      <c r="AC436" s="205">
        <f t="shared" si="128"/>
        <v>0</v>
      </c>
      <c r="AD436" s="210">
        <f t="shared" si="129"/>
        <v>2.5513888888890506</v>
      </c>
      <c r="AE436" s="210">
        <f t="shared" si="130"/>
        <v>0</v>
      </c>
      <c r="AF436" s="210">
        <f t="shared" si="131"/>
        <v>2.5513888888890506</v>
      </c>
      <c r="AG436" s="210">
        <f t="shared" si="132"/>
        <v>0</v>
      </c>
    </row>
    <row r="437" spans="2:33" ht="15" customHeight="1" x14ac:dyDescent="0.3">
      <c r="B437" s="196" t="s">
        <v>5</v>
      </c>
      <c r="C437" s="197" t="s">
        <v>15</v>
      </c>
      <c r="D437" s="198" t="str">
        <f t="shared" si="114"/>
        <v>C</v>
      </c>
      <c r="E437" s="199">
        <v>43469.5</v>
      </c>
      <c r="F437" s="200" t="s">
        <v>94</v>
      </c>
      <c r="G437" s="201">
        <v>6765.59</v>
      </c>
      <c r="H437" s="201">
        <v>6663.91</v>
      </c>
      <c r="I437" s="202">
        <f t="shared" si="115"/>
        <v>101.68000000000029</v>
      </c>
      <c r="J437" s="201">
        <v>7274</v>
      </c>
      <c r="K437" s="199">
        <v>43476.60833333333</v>
      </c>
      <c r="L437" s="201">
        <v>6912.48</v>
      </c>
      <c r="M437" s="203">
        <f t="shared" si="116"/>
        <v>146.88999999999999</v>
      </c>
      <c r="N437" s="204">
        <f t="shared" si="117"/>
        <v>1.44</v>
      </c>
      <c r="O437" s="205">
        <f t="shared" si="118"/>
        <v>0</v>
      </c>
      <c r="P437" s="206">
        <f t="shared" si="119"/>
        <v>1.44</v>
      </c>
      <c r="Q437" s="206">
        <f t="shared" si="120"/>
        <v>0</v>
      </c>
      <c r="R437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37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117890</v>
      </c>
      <c r="T437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117890</v>
      </c>
      <c r="U437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437" s="209">
        <f t="shared" si="121"/>
        <v>0</v>
      </c>
      <c r="W437" s="209">
        <f t="shared" si="122"/>
        <v>0</v>
      </c>
      <c r="X437" s="209">
        <f t="shared" si="123"/>
        <v>0</v>
      </c>
      <c r="Y437" s="209">
        <f t="shared" si="124"/>
        <v>0</v>
      </c>
      <c r="Z437" s="209">
        <f t="shared" si="125"/>
        <v>1.44</v>
      </c>
      <c r="AA437" s="205">
        <f t="shared" si="126"/>
        <v>0</v>
      </c>
      <c r="AB437" s="209">
        <f t="shared" si="127"/>
        <v>0</v>
      </c>
      <c r="AC437" s="205">
        <f t="shared" si="128"/>
        <v>0</v>
      </c>
      <c r="AD437" s="210">
        <f t="shared" si="129"/>
        <v>7.1083333333299379</v>
      </c>
      <c r="AE437" s="210">
        <f t="shared" si="130"/>
        <v>7.1083333333299379</v>
      </c>
      <c r="AF437" s="210">
        <f t="shared" si="131"/>
        <v>0</v>
      </c>
      <c r="AG437" s="210">
        <f t="shared" si="132"/>
        <v>0</v>
      </c>
    </row>
    <row r="438" spans="2:33" ht="15" customHeight="1" x14ac:dyDescent="0.3">
      <c r="B438" s="196" t="s">
        <v>7</v>
      </c>
      <c r="C438" s="197" t="s">
        <v>13</v>
      </c>
      <c r="D438" s="198" t="str">
        <f t="shared" si="114"/>
        <v>C</v>
      </c>
      <c r="E438" s="199">
        <v>43472.017361111109</v>
      </c>
      <c r="F438" s="200" t="s">
        <v>120</v>
      </c>
      <c r="G438" s="201">
        <v>1.6009500000000001</v>
      </c>
      <c r="H438" s="201">
        <v>1.6152</v>
      </c>
      <c r="I438" s="202">
        <f t="shared" si="115"/>
        <v>1.4249999999999874E-2</v>
      </c>
      <c r="J438" s="201">
        <v>1.4489799999999999</v>
      </c>
      <c r="K438" s="199">
        <v>43474.745138888888</v>
      </c>
      <c r="L438" s="201">
        <v>1.605</v>
      </c>
      <c r="M438" s="203">
        <f t="shared" si="116"/>
        <v>-4.0000000000000001E-3</v>
      </c>
      <c r="N438" s="204">
        <f t="shared" si="117"/>
        <v>-0.28000000000000003</v>
      </c>
      <c r="O438" s="205">
        <f t="shared" si="118"/>
        <v>0</v>
      </c>
      <c r="P438" s="206">
        <f t="shared" si="119"/>
        <v>0</v>
      </c>
      <c r="Q438" s="206">
        <f t="shared" si="120"/>
        <v>-0.28000000000000003</v>
      </c>
      <c r="R438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38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116450</v>
      </c>
      <c r="T438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116730</v>
      </c>
      <c r="U438" s="208">
        <f ca="1">IF(Tabla33610673[[#This Row],[Equity]]&lt;Tabla33610673[[#This Row],[Equity Peak]],(Tabla33610673[[#This Row],[Equity Peak]]-Tabla33610673[[#This Row],[Equity]])/Tabla33610673[[#This Row],[Equity Peak]],"")</f>
        <v>2.3986978497387134E-3</v>
      </c>
      <c r="V438" s="209">
        <f t="shared" si="121"/>
        <v>-0.28000000000000003</v>
      </c>
      <c r="W438" s="209">
        <f t="shared" si="122"/>
        <v>0</v>
      </c>
      <c r="X438" s="209">
        <f t="shared" si="123"/>
        <v>0</v>
      </c>
      <c r="Y438" s="209">
        <f t="shared" si="124"/>
        <v>0</v>
      </c>
      <c r="Z438" s="209">
        <f t="shared" si="125"/>
        <v>0</v>
      </c>
      <c r="AA438" s="205">
        <f t="shared" si="126"/>
        <v>0</v>
      </c>
      <c r="AB438" s="209">
        <f t="shared" si="127"/>
        <v>0</v>
      </c>
      <c r="AC438" s="205">
        <f t="shared" si="128"/>
        <v>0</v>
      </c>
      <c r="AD438" s="210">
        <f t="shared" si="129"/>
        <v>2.7277777777781012</v>
      </c>
      <c r="AE438" s="210">
        <f t="shared" si="130"/>
        <v>0</v>
      </c>
      <c r="AF438" s="210">
        <f t="shared" si="131"/>
        <v>2.7277777777781012</v>
      </c>
      <c r="AG438" s="210">
        <f t="shared" si="132"/>
        <v>0</v>
      </c>
    </row>
    <row r="439" spans="2:33" ht="15" customHeight="1" x14ac:dyDescent="0.3">
      <c r="B439" s="196" t="s">
        <v>19</v>
      </c>
      <c r="C439" s="197" t="s">
        <v>15</v>
      </c>
      <c r="D439" s="198" t="str">
        <f t="shared" si="114"/>
        <v>C</v>
      </c>
      <c r="E439" s="199">
        <v>43460.708333333336</v>
      </c>
      <c r="F439" s="200" t="s">
        <v>89</v>
      </c>
      <c r="G439" s="201">
        <v>15.013999999999999</v>
      </c>
      <c r="H439" s="201">
        <v>14.801</v>
      </c>
      <c r="I439" s="202">
        <f t="shared" si="115"/>
        <v>0.21299999999999919</v>
      </c>
      <c r="J439" s="201">
        <v>16.036999999999999</v>
      </c>
      <c r="K439" s="199">
        <v>43469.643750000003</v>
      </c>
      <c r="L439" s="201">
        <v>15.625999999999999</v>
      </c>
      <c r="M439" s="203">
        <f t="shared" si="116"/>
        <v>0.61199999999999999</v>
      </c>
      <c r="N439" s="204">
        <f t="shared" si="117"/>
        <v>2.87</v>
      </c>
      <c r="O439" s="205">
        <f t="shared" si="118"/>
        <v>0</v>
      </c>
      <c r="P439" s="206">
        <f t="shared" si="119"/>
        <v>2.87</v>
      </c>
      <c r="Q439" s="206">
        <f t="shared" si="120"/>
        <v>0</v>
      </c>
      <c r="R439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39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116730</v>
      </c>
      <c r="T439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116730</v>
      </c>
      <c r="U439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439" s="209">
        <f t="shared" si="121"/>
        <v>0</v>
      </c>
      <c r="W439" s="209">
        <f t="shared" si="122"/>
        <v>0</v>
      </c>
      <c r="X439" s="209">
        <f t="shared" si="123"/>
        <v>2.87</v>
      </c>
      <c r="Y439" s="209">
        <f t="shared" si="124"/>
        <v>0</v>
      </c>
      <c r="Z439" s="209">
        <f t="shared" si="125"/>
        <v>0</v>
      </c>
      <c r="AA439" s="205">
        <f t="shared" si="126"/>
        <v>0</v>
      </c>
      <c r="AB439" s="209">
        <f t="shared" si="127"/>
        <v>0</v>
      </c>
      <c r="AC439" s="205">
        <f t="shared" si="128"/>
        <v>0</v>
      </c>
      <c r="AD439" s="210">
        <f t="shared" si="129"/>
        <v>8.9354166666671517</v>
      </c>
      <c r="AE439" s="210">
        <f t="shared" si="130"/>
        <v>8.9354166666671517</v>
      </c>
      <c r="AF439" s="210">
        <f t="shared" si="131"/>
        <v>0</v>
      </c>
      <c r="AG439" s="210">
        <f t="shared" si="132"/>
        <v>0</v>
      </c>
    </row>
    <row r="440" spans="2:33" ht="15" customHeight="1" x14ac:dyDescent="0.3">
      <c r="B440" s="196" t="s">
        <v>7</v>
      </c>
      <c r="C440" s="197" t="s">
        <v>13</v>
      </c>
      <c r="D440" s="198" t="str">
        <f t="shared" si="114"/>
        <v>C</v>
      </c>
      <c r="E440" s="199">
        <v>43468.333333333336</v>
      </c>
      <c r="F440" s="200" t="s">
        <v>114</v>
      </c>
      <c r="G440" s="201">
        <v>1.25454</v>
      </c>
      <c r="H440" s="201">
        <v>1.26946</v>
      </c>
      <c r="I440" s="202">
        <f t="shared" si="115"/>
        <v>1.4920000000000044E-2</v>
      </c>
      <c r="J440" s="201">
        <v>1.1948799999999999</v>
      </c>
      <c r="K440" s="199">
        <v>43469.540277777778</v>
      </c>
      <c r="L440" s="201">
        <v>1.26946</v>
      </c>
      <c r="M440" s="203">
        <f t="shared" si="116"/>
        <v>-1.49E-2</v>
      </c>
      <c r="N440" s="204">
        <f t="shared" si="117"/>
        <v>-1</v>
      </c>
      <c r="O440" s="205">
        <f t="shared" si="118"/>
        <v>0</v>
      </c>
      <c r="P440" s="206">
        <f t="shared" si="119"/>
        <v>0</v>
      </c>
      <c r="Q440" s="206">
        <f t="shared" si="120"/>
        <v>-1</v>
      </c>
      <c r="R440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40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113860</v>
      </c>
      <c r="T440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114860</v>
      </c>
      <c r="U440" s="208">
        <f ca="1">IF(Tabla33610673[[#This Row],[Equity]]&lt;Tabla33610673[[#This Row],[Equity Peak]],(Tabla33610673[[#This Row],[Equity Peak]]-Tabla33610673[[#This Row],[Equity]])/Tabla33610673[[#This Row],[Equity Peak]],"")</f>
        <v>8.7062510882813856E-3</v>
      </c>
      <c r="V440" s="209">
        <f t="shared" si="121"/>
        <v>-1</v>
      </c>
      <c r="W440" s="209">
        <f t="shared" si="122"/>
        <v>0</v>
      </c>
      <c r="X440" s="209">
        <f t="shared" si="123"/>
        <v>0</v>
      </c>
      <c r="Y440" s="209">
        <f t="shared" si="124"/>
        <v>0</v>
      </c>
      <c r="Z440" s="209">
        <f t="shared" si="125"/>
        <v>0</v>
      </c>
      <c r="AA440" s="205">
        <f t="shared" si="126"/>
        <v>0</v>
      </c>
      <c r="AB440" s="209">
        <f t="shared" si="127"/>
        <v>0</v>
      </c>
      <c r="AC440" s="205">
        <f t="shared" si="128"/>
        <v>0</v>
      </c>
      <c r="AD440" s="210">
        <f t="shared" si="129"/>
        <v>1.2069444444423425</v>
      </c>
      <c r="AE440" s="210">
        <f t="shared" si="130"/>
        <v>0</v>
      </c>
      <c r="AF440" s="210">
        <f t="shared" si="131"/>
        <v>1.2069444444423425</v>
      </c>
      <c r="AG440" s="210">
        <f t="shared" si="132"/>
        <v>0</v>
      </c>
    </row>
    <row r="441" spans="2:33" ht="15" customHeight="1" x14ac:dyDescent="0.3">
      <c r="B441" s="196" t="s">
        <v>7</v>
      </c>
      <c r="C441" s="197" t="s">
        <v>13</v>
      </c>
      <c r="D441" s="198" t="str">
        <f t="shared" si="114"/>
        <v>C</v>
      </c>
      <c r="E441" s="199">
        <v>43467.333333333336</v>
      </c>
      <c r="F441" s="200" t="s">
        <v>115</v>
      </c>
      <c r="G441" s="201">
        <v>139.44300000000001</v>
      </c>
      <c r="H441" s="201">
        <v>140.66399999999999</v>
      </c>
      <c r="I441" s="202">
        <f t="shared" si="115"/>
        <v>1.2209999999999752</v>
      </c>
      <c r="J441" s="201">
        <v>132.60400000000001</v>
      </c>
      <c r="K441" s="199">
        <v>43468.11041666667</v>
      </c>
      <c r="L441" s="201">
        <v>132.60400000000001</v>
      </c>
      <c r="M441" s="203">
        <f t="shared" si="116"/>
        <v>6.8390000000000004</v>
      </c>
      <c r="N441" s="204">
        <f t="shared" si="117"/>
        <v>5.6</v>
      </c>
      <c r="O441" s="205">
        <f t="shared" si="118"/>
        <v>0</v>
      </c>
      <c r="P441" s="206">
        <f t="shared" si="119"/>
        <v>5.6</v>
      </c>
      <c r="Q441" s="206">
        <f t="shared" si="120"/>
        <v>0</v>
      </c>
      <c r="R441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41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114860</v>
      </c>
      <c r="T441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114860</v>
      </c>
      <c r="U441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441" s="209">
        <f t="shared" si="121"/>
        <v>5.6</v>
      </c>
      <c r="W441" s="209">
        <f t="shared" si="122"/>
        <v>0</v>
      </c>
      <c r="X441" s="209">
        <f t="shared" si="123"/>
        <v>0</v>
      </c>
      <c r="Y441" s="209">
        <f t="shared" si="124"/>
        <v>0</v>
      </c>
      <c r="Z441" s="209">
        <f t="shared" si="125"/>
        <v>0</v>
      </c>
      <c r="AA441" s="205">
        <f t="shared" si="126"/>
        <v>0</v>
      </c>
      <c r="AB441" s="209">
        <f t="shared" si="127"/>
        <v>0</v>
      </c>
      <c r="AC441" s="205">
        <f t="shared" si="128"/>
        <v>0</v>
      </c>
      <c r="AD441" s="210">
        <f t="shared" si="129"/>
        <v>0.77708333333430346</v>
      </c>
      <c r="AE441" s="210">
        <f t="shared" si="130"/>
        <v>0.77708333333430346</v>
      </c>
      <c r="AF441" s="210">
        <f t="shared" si="131"/>
        <v>0</v>
      </c>
      <c r="AG441" s="210">
        <f t="shared" si="132"/>
        <v>0</v>
      </c>
    </row>
    <row r="442" spans="2:33" ht="15" customHeight="1" x14ac:dyDescent="0.3">
      <c r="B442" s="196" t="s">
        <v>7</v>
      </c>
      <c r="C442" s="197" t="s">
        <v>13</v>
      </c>
      <c r="D442" s="198" t="str">
        <f t="shared" si="114"/>
        <v>C</v>
      </c>
      <c r="E442" s="199">
        <v>43465.833333333336</v>
      </c>
      <c r="F442" s="200" t="s">
        <v>113</v>
      </c>
      <c r="G442" s="201">
        <v>109.655</v>
      </c>
      <c r="H442" s="201">
        <v>110.492</v>
      </c>
      <c r="I442" s="202">
        <f t="shared" si="115"/>
        <v>0.8370000000000033</v>
      </c>
      <c r="J442" s="201">
        <v>105.748</v>
      </c>
      <c r="K442" s="199">
        <v>43468.103472222225</v>
      </c>
      <c r="L442" s="201">
        <v>105.748</v>
      </c>
      <c r="M442" s="203">
        <f t="shared" si="116"/>
        <v>3.907</v>
      </c>
      <c r="N442" s="204">
        <f t="shared" si="117"/>
        <v>4.67</v>
      </c>
      <c r="O442" s="205">
        <f t="shared" si="118"/>
        <v>0</v>
      </c>
      <c r="P442" s="206">
        <f t="shared" si="119"/>
        <v>4.67</v>
      </c>
      <c r="Q442" s="206">
        <f t="shared" si="120"/>
        <v>0</v>
      </c>
      <c r="R442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42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109260</v>
      </c>
      <c r="T442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109260</v>
      </c>
      <c r="U442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442" s="209">
        <f t="shared" si="121"/>
        <v>4.67</v>
      </c>
      <c r="W442" s="209">
        <f t="shared" si="122"/>
        <v>0</v>
      </c>
      <c r="X442" s="209">
        <f t="shared" si="123"/>
        <v>0</v>
      </c>
      <c r="Y442" s="209">
        <f t="shared" si="124"/>
        <v>0</v>
      </c>
      <c r="Z442" s="209">
        <f t="shared" si="125"/>
        <v>0</v>
      </c>
      <c r="AA442" s="205">
        <f t="shared" si="126"/>
        <v>0</v>
      </c>
      <c r="AB442" s="209">
        <f t="shared" si="127"/>
        <v>0</v>
      </c>
      <c r="AC442" s="205">
        <f t="shared" si="128"/>
        <v>0</v>
      </c>
      <c r="AD442" s="210">
        <f t="shared" si="129"/>
        <v>2.2701388888890506</v>
      </c>
      <c r="AE442" s="210">
        <f t="shared" si="130"/>
        <v>2.2701388888890506</v>
      </c>
      <c r="AF442" s="210">
        <f t="shared" si="131"/>
        <v>0</v>
      </c>
      <c r="AG442" s="210">
        <f t="shared" si="132"/>
        <v>0</v>
      </c>
    </row>
    <row r="443" spans="2:33" ht="15" customHeight="1" x14ac:dyDescent="0.3">
      <c r="B443" s="196" t="s">
        <v>7</v>
      </c>
      <c r="C443" s="197" t="s">
        <v>13</v>
      </c>
      <c r="D443" s="198" t="str">
        <f t="shared" si="114"/>
        <v>C</v>
      </c>
      <c r="E443" s="199">
        <v>43440.666666666664</v>
      </c>
      <c r="F443" s="200" t="s">
        <v>121</v>
      </c>
      <c r="G443" s="201">
        <v>0.72048000000000001</v>
      </c>
      <c r="H443" s="201">
        <v>0.72497</v>
      </c>
      <c r="I443" s="202">
        <f t="shared" si="115"/>
        <v>4.489999999999994E-3</v>
      </c>
      <c r="J443" s="201">
        <v>0.69650999999999996</v>
      </c>
      <c r="K443" s="199">
        <v>43468.011805555558</v>
      </c>
      <c r="L443" s="201">
        <v>0.69650999999999996</v>
      </c>
      <c r="M443" s="203">
        <f t="shared" si="116"/>
        <v>2.4E-2</v>
      </c>
      <c r="N443" s="204">
        <f t="shared" si="117"/>
        <v>5.35</v>
      </c>
      <c r="O443" s="205">
        <f t="shared" si="118"/>
        <v>0</v>
      </c>
      <c r="P443" s="206">
        <f t="shared" si="119"/>
        <v>5.35</v>
      </c>
      <c r="Q443" s="206">
        <f t="shared" si="120"/>
        <v>0</v>
      </c>
      <c r="R443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No</v>
      </c>
      <c r="S443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104590</v>
      </c>
      <c r="T443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104590</v>
      </c>
      <c r="U443" s="208" t="str">
        <f ca="1">IF(Tabla33610673[[#This Row],[Equity]]&lt;Tabla33610673[[#This Row],[Equity Peak]],(Tabla33610673[[#This Row],[Equity Peak]]-Tabla33610673[[#This Row],[Equity]])/Tabla33610673[[#This Row],[Equity Peak]],"")</f>
        <v/>
      </c>
      <c r="V443" s="209">
        <f t="shared" si="121"/>
        <v>5.35</v>
      </c>
      <c r="W443" s="209">
        <f t="shared" si="122"/>
        <v>0</v>
      </c>
      <c r="X443" s="209">
        <f t="shared" si="123"/>
        <v>0</v>
      </c>
      <c r="Y443" s="209">
        <f t="shared" si="124"/>
        <v>0</v>
      </c>
      <c r="Z443" s="209">
        <f t="shared" si="125"/>
        <v>0</v>
      </c>
      <c r="AA443" s="205">
        <f t="shared" si="126"/>
        <v>0</v>
      </c>
      <c r="AB443" s="209">
        <f t="shared" si="127"/>
        <v>0</v>
      </c>
      <c r="AC443" s="205">
        <f t="shared" si="128"/>
        <v>0</v>
      </c>
      <c r="AD443" s="210">
        <f t="shared" si="129"/>
        <v>27.345138888893416</v>
      </c>
      <c r="AE443" s="210">
        <f t="shared" si="130"/>
        <v>27.345138888893416</v>
      </c>
      <c r="AF443" s="210">
        <f t="shared" si="131"/>
        <v>0</v>
      </c>
      <c r="AG443" s="210">
        <f t="shared" si="132"/>
        <v>0</v>
      </c>
    </row>
    <row r="444" spans="2:33" ht="15" customHeight="1" x14ac:dyDescent="0.3">
      <c r="B444" s="196" t="s">
        <v>5</v>
      </c>
      <c r="C444" s="197" t="s">
        <v>15</v>
      </c>
      <c r="D444" s="198" t="str">
        <f t="shared" si="114"/>
        <v>C</v>
      </c>
      <c r="E444" s="199">
        <v>43465.541666666664</v>
      </c>
      <c r="F444" s="200" t="s">
        <v>94</v>
      </c>
      <c r="G444" s="201">
        <v>6746.42</v>
      </c>
      <c r="H444" s="201">
        <v>6638.5</v>
      </c>
      <c r="I444" s="202">
        <f t="shared" si="115"/>
        <v>107.92000000000007</v>
      </c>
      <c r="J444" s="201">
        <v>7286.01</v>
      </c>
      <c r="K444" s="199">
        <v>43467.276388888888</v>
      </c>
      <c r="L444" s="201">
        <v>6663.98</v>
      </c>
      <c r="M444" s="203">
        <f t="shared" si="116"/>
        <v>-82.44</v>
      </c>
      <c r="N444" s="204">
        <f t="shared" si="117"/>
        <v>-0.76</v>
      </c>
      <c r="O444" s="205">
        <f t="shared" si="118"/>
        <v>0</v>
      </c>
      <c r="P444" s="206">
        <f t="shared" si="119"/>
        <v>0</v>
      </c>
      <c r="Q444" s="206">
        <f t="shared" si="120"/>
        <v>-0.76</v>
      </c>
      <c r="R444" s="206" t="str">
        <f ca="1">IF(AND(OFFSET(Tabla33610673[[#This Row],[Equity]],1,0)="",Tabla33610673[[#This Row],[No. of Rs]]&lt;0),"Yes",IF(AND(OFFSET(Tabla33610673[[#This Row],[Initial Losing Trade]],1,0)="Yes",Tabla33610673[[#This Row],[No. of Rs]]&lt;0),"Yes","No"))</f>
        <v>Yes</v>
      </c>
      <c r="S444" s="207">
        <f ca="1">IF(OFFSET(Tabla33610673[[#This Row],[Equity]],1,0)="",IF(Tabla33610673[[#This Row],[No. of Rs]]="",$F$11,$F$11+($F$11*Tabla33610673[[#This Row],[No. of Rs]]/100)),IF(Tabla33610673[[#This Row],[No. of Rs]]="",OFFSET(Tabla33610673[[#This Row],[Equity]],1,0),OFFSET(Tabla33610673[[#This Row],[Equity]],1,0)+($F$11*Tabla33610673[[#This Row],[No. of Rs]]/100)))</f>
        <v>99240</v>
      </c>
      <c r="T444" s="207">
        <f ca="1">IF(OFFSET(Tabla33610673[[#This Row],[Equity Peak]],1,0)="",IF(Tabla33610673[[#This Row],[Initial Losing Trade]]="Yes",$F$11,Tabla33610673[[#This Row],[Equity]]),IF(OFFSET(Tabla33610673[[#This Row],[Equity Peak]],1,0)&gt;Tabla33610673[[#This Row],[Equity]],OFFSET(Tabla33610673[[#This Row],[Equity Peak]],1,0),Tabla33610673[[#This Row],[Equity]]))</f>
        <v>100000</v>
      </c>
      <c r="U444" s="208">
        <f ca="1">IF(Tabla33610673[[#This Row],[Equity]]&lt;Tabla33610673[[#This Row],[Equity Peak]],(Tabla33610673[[#This Row],[Equity Peak]]-Tabla33610673[[#This Row],[Equity]])/Tabla33610673[[#This Row],[Equity Peak]],"")</f>
        <v>7.6E-3</v>
      </c>
      <c r="V444" s="209">
        <f t="shared" si="121"/>
        <v>0</v>
      </c>
      <c r="W444" s="209">
        <f t="shared" si="122"/>
        <v>0</v>
      </c>
      <c r="X444" s="209">
        <f t="shared" si="123"/>
        <v>0</v>
      </c>
      <c r="Y444" s="209">
        <f t="shared" si="124"/>
        <v>0</v>
      </c>
      <c r="Z444" s="209">
        <f t="shared" si="125"/>
        <v>-0.76</v>
      </c>
      <c r="AA444" s="205">
        <f t="shared" si="126"/>
        <v>0</v>
      </c>
      <c r="AB444" s="209">
        <f t="shared" si="127"/>
        <v>0</v>
      </c>
      <c r="AC444" s="205">
        <f t="shared" si="128"/>
        <v>0</v>
      </c>
      <c r="AD444" s="210">
        <f t="shared" si="129"/>
        <v>1.734722222223354</v>
      </c>
      <c r="AE444" s="210">
        <f t="shared" si="130"/>
        <v>0</v>
      </c>
      <c r="AF444" s="210">
        <f t="shared" si="131"/>
        <v>1.734722222223354</v>
      </c>
      <c r="AG444" s="210">
        <f t="shared" si="132"/>
        <v>0</v>
      </c>
    </row>
  </sheetData>
  <sheetProtection algorithmName="SHA-512" hashValue="5oLKEwGjlnv9rvpmy0xhH+ssXWHCub53UAKp+55uzzVJ1gUP0NHEhyj74pSNVS7QbgPOZTs2v09GgG92iDnfUQ==" saltValue="FY1icNfrivvj2Q9qxJp7Iw==" spinCount="100000" sheet="1" objects="1" scenarios="1" selectLockedCells="1"/>
  <mergeCells count="11">
    <mergeCell ref="E2:N5"/>
    <mergeCell ref="L8:M8"/>
    <mergeCell ref="H11:I11"/>
    <mergeCell ref="H12:I12"/>
    <mergeCell ref="AD12:AG12"/>
    <mergeCell ref="L6:M7"/>
    <mergeCell ref="N6:N7"/>
    <mergeCell ref="I7:I9"/>
    <mergeCell ref="J7:J9"/>
    <mergeCell ref="L9:M9"/>
    <mergeCell ref="L10:M10"/>
  </mergeCells>
  <conditionalFormatting sqref="X9">
    <cfRule type="cellIs" dxfId="974" priority="3" operator="equal">
      <formula>"OK"</formula>
    </cfRule>
    <cfRule type="cellIs" dxfId="973" priority="4" operator="equal">
      <formula>"warning"</formula>
    </cfRule>
  </conditionalFormatting>
  <conditionalFormatting sqref="F13">
    <cfRule type="cellIs" dxfId="972" priority="1" operator="equal">
      <formula>"OK"</formula>
    </cfRule>
    <cfRule type="cellIs" dxfId="971" priority="2" operator="equal">
      <formula>"Error!!"</formula>
    </cfRule>
  </conditionalFormatting>
  <conditionalFormatting sqref="E15:H15 K15:L15">
    <cfRule type="expression" dxfId="970" priority="5">
      <formula>+$D15=#REF!</formula>
    </cfRule>
    <cfRule type="expression" dxfId="969" priority="6">
      <formula>+$D15=#REF!</formula>
    </cfRule>
  </conditionalFormatting>
  <conditionalFormatting sqref="D15 K16:L16 D16:H444 J17:L444">
    <cfRule type="expression" dxfId="968" priority="9">
      <formula>+$D15=$AG$8</formula>
    </cfRule>
    <cfRule type="expression" dxfId="967" priority="10">
      <formula>+$D15=$AG$9</formula>
    </cfRule>
  </conditionalFormatting>
  <dataValidations count="3">
    <dataValidation type="list" allowBlank="1" showInputMessage="1" showErrorMessage="1" promptTitle="Trade Direction" prompt="Select from List" sqref="C15:C16" xr:uid="{020A4BBE-4A54-4F2D-9269-EC2E91A4487B}">
      <formula1>$AG$4:$AG$5</formula1>
    </dataValidation>
    <dataValidation type="list" allowBlank="1" showInputMessage="1" showErrorMessage="1" promptTitle="Instrument Type" prompt="Select Type from List_x000a_" sqref="B15:B16" xr:uid="{81CB297B-3E19-4342-BA62-629C5730D696}">
      <formula1>$AE$4:$AE$6</formula1>
    </dataValidation>
    <dataValidation type="list" allowBlank="1" showInputMessage="1" showErrorMessage="1" promptTitle="Instrument Type" prompt="Select Type from List_x000a_" sqref="B17:B444" xr:uid="{EC12D098-1306-40F5-8A86-DDB8717308A2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Z47"/>
  <sheetViews>
    <sheetView showGridLines="0" tabSelected="1" topLeftCell="F1" zoomScaleNormal="100" workbookViewId="0">
      <selection activeCell="E2" sqref="E2:N5"/>
    </sheetView>
  </sheetViews>
  <sheetFormatPr defaultColWidth="0" defaultRowHeight="12.75" x14ac:dyDescent="0.2"/>
  <cols>
    <col min="1" max="1" width="9.375" style="100" bestFit="1" customWidth="1"/>
    <col min="2" max="2" width="15.625" style="101" bestFit="1" customWidth="1"/>
    <col min="3" max="3" width="16.625" style="101" bestFit="1" customWidth="1"/>
    <col min="4" max="4" width="14.625" style="101" bestFit="1" customWidth="1"/>
    <col min="5" max="5" width="22" style="101" hidden="1" customWidth="1"/>
    <col min="6" max="6" width="1.625" style="93" customWidth="1"/>
    <col min="7" max="7" width="1.875" style="84" hidden="1" customWidth="1"/>
    <col min="8" max="8" width="16.875" style="84" hidden="1" customWidth="1"/>
    <col min="9" max="9" width="11.625" style="93" hidden="1" customWidth="1"/>
    <col min="10" max="10" width="14.5" style="93" hidden="1" customWidth="1"/>
    <col min="11" max="11" width="23.625" style="84" customWidth="1"/>
    <col min="12" max="12" width="12.625" style="84" customWidth="1"/>
    <col min="13" max="13" width="8.875" style="84" customWidth="1"/>
    <col min="14" max="14" width="9" style="84" customWidth="1"/>
    <col min="15" max="15" width="10.625" style="84" bestFit="1" customWidth="1"/>
    <col min="16" max="24" width="9" style="84" customWidth="1"/>
    <col min="25" max="26" width="0" style="84" hidden="1" customWidth="1"/>
    <col min="27" max="16384" width="9" style="84" hidden="1"/>
  </cols>
  <sheetData>
    <row r="1" spans="1:24" ht="16.5" thickBot="1" x14ac:dyDescent="0.35">
      <c r="A1" s="81" t="s">
        <v>64</v>
      </c>
      <c r="B1" s="82" t="s">
        <v>65</v>
      </c>
      <c r="C1" s="82" t="s">
        <v>66</v>
      </c>
      <c r="D1" s="82" t="s">
        <v>67</v>
      </c>
      <c r="E1" s="82" t="s">
        <v>68</v>
      </c>
      <c r="F1" s="83"/>
      <c r="H1" s="102" t="s">
        <v>69</v>
      </c>
      <c r="I1" s="85" t="s">
        <v>75</v>
      </c>
      <c r="J1"/>
      <c r="K1" s="3"/>
      <c r="L1" s="86" t="s">
        <v>70</v>
      </c>
      <c r="M1" s="87">
        <f>SUMIFS(Table2[Profits in $],Table2[Date],MIN(Table2[Date]))+$P$1</f>
        <v>112120</v>
      </c>
      <c r="N1" s="3"/>
      <c r="O1" s="86" t="s">
        <v>71</v>
      </c>
      <c r="P1" s="87">
        <f>SUMIFS(Table2[Profits in $],Table2[Date],MAX(Table2[Date]))</f>
        <v>12120</v>
      </c>
      <c r="Q1" s="3"/>
      <c r="R1" s="86" t="s">
        <v>72</v>
      </c>
      <c r="S1" s="88">
        <f>($P$1/SUMIFS(Table2[Profits in $],Table2[Date],MIN(Table2[Date])))</f>
        <v>0.1212</v>
      </c>
      <c r="T1" s="3"/>
      <c r="U1" s="3"/>
      <c r="V1" s="3"/>
      <c r="W1" s="3"/>
      <c r="X1" s="3"/>
    </row>
    <row r="2" spans="1:24" ht="15" x14ac:dyDescent="0.3">
      <c r="A2" s="89">
        <v>44317</v>
      </c>
      <c r="B2" s="90">
        <v>12.12</v>
      </c>
      <c r="C2" s="91">
        <v>1000</v>
      </c>
      <c r="D2" s="91">
        <v>12120</v>
      </c>
      <c r="E2" s="92">
        <f>IF(Table2[[#This Row],[Date]]=MIN(Table2[Date]),Table2[[#This Row],[Profits in $]],SUMIFS(Table2[Profits in $],Table2[Date],MIN(Table2[Date]))+Table2[[#This Row],[Profits in $]])</f>
        <v>112120</v>
      </c>
      <c r="G2" s="94">
        <f>MIN(Table2[Cumulative Equity])*0.99</f>
        <v>99000</v>
      </c>
      <c r="H2" s="95">
        <v>44197</v>
      </c>
      <c r="I2" s="85">
        <v>100000</v>
      </c>
      <c r="J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5" x14ac:dyDescent="0.3">
      <c r="A3" s="96">
        <v>44197</v>
      </c>
      <c r="B3" s="97" t="s">
        <v>73</v>
      </c>
      <c r="C3" s="98" t="s">
        <v>73</v>
      </c>
      <c r="D3" s="98">
        <v>100000</v>
      </c>
      <c r="E3" s="99">
        <f>IF(Table2[[#This Row],[Date]]=MIN(Table2[Date]),Table2[[#This Row],[Profits in $]],SUMIFS(Table2[Profits in $],Table2[Date],MIN(Table2[Date]))+Table2[[#This Row],[Profits in $]])</f>
        <v>100000</v>
      </c>
      <c r="G3" s="94">
        <f>MAX(Table2[Cumulative Equity])*1.05</f>
        <v>117999</v>
      </c>
      <c r="H3" s="95">
        <v>44253</v>
      </c>
      <c r="I3" s="85">
        <v>112270</v>
      </c>
      <c r="J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5" x14ac:dyDescent="0.3">
      <c r="A4" s="89">
        <v>44253</v>
      </c>
      <c r="B4" s="90">
        <v>12.27</v>
      </c>
      <c r="C4" s="91">
        <v>1000</v>
      </c>
      <c r="D4" s="91">
        <v>12270</v>
      </c>
      <c r="E4" s="92">
        <f>IF(Table2[[#This Row],[Date]]=MIN(Table2[Date]),Table2[[#This Row],[Profits in $]],SUMIFS(Table2[Profits in $],Table2[Date],MIN(Table2[Date]))+Table2[[#This Row],[Profits in $]])</f>
        <v>112270</v>
      </c>
      <c r="H4" s="95">
        <v>44274</v>
      </c>
      <c r="I4" s="85">
        <v>111120</v>
      </c>
      <c r="J4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5" x14ac:dyDescent="0.3">
      <c r="A5" s="96">
        <v>44274</v>
      </c>
      <c r="B5" s="97">
        <v>11.12</v>
      </c>
      <c r="C5" s="98">
        <v>1000</v>
      </c>
      <c r="D5" s="98">
        <v>11120</v>
      </c>
      <c r="E5" s="99">
        <f>IF(Table2[[#This Row],[Date]]=MIN(Table2[Date]),Table2[[#This Row],[Profits in $]],SUMIFS(Table2[Profits in $],Table2[Date],MIN(Table2[Date]))+Table2[[#This Row],[Profits in $]])</f>
        <v>111120</v>
      </c>
      <c r="H5" s="95">
        <v>44287</v>
      </c>
      <c r="I5" s="85">
        <v>112380</v>
      </c>
      <c r="J5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5" x14ac:dyDescent="0.3">
      <c r="A6" s="96">
        <v>44287</v>
      </c>
      <c r="B6" s="97">
        <v>12.38</v>
      </c>
      <c r="C6" s="98">
        <v>1000</v>
      </c>
      <c r="D6" s="98">
        <v>12380</v>
      </c>
      <c r="E6" s="99">
        <f>IF(Table2[[#This Row],[Date]]=MIN(Table2[Date]),Table2[[#This Row],[Profits in $]],SUMIFS(Table2[Profits in $],Table2[Date],MIN(Table2[Date]))+Table2[[#This Row],[Profits in $]])</f>
        <v>112380</v>
      </c>
      <c r="H6" s="95">
        <v>44317</v>
      </c>
      <c r="I6" s="85">
        <v>112120</v>
      </c>
      <c r="J6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5" x14ac:dyDescent="0.3">
      <c r="H7" s="95" t="s">
        <v>74</v>
      </c>
      <c r="I7" s="85">
        <v>547890</v>
      </c>
      <c r="J7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5" x14ac:dyDescent="0.3">
      <c r="H8"/>
      <c r="I8"/>
      <c r="J8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5" x14ac:dyDescent="0.3">
      <c r="H9"/>
      <c r="I9"/>
      <c r="J9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15.75" thickBot="1" x14ac:dyDescent="0.35">
      <c r="H10"/>
      <c r="I10"/>
      <c r="J10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5.75" thickBot="1" x14ac:dyDescent="0.35">
      <c r="H11"/>
      <c r="I11" s="85"/>
      <c r="J11" s="85"/>
      <c r="K11" s="3"/>
      <c r="L11" s="80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5" x14ac:dyDescent="0.3">
      <c r="H12"/>
      <c r="I12" s="85"/>
      <c r="J12" s="85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15" x14ac:dyDescent="0.3">
      <c r="H13"/>
      <c r="I13" s="85"/>
      <c r="J13" s="85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15" x14ac:dyDescent="0.3">
      <c r="H14"/>
      <c r="I14" s="85"/>
      <c r="J14" s="85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5" x14ac:dyDescent="0.3">
      <c r="H15"/>
      <c r="I15" s="85"/>
      <c r="J15" s="85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5" x14ac:dyDescent="0.3">
      <c r="H16"/>
      <c r="I16" s="85"/>
      <c r="J16" s="85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8:24" ht="15" x14ac:dyDescent="0.3">
      <c r="H17"/>
      <c r="I17" s="85"/>
      <c r="J17" s="85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8:24" ht="15" x14ac:dyDescent="0.3">
      <c r="H18"/>
      <c r="I18" s="85"/>
      <c r="J18" s="85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8:24" ht="15" x14ac:dyDescent="0.3">
      <c r="H19"/>
      <c r="I19" s="85"/>
      <c r="J19" s="85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8:24" ht="15" x14ac:dyDescent="0.3">
      <c r="H20"/>
      <c r="I20" s="85"/>
      <c r="J20" s="85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8:24" ht="15" x14ac:dyDescent="0.3">
      <c r="H21"/>
      <c r="I21" s="85"/>
      <c r="J21" s="85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8:24" ht="15" x14ac:dyDescent="0.3">
      <c r="H22"/>
      <c r="I22" s="85"/>
      <c r="J22" s="85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8:24" ht="15" x14ac:dyDescent="0.3">
      <c r="H23"/>
      <c r="I23" s="85"/>
      <c r="J23" s="85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8:24" ht="15" x14ac:dyDescent="0.3">
      <c r="H24"/>
      <c r="I24" s="85"/>
      <c r="J24" s="85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8:24" ht="15" x14ac:dyDescent="0.3">
      <c r="H25"/>
      <c r="I25" s="85"/>
      <c r="J25" s="85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8:24" ht="15" x14ac:dyDescent="0.3">
      <c r="H26"/>
      <c r="I26" s="85"/>
      <c r="J26" s="85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8:24" ht="15" x14ac:dyDescent="0.3">
      <c r="H27"/>
      <c r="I27" s="85"/>
      <c r="J27" s="85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8:24" ht="15" x14ac:dyDescent="0.3">
      <c r="H28"/>
      <c r="I28" s="85"/>
      <c r="J28" s="85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8:24" ht="15" x14ac:dyDescent="0.3">
      <c r="H29"/>
      <c r="I29" s="85"/>
      <c r="J29" s="85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8:24" ht="15" x14ac:dyDescent="0.3">
      <c r="H30"/>
      <c r="I30" s="85"/>
      <c r="J30" s="85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8:24" ht="15" x14ac:dyDescent="0.3">
      <c r="H31"/>
      <c r="I31" s="85"/>
      <c r="J31" s="85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8:24" ht="15" x14ac:dyDescent="0.3">
      <c r="H32"/>
      <c r="I32" s="85"/>
      <c r="J32" s="85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8:24" ht="15" x14ac:dyDescent="0.3">
      <c r="H33"/>
      <c r="I33" s="85"/>
      <c r="J33" s="85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8:24" ht="15" x14ac:dyDescent="0.3">
      <c r="H34"/>
      <c r="I34" s="85"/>
      <c r="J34" s="85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8:24" x14ac:dyDescent="0.2">
      <c r="H35"/>
      <c r="I35" s="85"/>
      <c r="J35" s="85"/>
    </row>
    <row r="36" spans="8:24" x14ac:dyDescent="0.2">
      <c r="H36"/>
      <c r="I36" s="85"/>
      <c r="J36" s="85"/>
    </row>
    <row r="37" spans="8:24" x14ac:dyDescent="0.2">
      <c r="H37"/>
      <c r="I37" s="85"/>
      <c r="J37" s="85"/>
    </row>
    <row r="38" spans="8:24" x14ac:dyDescent="0.2">
      <c r="H38"/>
      <c r="I38" s="85"/>
      <c r="J38" s="85"/>
    </row>
    <row r="39" spans="8:24" x14ac:dyDescent="0.2">
      <c r="H39"/>
      <c r="I39" s="85"/>
      <c r="J39" s="85"/>
    </row>
    <row r="40" spans="8:24" x14ac:dyDescent="0.2">
      <c r="H40"/>
      <c r="I40" s="85"/>
      <c r="J40" s="85"/>
    </row>
    <row r="41" spans="8:24" x14ac:dyDescent="0.2">
      <c r="H41"/>
      <c r="I41" s="85"/>
      <c r="J41" s="85"/>
    </row>
    <row r="42" spans="8:24" x14ac:dyDescent="0.2">
      <c r="H42"/>
      <c r="I42" s="85"/>
      <c r="J42" s="85"/>
    </row>
    <row r="43" spans="8:24" x14ac:dyDescent="0.2">
      <c r="H43"/>
      <c r="I43" s="85"/>
      <c r="J43" s="85"/>
    </row>
    <row r="44" spans="8:24" x14ac:dyDescent="0.2">
      <c r="H44"/>
      <c r="I44" s="85"/>
      <c r="J44" s="85"/>
    </row>
    <row r="45" spans="8:24" x14ac:dyDescent="0.2">
      <c r="H45"/>
      <c r="I45" s="85"/>
      <c r="J45" s="85"/>
    </row>
    <row r="46" spans="8:24" x14ac:dyDescent="0.2">
      <c r="H46"/>
      <c r="I46" s="85"/>
      <c r="J46" s="85"/>
    </row>
    <row r="47" spans="8:24" x14ac:dyDescent="0.2">
      <c r="H47"/>
      <c r="I47" s="85"/>
      <c r="J47" s="85"/>
    </row>
  </sheetData>
  <sheetProtection algorithmName="SHA-512" hashValue="NXa5/JknuXBWaWwlYCvnpsEm4kPPF4tDwcKilqDzprMKynzaIa/i00NDLW++R2ki93O4N9rMxhPcuPfOFHx9HA==" saltValue="or6kPG0BQBzRBi/w8XN6rA==" spinCount="100000" sheet="1" objects="1" scenarios="1" selectLockedCells="1"/>
  <pageMargins left="0.7" right="0.7" top="0.75" bottom="0.75" header="0.3" footer="0.3"/>
  <pageSetup paperSize="9" orientation="portrait" horizontalDpi="4294967294" verticalDpi="0" r:id="rId2"/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22"/>
  <sheetViews>
    <sheetView showGridLines="0" tabSelected="1" workbookViewId="0">
      <selection activeCell="E2" sqref="E2:N5"/>
    </sheetView>
  </sheetViews>
  <sheetFormatPr defaultColWidth="8.875" defaultRowHeight="12.75" x14ac:dyDescent="0.2"/>
  <cols>
    <col min="1" max="1" width="13" customWidth="1"/>
    <col min="2" max="2" width="12.375" customWidth="1"/>
  </cols>
  <sheetData>
    <row r="1" spans="1:2" x14ac:dyDescent="0.2">
      <c r="A1" t="s">
        <v>78</v>
      </c>
      <c r="B1" t="s">
        <v>79</v>
      </c>
    </row>
    <row r="2" spans="1:2" ht="15.75" x14ac:dyDescent="0.25">
      <c r="A2" s="105" t="s">
        <v>81</v>
      </c>
      <c r="B2" s="105" t="s">
        <v>7</v>
      </c>
    </row>
    <row r="3" spans="1:2" ht="15.75" x14ac:dyDescent="0.25">
      <c r="A3" s="105" t="s">
        <v>83</v>
      </c>
      <c r="B3" s="105" t="s">
        <v>7</v>
      </c>
    </row>
    <row r="4" spans="1:2" ht="15.75" x14ac:dyDescent="0.25">
      <c r="A4" s="105" t="s">
        <v>96</v>
      </c>
      <c r="B4" s="105" t="s">
        <v>7</v>
      </c>
    </row>
    <row r="5" spans="1:2" ht="15.75" x14ac:dyDescent="0.25">
      <c r="A5" s="105" t="s">
        <v>97</v>
      </c>
      <c r="B5" s="105" t="s">
        <v>7</v>
      </c>
    </row>
    <row r="6" spans="1:2" ht="15.75" x14ac:dyDescent="0.25">
      <c r="A6" s="105" t="s">
        <v>98</v>
      </c>
      <c r="B6" s="105" t="s">
        <v>7</v>
      </c>
    </row>
    <row r="7" spans="1:2" ht="15.75" x14ac:dyDescent="0.25">
      <c r="A7" s="105" t="s">
        <v>99</v>
      </c>
      <c r="B7" s="105" t="s">
        <v>7</v>
      </c>
    </row>
    <row r="8" spans="1:2" ht="15.75" x14ac:dyDescent="0.25">
      <c r="A8" s="105" t="s">
        <v>100</v>
      </c>
      <c r="B8" s="105" t="s">
        <v>7</v>
      </c>
    </row>
    <row r="9" spans="1:2" ht="15.75" x14ac:dyDescent="0.25">
      <c r="A9" s="105" t="s">
        <v>85</v>
      </c>
      <c r="B9" s="105" t="s">
        <v>7</v>
      </c>
    </row>
    <row r="10" spans="1:2" ht="15.75" x14ac:dyDescent="0.25">
      <c r="A10" s="105" t="s">
        <v>101</v>
      </c>
      <c r="B10" s="105" t="s">
        <v>7</v>
      </c>
    </row>
    <row r="11" spans="1:2" ht="15.75" x14ac:dyDescent="0.25">
      <c r="A11" s="105" t="s">
        <v>102</v>
      </c>
      <c r="B11" s="105" t="s">
        <v>7</v>
      </c>
    </row>
    <row r="12" spans="1:2" ht="15.75" x14ac:dyDescent="0.25">
      <c r="A12" s="105" t="s">
        <v>88</v>
      </c>
      <c r="B12" s="105" t="s">
        <v>19</v>
      </c>
    </row>
    <row r="13" spans="1:2" ht="15.75" x14ac:dyDescent="0.25">
      <c r="A13" s="105" t="s">
        <v>89</v>
      </c>
      <c r="B13" s="105" t="s">
        <v>19</v>
      </c>
    </row>
    <row r="14" spans="1:2" ht="15.75" x14ac:dyDescent="0.25">
      <c r="A14" s="105" t="s">
        <v>108</v>
      </c>
      <c r="B14" s="105" t="s">
        <v>19</v>
      </c>
    </row>
    <row r="15" spans="1:2" ht="15.75" x14ac:dyDescent="0.25">
      <c r="A15" s="105" t="s">
        <v>80</v>
      </c>
      <c r="B15" s="105" t="s">
        <v>84</v>
      </c>
    </row>
    <row r="16" spans="1:2" ht="15.75" x14ac:dyDescent="0.25">
      <c r="A16" s="105" t="s">
        <v>82</v>
      </c>
      <c r="B16" s="105" t="s">
        <v>84</v>
      </c>
    </row>
    <row r="17" spans="1:2" ht="15.75" x14ac:dyDescent="0.25">
      <c r="A17" s="105" t="s">
        <v>90</v>
      </c>
      <c r="B17" s="105" t="s">
        <v>5</v>
      </c>
    </row>
    <row r="18" spans="1:2" ht="15.75" x14ac:dyDescent="0.25">
      <c r="A18" s="105" t="s">
        <v>91</v>
      </c>
      <c r="B18" s="105" t="s">
        <v>5</v>
      </c>
    </row>
    <row r="19" spans="1:2" ht="15.75" x14ac:dyDescent="0.25">
      <c r="A19" s="105" t="s">
        <v>92</v>
      </c>
      <c r="B19" s="105" t="s">
        <v>5</v>
      </c>
    </row>
    <row r="20" spans="1:2" ht="15.75" x14ac:dyDescent="0.25">
      <c r="A20" s="105" t="s">
        <v>93</v>
      </c>
      <c r="B20" s="105" t="s">
        <v>5</v>
      </c>
    </row>
    <row r="21" spans="1:2" ht="15.75" x14ac:dyDescent="0.25">
      <c r="A21" s="105" t="s">
        <v>94</v>
      </c>
      <c r="B21" s="105" t="s">
        <v>5</v>
      </c>
    </row>
    <row r="22" spans="1:2" ht="15.75" x14ac:dyDescent="0.25">
      <c r="A22" s="105" t="s">
        <v>95</v>
      </c>
      <c r="B22" s="105" t="s">
        <v>5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E8305-4423-48B9-A9D5-D92FFD59A85A}">
  <sheetPr codeName="Hoja11">
    <pageSetUpPr fitToPage="1"/>
  </sheetPr>
  <dimension ref="A1:AX17"/>
  <sheetViews>
    <sheetView showGridLines="0" showZeros="0" zoomScale="115" zoomScaleNormal="115" zoomScalePageLayoutView="99" workbookViewId="0">
      <pane ySplit="16" topLeftCell="A17" activePane="bottomLeft" state="frozen"/>
      <selection pane="bottomLeft" activeCell="B17" sqref="B17:B58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77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COUNTA(Tabla3361067348[Inst])</f>
        <v>0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0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0</v>
      </c>
      <c r="W6" s="18"/>
      <c r="X6" s="17">
        <f>+X13</f>
        <v>0</v>
      </c>
      <c r="Y6" s="19"/>
      <c r="Z6" s="17">
        <f>+Z13</f>
        <v>0</v>
      </c>
      <c r="AA6" s="19"/>
      <c r="AB6" s="17">
        <f>+AB13</f>
        <v>0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COUNTIF(Tabla3361067348[No. of Rs],"&gt;0")</f>
        <v>0</v>
      </c>
      <c r="G7" s="24" t="str">
        <f>IFERROR((F7/$F$6),"")</f>
        <v/>
      </c>
      <c r="H7" s="78" t="str">
        <f>IFERROR((+P13/F7),"")</f>
        <v/>
      </c>
      <c r="I7" s="227" t="e">
        <f>H7/H9</f>
        <v>#VALUE!</v>
      </c>
      <c r="J7" s="227" t="e">
        <f>AVERAGE(Tabla3361067348[No. of Rs])</f>
        <v>#DIV/0!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 t="str">
        <f>IFERROR((V6/N6),"")</f>
        <v/>
      </c>
      <c r="W7" s="27"/>
      <c r="X7" s="26" t="str">
        <f>IFERROR((X6/N6),"")</f>
        <v/>
      </c>
      <c r="Y7" s="28"/>
      <c r="Z7" s="26" t="str">
        <f>IFERROR((Z6/N6),"")</f>
        <v/>
      </c>
      <c r="AA7" s="28"/>
      <c r="AB7" s="26" t="str">
        <f>IFERROR((AB6/N6),"")</f>
        <v/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COUNTIF(Tabla3361067348[No. of Rs],"=0")</f>
        <v>0</v>
      </c>
      <c r="G8" s="24" t="str">
        <f>IFERROR((F8/$F$6),"")</f>
        <v/>
      </c>
      <c r="H8" s="78"/>
      <c r="I8" s="228"/>
      <c r="J8" s="228"/>
      <c r="K8" s="163"/>
      <c r="L8" s="212" t="s">
        <v>112</v>
      </c>
      <c r="M8" s="213"/>
      <c r="N8" s="195">
        <f ca="1">OFFSET(Tabla3361067348[[#Headers],[Equity]],1,0)</f>
        <v>0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COUNTIF(Tabla3361067348[No. of Rs],"&lt;0")</f>
        <v>0</v>
      </c>
      <c r="G9" s="32" t="str">
        <f>IFERROR((F9/$F$6),"")</f>
        <v/>
      </c>
      <c r="H9" s="79" t="str">
        <f>IFERROR((-Q13/F9),"")</f>
        <v/>
      </c>
      <c r="I9" s="229"/>
      <c r="J9" s="229"/>
      <c r="K9" s="149"/>
      <c r="L9" s="230" t="s">
        <v>106</v>
      </c>
      <c r="M9" s="231"/>
      <c r="N9" s="125">
        <f>MAX(Tabla3361067348[Drawdown])</f>
        <v>0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>
        <f ca="1">OFFSET(Tabla3361067348[[#Headers],[Drawdown]],1,0)</f>
        <v>0</v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IF(COUNTIFS(Tabla3361067348[O/C],"O")&lt;1,"None",COUNTIFS(Tabla3361067348[O/C],"O"))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SUM(Tabla3361067348[No. of Rs])</f>
        <v>0</v>
      </c>
      <c r="O13" s="42">
        <f>SUM(Tabla3361067348[Heat])</f>
        <v>0</v>
      </c>
      <c r="P13" s="43">
        <f>SUM(Tabla3361067348[[ TR WIN]])</f>
        <v>0</v>
      </c>
      <c r="Q13" s="43">
        <f>SUM(Tabla3361067348[[ TR LOSS]])</f>
        <v>0</v>
      </c>
      <c r="R13" s="114"/>
      <c r="S13" s="115"/>
      <c r="T13" s="115"/>
      <c r="U13" s="121"/>
      <c r="V13" s="44">
        <f>SUM(Tabla3361067348[Currency])</f>
        <v>0</v>
      </c>
      <c r="W13" s="44">
        <f>SUM(Tabla3361067348[Heat3])</f>
        <v>0</v>
      </c>
      <c r="X13" s="44">
        <f>SUM(Tabla3361067348[Commodities])</f>
        <v>0</v>
      </c>
      <c r="Y13" s="44">
        <f>SUM(Tabla3361067348[Heat4])</f>
        <v>0</v>
      </c>
      <c r="Z13" s="44">
        <f>SUM(Tabla3361067348[Index])</f>
        <v>0</v>
      </c>
      <c r="AA13" s="44">
        <f>SUM(Tabla3361067348[Heat5])</f>
        <v>0</v>
      </c>
      <c r="AB13" s="44">
        <f>SUM(Tabla3361067348[Cryptocurrency])</f>
        <v>0</v>
      </c>
      <c r="AC13" s="44">
        <f>SUM(Tabla3361067348[Heat6])</f>
        <v>0</v>
      </c>
      <c r="AD13" s="75" t="e">
        <f>AVERAGEIF(Tabla3361067348[Length of 
Trade],"&lt;&gt;0")</f>
        <v>#DIV/0!</v>
      </c>
      <c r="AE13" s="75" t="e">
        <f>AVERAGEIF(Tabla3361067348[Win],"&lt;&gt;0")</f>
        <v>#DIV/0!</v>
      </c>
      <c r="AF13" s="75" t="e">
        <f>AVERAGEIF(Tabla3361067348[Loss],"&lt;&gt;0")</f>
        <v>#DIV/0!</v>
      </c>
      <c r="AG13" s="76" t="e">
        <f>AVERAGEIF(Tabla3361067348[Breakeven],"&lt;&gt;0")</f>
        <v>#DIV/0!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1:35" s="112" customFormat="1" x14ac:dyDescent="0.3">
      <c r="A17" s="140"/>
      <c r="B17" s="181"/>
      <c r="C17" s="182"/>
      <c r="D17" s="183"/>
      <c r="E17" s="184"/>
      <c r="F17" s="185"/>
      <c r="G17" s="186"/>
      <c r="H17" s="186"/>
      <c r="I17" s="65"/>
      <c r="J17" s="186"/>
      <c r="K17" s="184"/>
      <c r="L17" s="186"/>
      <c r="M17" s="187"/>
      <c r="N17" s="188"/>
      <c r="O17" s="189"/>
      <c r="P17" s="190"/>
      <c r="Q17" s="190"/>
      <c r="R17" s="190"/>
      <c r="S17" s="191"/>
      <c r="T17" s="191"/>
      <c r="U17" s="192"/>
      <c r="V17" s="193"/>
      <c r="W17" s="193"/>
      <c r="X17" s="193"/>
      <c r="Y17" s="193"/>
      <c r="Z17" s="193"/>
      <c r="AA17" s="189"/>
      <c r="AB17" s="193"/>
      <c r="AC17" s="189"/>
      <c r="AD17" s="194"/>
      <c r="AE17" s="194"/>
      <c r="AF17" s="194"/>
      <c r="AG17" s="194"/>
      <c r="AH17" s="176"/>
      <c r="AI17" s="109"/>
    </row>
  </sheetData>
  <sheetProtection algorithmName="SHA-512" hashValue="0CM4O+Rx4DkjGqbOLvgK8Ou6ivzvKW7Ackftd6P0+DwN1o8bAaoyhUht6acmO80zd8D1geE8O29mIPRz+jcE3g==" saltValue="6UckQWzkJT81rKsIQU128Q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923" priority="3" operator="equal">
      <formula>"OK"</formula>
    </cfRule>
    <cfRule type="cellIs" dxfId="922" priority="4" operator="equal">
      <formula>"warning"</formula>
    </cfRule>
  </conditionalFormatting>
  <conditionalFormatting sqref="F13">
    <cfRule type="cellIs" dxfId="921" priority="1" operator="equal">
      <formula>"OK"</formula>
    </cfRule>
    <cfRule type="cellIs" dxfId="920" priority="2" operator="equal">
      <formula>"Error!!"</formula>
    </cfRule>
  </conditionalFormatting>
  <conditionalFormatting sqref="E15:H15 K15:L15">
    <cfRule type="expression" dxfId="919" priority="5">
      <formula>+$D15=#REF!</formula>
    </cfRule>
    <cfRule type="expression" dxfId="918" priority="6">
      <formula>+$D15=#REF!</formula>
    </cfRule>
  </conditionalFormatting>
  <conditionalFormatting sqref="D15 K16:L16 D16:H17 J17:L17">
    <cfRule type="expression" dxfId="917" priority="7">
      <formula>+$D15=$AG$8</formula>
    </cfRule>
    <cfRule type="expression" dxfId="916" priority="8">
      <formula>+$D15=$AG$9</formula>
    </cfRule>
  </conditionalFormatting>
  <dataValidations count="3">
    <dataValidation type="list" allowBlank="1" showInputMessage="1" showErrorMessage="1" promptTitle="Trade Direction" prompt="Select from List" sqref="C15:C17" xr:uid="{E238E195-9138-42BE-8AA1-2FB025BB7756}">
      <formula1>$AG$4:$AG$5</formula1>
    </dataValidation>
    <dataValidation type="list" allowBlank="1" showInputMessage="1" showErrorMessage="1" promptTitle="Instrument Type" prompt="Select Type from List_x000a_" sqref="B15:B16" xr:uid="{790F9287-FE2A-4227-B22B-FAFD6B8728FC}">
      <formula1>$AE$4:$AE$6</formula1>
    </dataValidation>
    <dataValidation type="list" allowBlank="1" showInputMessage="1" showErrorMessage="1" promptTitle="Instrument Type" prompt="Select Type from List_x000a_" sqref="B17" xr:uid="{71DE4D9A-DB2E-4631-B2A9-6EF06009D8D9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09EB7-0900-4C97-9997-F8CF9EBB868A}">
  <sheetPr codeName="Hoja19">
    <pageSetUpPr fitToPage="1"/>
  </sheetPr>
  <dimension ref="A1:AX39"/>
  <sheetViews>
    <sheetView showGridLines="0" showZeros="0" tabSelected="1" zoomScale="115" zoomScaleNormal="115" zoomScalePageLayoutView="99" workbookViewId="0">
      <pane ySplit="16" topLeftCell="A17" activePane="bottomLeft" state="frozen"/>
      <selection activeCell="E2" sqref="E2:N5"/>
      <selection pane="bottomLeft" activeCell="E2" sqref="E2:N5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123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COUNTA(Tabla336106734813[Inst])</f>
        <v>23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12.37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12.37</v>
      </c>
      <c r="W6" s="18"/>
      <c r="X6" s="17">
        <f>+X13</f>
        <v>0</v>
      </c>
      <c r="Y6" s="19"/>
      <c r="Z6" s="17">
        <f>+Z13</f>
        <v>0</v>
      </c>
      <c r="AA6" s="19"/>
      <c r="AB6" s="17">
        <f>+AB13</f>
        <v>0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COUNTIF(Tabla336106734813[No. of Rs],"&gt;0")</f>
        <v>10</v>
      </c>
      <c r="G7" s="24">
        <f>IFERROR((F7/$F$6),"")</f>
        <v>0.43478260869565216</v>
      </c>
      <c r="H7" s="78">
        <f>IFERROR((+P13/F7),"")</f>
        <v>2.38</v>
      </c>
      <c r="I7" s="227">
        <f>H7/H9</f>
        <v>2.7069116360454939</v>
      </c>
      <c r="J7" s="227">
        <f>AVERAGE(Tabla336106734813[No. of Rs])</f>
        <v>0.53782608695652168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1</v>
      </c>
      <c r="W7" s="27"/>
      <c r="X7" s="26">
        <f>IFERROR((X6/N6),"")</f>
        <v>0</v>
      </c>
      <c r="Y7" s="28"/>
      <c r="Z7" s="26">
        <f>IFERROR((Z6/N6),"")</f>
        <v>0</v>
      </c>
      <c r="AA7" s="28"/>
      <c r="AB7" s="26">
        <f>IFERROR((AB6/N6),"")</f>
        <v>0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COUNTIF(Tabla336106734813[No. of Rs],"=0")</f>
        <v>0</v>
      </c>
      <c r="G8" s="24">
        <f>IFERROR((F8/$F$6),"")</f>
        <v>0</v>
      </c>
      <c r="H8" s="78"/>
      <c r="I8" s="228"/>
      <c r="J8" s="228"/>
      <c r="K8" s="163"/>
      <c r="L8" s="212" t="s">
        <v>112</v>
      </c>
      <c r="M8" s="213"/>
      <c r="N8" s="195">
        <f ca="1">OFFSET(Tabla336106734813[[#Headers],[Equity]],1,0)</f>
        <v>112370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COUNTIF(Tabla336106734813[No. of Rs],"&lt;0")</f>
        <v>13</v>
      </c>
      <c r="G9" s="32">
        <f>IFERROR((F9/$F$6),"")</f>
        <v>0.56521739130434778</v>
      </c>
      <c r="H9" s="79">
        <f>IFERROR((-Q13/F9),"")</f>
        <v>0.87923076923076937</v>
      </c>
      <c r="I9" s="229"/>
      <c r="J9" s="229"/>
      <c r="K9" s="149"/>
      <c r="L9" s="230" t="s">
        <v>106</v>
      </c>
      <c r="M9" s="231"/>
      <c r="N9" s="125">
        <f ca="1">MAX(Tabla336106734813[Drawdown])</f>
        <v>6.7000000000000004E-2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>
        <f ca="1">OFFSET(Tabla336106734813[[#Headers],[Drawdown]],1,0)</f>
        <v>6.0150375939849628E-3</v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COUNTIF(Tabla336106734813[Heat],"&lt;0")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IF(COUNTIFS(Tabla336106734813[O/C],"O")&lt;1,"None",COUNTIFS(Tabla336106734813[O/C],"O"))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SUM(Tabla336106734813[No. of Rs])</f>
        <v>12.37</v>
      </c>
      <c r="O13" s="42">
        <f>SUM(Tabla336106734813[Heat])</f>
        <v>0</v>
      </c>
      <c r="P13" s="43">
        <f>SUM(Tabla336106734813[[ TR WIN]])</f>
        <v>23.799999999999997</v>
      </c>
      <c r="Q13" s="43">
        <f>SUM(Tabla336106734813[[ TR LOSS]])</f>
        <v>-11.430000000000001</v>
      </c>
      <c r="R13" s="114"/>
      <c r="S13" s="115"/>
      <c r="T13" s="115"/>
      <c r="U13" s="121"/>
      <c r="V13" s="44">
        <f>SUM(Tabla336106734813[Currency])</f>
        <v>12.37</v>
      </c>
      <c r="W13" s="44">
        <f>SUM(Tabla336106734813[Heat3])</f>
        <v>0</v>
      </c>
      <c r="X13" s="44">
        <f>SUM(Tabla336106734813[Commodities])</f>
        <v>0</v>
      </c>
      <c r="Y13" s="44">
        <f>SUM(Tabla336106734813[Heat4])</f>
        <v>0</v>
      </c>
      <c r="Z13" s="44">
        <f>SUM(Tabla336106734813[Index])</f>
        <v>0</v>
      </c>
      <c r="AA13" s="44">
        <f>SUM(Tabla336106734813[Heat5])</f>
        <v>0</v>
      </c>
      <c r="AB13" s="44">
        <f>SUM(Tabla336106734813[Cryptocurrency])</f>
        <v>0</v>
      </c>
      <c r="AC13" s="44">
        <f>SUM(Tabla336106734813[Heat6])</f>
        <v>0</v>
      </c>
      <c r="AD13" s="75">
        <f>AVERAGEIF(Tabla336106734813[Length of 
Trade],"&lt;&gt;0")</f>
        <v>4.0412137681167852</v>
      </c>
      <c r="AE13" s="75">
        <f>AVERAGEIF(Tabla336106734813[Win],"&lt;&gt;0")</f>
        <v>6.22562500000131</v>
      </c>
      <c r="AF13" s="75">
        <f>AVERAGEIF(Tabla336106734813[Loss],"&lt;&gt;0")</f>
        <v>2.3608974358979209</v>
      </c>
      <c r="AG13" s="76" t="e">
        <f>AVERAGEIF(Tabla336106734813[Breakeven],"&lt;&gt;0")</f>
        <v>#DIV/0!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2:33" ht="15" customHeight="1" x14ac:dyDescent="0.3">
      <c r="B17" s="196" t="s">
        <v>7</v>
      </c>
      <c r="C17" s="197" t="s">
        <v>15</v>
      </c>
      <c r="D17" s="198" t="str">
        <f t="shared" ref="D17:D24" si="0">IF(E17&lt;&gt;"",IF(K17&lt;&gt;"","C","O"),"")</f>
        <v>C</v>
      </c>
      <c r="E17" s="199">
        <v>43810.833333333336</v>
      </c>
      <c r="F17" s="200" t="s">
        <v>122</v>
      </c>
      <c r="G17" s="201">
        <v>74.606999999999999</v>
      </c>
      <c r="H17" s="201">
        <v>74.328999999999994</v>
      </c>
      <c r="I17" s="202">
        <f t="shared" ref="I17:I24" si="1">ABS(G17-H17)</f>
        <v>0.2780000000000058</v>
      </c>
      <c r="J17" s="201">
        <v>79.427999999999997</v>
      </c>
      <c r="K17" s="199">
        <v>43812.768055555556</v>
      </c>
      <c r="L17" s="201">
        <v>75.227000000000004</v>
      </c>
      <c r="M17" s="203">
        <f t="shared" ref="M17:M24" si="2">ROUND(IF(C17="L",(L17-G17),(G17-L17)),4)</f>
        <v>0.62</v>
      </c>
      <c r="N17" s="204">
        <f t="shared" ref="N17:N24" si="3">IFERROR(ROUND((M17/I17),2),"")</f>
        <v>2.23</v>
      </c>
      <c r="O17" s="205">
        <f t="shared" ref="O17:O24" si="4">IF(D17="O",IF(N17&lt;0,N17,0),0)</f>
        <v>0</v>
      </c>
      <c r="P17" s="206">
        <f t="shared" ref="P17:P24" si="5">IF(N17&gt;= 0,N17,0)</f>
        <v>2.23</v>
      </c>
      <c r="Q17" s="206">
        <f t="shared" ref="Q17:Q24" si="6">IF(N17&lt;0,N17,0)</f>
        <v>0</v>
      </c>
      <c r="R17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17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112370</v>
      </c>
      <c r="T17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113050</v>
      </c>
      <c r="U17" s="208">
        <f ca="1">IF(Tabla336106734813[[#This Row],[Equity]]&lt;Tabla336106734813[[#This Row],[Equity Peak]],(Tabla336106734813[[#This Row],[Equity Peak]]-Tabla336106734813[[#This Row],[Equity]])/Tabla336106734813[[#This Row],[Equity Peak]],"")</f>
        <v>6.0150375939849628E-3</v>
      </c>
      <c r="V17" s="209">
        <f t="shared" ref="V17:V24" si="7">IF(B17="FX",N17,0)</f>
        <v>2.23</v>
      </c>
      <c r="W17" s="209">
        <f t="shared" ref="W17:W24" si="8">IF(D17="O",IF(V17&lt;0,V17,0),0)</f>
        <v>0</v>
      </c>
      <c r="X17" s="209">
        <f t="shared" ref="X17:X24" si="9">IF(B17="COM",N17,0)</f>
        <v>0</v>
      </c>
      <c r="Y17" s="209">
        <f t="shared" ref="Y17:Y24" si="10">IF(D17="O",IF(X17&lt;0,X17,0),0)</f>
        <v>0</v>
      </c>
      <c r="Z17" s="209">
        <f t="shared" ref="Z17:Z24" si="11">IF(B17="IND",N17,0)</f>
        <v>0</v>
      </c>
      <c r="AA17" s="205">
        <f t="shared" ref="AA17:AA24" si="12">IF(D17="O",IF(Z17&lt;0,Z17,0),0)</f>
        <v>0</v>
      </c>
      <c r="AB17" s="209">
        <f t="shared" ref="AB17:AB24" si="13">IF(B17="CRYPTO",N17,0)</f>
        <v>0</v>
      </c>
      <c r="AC17" s="205">
        <f t="shared" ref="AC17:AC24" si="14">IF(D17="O",IF(AB17&lt;0,AB17,0),0)</f>
        <v>0</v>
      </c>
      <c r="AD17" s="210">
        <f t="shared" ref="AD17:AD24" si="15">IF(K17&lt;&gt;"",K17-E17,0)</f>
        <v>1.9347222222204437</v>
      </c>
      <c r="AE17" s="210">
        <f t="shared" ref="AE17:AE24" si="16">IF(N17&gt;0,AD17,0)</f>
        <v>1.9347222222204437</v>
      </c>
      <c r="AF17" s="210">
        <f t="shared" ref="AF17:AF24" si="17">IF(N17&lt;0,AD17,0)</f>
        <v>0</v>
      </c>
      <c r="AG17" s="210">
        <f t="shared" ref="AG17:AG24" si="18">IF(N17=0,AD17,0)</f>
        <v>0</v>
      </c>
    </row>
    <row r="18" spans="2:33" ht="15" customHeight="1" x14ac:dyDescent="0.3">
      <c r="B18" s="196" t="s">
        <v>7</v>
      </c>
      <c r="C18" s="197" t="s">
        <v>13</v>
      </c>
      <c r="D18" s="198" t="str">
        <f t="shared" si="0"/>
        <v>C</v>
      </c>
      <c r="E18" s="199">
        <v>43808.666666666664</v>
      </c>
      <c r="F18" s="200" t="s">
        <v>122</v>
      </c>
      <c r="G18" s="201">
        <v>74.051000000000002</v>
      </c>
      <c r="H18" s="201">
        <v>74.308000000000007</v>
      </c>
      <c r="I18" s="202">
        <f t="shared" si="1"/>
        <v>0.257000000000005</v>
      </c>
      <c r="J18" s="201">
        <v>69.587999999999994</v>
      </c>
      <c r="K18" s="199">
        <v>43810.552777777775</v>
      </c>
      <c r="L18" s="201">
        <v>74.308000000000007</v>
      </c>
      <c r="M18" s="203">
        <f t="shared" si="2"/>
        <v>-0.25700000000000001</v>
      </c>
      <c r="N18" s="204">
        <f t="shared" si="3"/>
        <v>-1</v>
      </c>
      <c r="O18" s="205">
        <f t="shared" si="4"/>
        <v>0</v>
      </c>
      <c r="P18" s="206">
        <f t="shared" si="5"/>
        <v>0</v>
      </c>
      <c r="Q18" s="206">
        <f t="shared" si="6"/>
        <v>-1</v>
      </c>
      <c r="R18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18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110140</v>
      </c>
      <c r="T18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113050</v>
      </c>
      <c r="U18" s="208">
        <f ca="1">IF(Tabla336106734813[[#This Row],[Equity]]&lt;Tabla336106734813[[#This Row],[Equity Peak]],(Tabla336106734813[[#This Row],[Equity Peak]]-Tabla336106734813[[#This Row],[Equity]])/Tabla336106734813[[#This Row],[Equity Peak]],"")</f>
        <v>2.5740822644847412E-2</v>
      </c>
      <c r="V18" s="209">
        <f t="shared" si="7"/>
        <v>-1</v>
      </c>
      <c r="W18" s="209">
        <f t="shared" si="8"/>
        <v>0</v>
      </c>
      <c r="X18" s="209">
        <f t="shared" si="9"/>
        <v>0</v>
      </c>
      <c r="Y18" s="209">
        <f t="shared" si="10"/>
        <v>0</v>
      </c>
      <c r="Z18" s="209">
        <f t="shared" si="11"/>
        <v>0</v>
      </c>
      <c r="AA18" s="205">
        <f t="shared" si="12"/>
        <v>0</v>
      </c>
      <c r="AB18" s="209">
        <f t="shared" si="13"/>
        <v>0</v>
      </c>
      <c r="AC18" s="205">
        <f t="shared" si="14"/>
        <v>0</v>
      </c>
      <c r="AD18" s="210">
        <f t="shared" si="15"/>
        <v>1.8861111111109494</v>
      </c>
      <c r="AE18" s="210">
        <f t="shared" si="16"/>
        <v>0</v>
      </c>
      <c r="AF18" s="210">
        <f t="shared" si="17"/>
        <v>1.8861111111109494</v>
      </c>
      <c r="AG18" s="210">
        <f t="shared" si="18"/>
        <v>0</v>
      </c>
    </row>
    <row r="19" spans="2:33" ht="15" customHeight="1" x14ac:dyDescent="0.3">
      <c r="B19" s="196" t="s">
        <v>7</v>
      </c>
      <c r="C19" s="197" t="s">
        <v>15</v>
      </c>
      <c r="D19" s="198" t="str">
        <f t="shared" si="0"/>
        <v>C</v>
      </c>
      <c r="E19" s="199">
        <v>43801.166666666664</v>
      </c>
      <c r="F19" s="200" t="s">
        <v>122</v>
      </c>
      <c r="G19" s="201">
        <v>74.292000000000002</v>
      </c>
      <c r="H19" s="201">
        <v>74.055000000000007</v>
      </c>
      <c r="I19" s="202">
        <f t="shared" si="1"/>
        <v>0.23699999999999477</v>
      </c>
      <c r="J19" s="201">
        <v>78.397999999999996</v>
      </c>
      <c r="K19" s="199">
        <v>43802.61041666667</v>
      </c>
      <c r="L19" s="201">
        <v>74.313000000000002</v>
      </c>
      <c r="M19" s="203">
        <f t="shared" si="2"/>
        <v>2.1000000000000001E-2</v>
      </c>
      <c r="N19" s="204">
        <f t="shared" si="3"/>
        <v>0.09</v>
      </c>
      <c r="O19" s="205">
        <f t="shared" si="4"/>
        <v>0</v>
      </c>
      <c r="P19" s="206">
        <f t="shared" si="5"/>
        <v>0.09</v>
      </c>
      <c r="Q19" s="206">
        <f t="shared" si="6"/>
        <v>0</v>
      </c>
      <c r="R19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19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111140</v>
      </c>
      <c r="T19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113050</v>
      </c>
      <c r="U19" s="208">
        <f ca="1">IF(Tabla336106734813[[#This Row],[Equity]]&lt;Tabla336106734813[[#This Row],[Equity Peak]],(Tabla336106734813[[#This Row],[Equity Peak]]-Tabla336106734813[[#This Row],[Equity]])/Tabla336106734813[[#This Row],[Equity Peak]],"")</f>
        <v>1.689517912428129E-2</v>
      </c>
      <c r="V19" s="209">
        <f t="shared" si="7"/>
        <v>0.09</v>
      </c>
      <c r="W19" s="209">
        <f t="shared" si="8"/>
        <v>0</v>
      </c>
      <c r="X19" s="209">
        <f t="shared" si="9"/>
        <v>0</v>
      </c>
      <c r="Y19" s="209">
        <f t="shared" si="10"/>
        <v>0</v>
      </c>
      <c r="Z19" s="209">
        <f t="shared" si="11"/>
        <v>0</v>
      </c>
      <c r="AA19" s="205">
        <f t="shared" si="12"/>
        <v>0</v>
      </c>
      <c r="AB19" s="209">
        <f t="shared" si="13"/>
        <v>0</v>
      </c>
      <c r="AC19" s="205">
        <f t="shared" si="14"/>
        <v>0</v>
      </c>
      <c r="AD19" s="210">
        <f t="shared" si="15"/>
        <v>1.4437500000058208</v>
      </c>
      <c r="AE19" s="210">
        <f t="shared" si="16"/>
        <v>1.4437500000058208</v>
      </c>
      <c r="AF19" s="210">
        <f t="shared" si="17"/>
        <v>0</v>
      </c>
      <c r="AG19" s="210">
        <f t="shared" si="18"/>
        <v>0</v>
      </c>
    </row>
    <row r="20" spans="2:33" ht="15" customHeight="1" x14ac:dyDescent="0.3">
      <c r="B20" s="196" t="s">
        <v>7</v>
      </c>
      <c r="C20" s="197" t="s">
        <v>13</v>
      </c>
      <c r="D20" s="198" t="str">
        <f t="shared" si="0"/>
        <v>C</v>
      </c>
      <c r="E20" s="199">
        <v>43798.833333333336</v>
      </c>
      <c r="F20" s="200" t="s">
        <v>122</v>
      </c>
      <c r="G20" s="201">
        <v>73.998999999999995</v>
      </c>
      <c r="H20" s="201">
        <v>74.215000000000003</v>
      </c>
      <c r="I20" s="202">
        <f t="shared" si="1"/>
        <v>0.21600000000000819</v>
      </c>
      <c r="J20" s="201">
        <v>70.248999999999995</v>
      </c>
      <c r="K20" s="199">
        <v>43801.07916666667</v>
      </c>
      <c r="L20" s="201">
        <v>74.215000000000003</v>
      </c>
      <c r="M20" s="203">
        <f t="shared" si="2"/>
        <v>-0.216</v>
      </c>
      <c r="N20" s="204">
        <f t="shared" si="3"/>
        <v>-1</v>
      </c>
      <c r="O20" s="205">
        <f t="shared" si="4"/>
        <v>0</v>
      </c>
      <c r="P20" s="206">
        <f t="shared" si="5"/>
        <v>0</v>
      </c>
      <c r="Q20" s="206">
        <f t="shared" si="6"/>
        <v>-1</v>
      </c>
      <c r="R20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20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111050</v>
      </c>
      <c r="T20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113050</v>
      </c>
      <c r="U20" s="208">
        <f ca="1">IF(Tabla336106734813[[#This Row],[Equity]]&lt;Tabla336106734813[[#This Row],[Equity Peak]],(Tabla336106734813[[#This Row],[Equity Peak]]-Tabla336106734813[[#This Row],[Equity]])/Tabla336106734813[[#This Row],[Equity Peak]],"")</f>
        <v>1.7691287041132243E-2</v>
      </c>
      <c r="V20" s="209">
        <f t="shared" si="7"/>
        <v>-1</v>
      </c>
      <c r="W20" s="209">
        <f t="shared" si="8"/>
        <v>0</v>
      </c>
      <c r="X20" s="209">
        <f t="shared" si="9"/>
        <v>0</v>
      </c>
      <c r="Y20" s="209">
        <f t="shared" si="10"/>
        <v>0</v>
      </c>
      <c r="Z20" s="209">
        <f t="shared" si="11"/>
        <v>0</v>
      </c>
      <c r="AA20" s="205">
        <f t="shared" si="12"/>
        <v>0</v>
      </c>
      <c r="AB20" s="209">
        <f t="shared" si="13"/>
        <v>0</v>
      </c>
      <c r="AC20" s="205">
        <f t="shared" si="14"/>
        <v>0</v>
      </c>
      <c r="AD20" s="210">
        <f t="shared" si="15"/>
        <v>2.2458333333343035</v>
      </c>
      <c r="AE20" s="210">
        <f t="shared" si="16"/>
        <v>0</v>
      </c>
      <c r="AF20" s="210">
        <f t="shared" si="17"/>
        <v>2.2458333333343035</v>
      </c>
      <c r="AG20" s="210">
        <f t="shared" si="18"/>
        <v>0</v>
      </c>
    </row>
    <row r="21" spans="2:33" ht="15" customHeight="1" x14ac:dyDescent="0.3">
      <c r="B21" s="196" t="s">
        <v>7</v>
      </c>
      <c r="C21" s="197" t="s">
        <v>15</v>
      </c>
      <c r="D21" s="198" t="str">
        <f t="shared" si="0"/>
        <v>C</v>
      </c>
      <c r="E21" s="199">
        <v>43798.5</v>
      </c>
      <c r="F21" s="200" t="s">
        <v>122</v>
      </c>
      <c r="G21" s="201">
        <v>74.251999999999995</v>
      </c>
      <c r="H21" s="201">
        <v>74.036000000000001</v>
      </c>
      <c r="I21" s="202">
        <f t="shared" si="1"/>
        <v>0.21599999999999397</v>
      </c>
      <c r="J21" s="201">
        <v>77.994</v>
      </c>
      <c r="K21" s="199">
        <v>43798.745138888888</v>
      </c>
      <c r="L21" s="201">
        <v>74.036000000000001</v>
      </c>
      <c r="M21" s="203">
        <f t="shared" si="2"/>
        <v>-0.216</v>
      </c>
      <c r="N21" s="204">
        <f t="shared" si="3"/>
        <v>-1</v>
      </c>
      <c r="O21" s="205">
        <f t="shared" si="4"/>
        <v>0</v>
      </c>
      <c r="P21" s="206">
        <f t="shared" si="5"/>
        <v>0</v>
      </c>
      <c r="Q21" s="206">
        <f t="shared" si="6"/>
        <v>-1</v>
      </c>
      <c r="R21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21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112050</v>
      </c>
      <c r="T21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113050</v>
      </c>
      <c r="U21" s="208">
        <f ca="1">IF(Tabla336106734813[[#This Row],[Equity]]&lt;Tabla336106734813[[#This Row],[Equity Peak]],(Tabla336106734813[[#This Row],[Equity Peak]]-Tabla336106734813[[#This Row],[Equity]])/Tabla336106734813[[#This Row],[Equity Peak]],"")</f>
        <v>8.8456435205661217E-3</v>
      </c>
      <c r="V21" s="209">
        <f t="shared" si="7"/>
        <v>-1</v>
      </c>
      <c r="W21" s="209">
        <f t="shared" si="8"/>
        <v>0</v>
      </c>
      <c r="X21" s="209">
        <f t="shared" si="9"/>
        <v>0</v>
      </c>
      <c r="Y21" s="209">
        <f t="shared" si="10"/>
        <v>0</v>
      </c>
      <c r="Z21" s="209">
        <f t="shared" si="11"/>
        <v>0</v>
      </c>
      <c r="AA21" s="205">
        <f t="shared" si="12"/>
        <v>0</v>
      </c>
      <c r="AB21" s="209">
        <f t="shared" si="13"/>
        <v>0</v>
      </c>
      <c r="AC21" s="205">
        <f t="shared" si="14"/>
        <v>0</v>
      </c>
      <c r="AD21" s="210">
        <f t="shared" si="15"/>
        <v>0.24513888888759539</v>
      </c>
      <c r="AE21" s="210">
        <f t="shared" si="16"/>
        <v>0</v>
      </c>
      <c r="AF21" s="210">
        <f t="shared" si="17"/>
        <v>0.24513888888759539</v>
      </c>
      <c r="AG21" s="210">
        <f t="shared" si="18"/>
        <v>0</v>
      </c>
    </row>
    <row r="22" spans="2:33" ht="15" customHeight="1" x14ac:dyDescent="0.3">
      <c r="B22" s="196" t="s">
        <v>7</v>
      </c>
      <c r="C22" s="197" t="s">
        <v>13</v>
      </c>
      <c r="D22" s="198" t="str">
        <f t="shared" si="0"/>
        <v>C</v>
      </c>
      <c r="E22" s="199">
        <v>43782.666666666664</v>
      </c>
      <c r="F22" s="200" t="s">
        <v>122</v>
      </c>
      <c r="G22" s="201">
        <v>74.284999999999997</v>
      </c>
      <c r="H22" s="201">
        <v>74.596999999999994</v>
      </c>
      <c r="I22" s="202">
        <f t="shared" si="1"/>
        <v>0.31199999999999761</v>
      </c>
      <c r="J22" s="201">
        <v>68.879000000000005</v>
      </c>
      <c r="K22" s="199">
        <v>43784.769444444442</v>
      </c>
      <c r="L22" s="201">
        <v>74.117999999999995</v>
      </c>
      <c r="M22" s="203">
        <f t="shared" si="2"/>
        <v>0.16700000000000001</v>
      </c>
      <c r="N22" s="204">
        <f t="shared" si="3"/>
        <v>0.54</v>
      </c>
      <c r="O22" s="205">
        <f t="shared" si="4"/>
        <v>0</v>
      </c>
      <c r="P22" s="206">
        <f t="shared" si="5"/>
        <v>0.54</v>
      </c>
      <c r="Q22" s="206">
        <f t="shared" si="6"/>
        <v>0</v>
      </c>
      <c r="R22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22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113050</v>
      </c>
      <c r="T22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113050</v>
      </c>
      <c r="U22" s="208" t="str">
        <f ca="1">IF(Tabla336106734813[[#This Row],[Equity]]&lt;Tabla336106734813[[#This Row],[Equity Peak]],(Tabla336106734813[[#This Row],[Equity Peak]]-Tabla336106734813[[#This Row],[Equity]])/Tabla336106734813[[#This Row],[Equity Peak]],"")</f>
        <v/>
      </c>
      <c r="V22" s="209">
        <f t="shared" si="7"/>
        <v>0.54</v>
      </c>
      <c r="W22" s="209">
        <f t="shared" si="8"/>
        <v>0</v>
      </c>
      <c r="X22" s="209">
        <f t="shared" si="9"/>
        <v>0</v>
      </c>
      <c r="Y22" s="209">
        <f t="shared" si="10"/>
        <v>0</v>
      </c>
      <c r="Z22" s="209">
        <f t="shared" si="11"/>
        <v>0</v>
      </c>
      <c r="AA22" s="205">
        <f t="shared" si="12"/>
        <v>0</v>
      </c>
      <c r="AB22" s="209">
        <f t="shared" si="13"/>
        <v>0</v>
      </c>
      <c r="AC22" s="205">
        <f t="shared" si="14"/>
        <v>0</v>
      </c>
      <c r="AD22" s="210">
        <f t="shared" si="15"/>
        <v>2.1027777777781012</v>
      </c>
      <c r="AE22" s="210">
        <f t="shared" si="16"/>
        <v>2.1027777777781012</v>
      </c>
      <c r="AF22" s="210">
        <f t="shared" si="17"/>
        <v>0</v>
      </c>
      <c r="AG22" s="210">
        <f t="shared" si="18"/>
        <v>0</v>
      </c>
    </row>
    <row r="23" spans="2:33" ht="15" customHeight="1" x14ac:dyDescent="0.3">
      <c r="B23" s="196" t="s">
        <v>7</v>
      </c>
      <c r="C23" s="197" t="s">
        <v>15</v>
      </c>
      <c r="D23" s="198" t="str">
        <f t="shared" si="0"/>
        <v>C</v>
      </c>
      <c r="E23" s="199">
        <v>43749.017361111109</v>
      </c>
      <c r="F23" s="200" t="s">
        <v>122</v>
      </c>
      <c r="G23" s="201">
        <v>72.900000000000006</v>
      </c>
      <c r="H23" s="201">
        <v>72.474000000000004</v>
      </c>
      <c r="I23" s="202">
        <f t="shared" si="1"/>
        <v>0.42600000000000193</v>
      </c>
      <c r="J23" s="201">
        <v>80.284000000000006</v>
      </c>
      <c r="K23" s="199">
        <v>43761.008333333331</v>
      </c>
      <c r="L23" s="201">
        <v>74.248000000000005</v>
      </c>
      <c r="M23" s="203">
        <f t="shared" si="2"/>
        <v>1.3480000000000001</v>
      </c>
      <c r="N23" s="204">
        <f t="shared" si="3"/>
        <v>3.16</v>
      </c>
      <c r="O23" s="205">
        <f t="shared" si="4"/>
        <v>0</v>
      </c>
      <c r="P23" s="206">
        <f t="shared" si="5"/>
        <v>3.16</v>
      </c>
      <c r="Q23" s="206">
        <f t="shared" si="6"/>
        <v>0</v>
      </c>
      <c r="R23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23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112510</v>
      </c>
      <c r="T23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112510</v>
      </c>
      <c r="U23" s="208" t="str">
        <f ca="1">IF(Tabla336106734813[[#This Row],[Equity]]&lt;Tabla336106734813[[#This Row],[Equity Peak]],(Tabla336106734813[[#This Row],[Equity Peak]]-Tabla336106734813[[#This Row],[Equity]])/Tabla336106734813[[#This Row],[Equity Peak]],"")</f>
        <v/>
      </c>
      <c r="V23" s="209">
        <f t="shared" si="7"/>
        <v>3.16</v>
      </c>
      <c r="W23" s="209">
        <f t="shared" si="8"/>
        <v>0</v>
      </c>
      <c r="X23" s="209">
        <f t="shared" si="9"/>
        <v>0</v>
      </c>
      <c r="Y23" s="209">
        <f t="shared" si="10"/>
        <v>0</v>
      </c>
      <c r="Z23" s="209">
        <f t="shared" si="11"/>
        <v>0</v>
      </c>
      <c r="AA23" s="205">
        <f t="shared" si="12"/>
        <v>0</v>
      </c>
      <c r="AB23" s="209">
        <f t="shared" si="13"/>
        <v>0</v>
      </c>
      <c r="AC23" s="205">
        <f t="shared" si="14"/>
        <v>0</v>
      </c>
      <c r="AD23" s="210">
        <f t="shared" si="15"/>
        <v>11.990972222221899</v>
      </c>
      <c r="AE23" s="210">
        <f t="shared" si="16"/>
        <v>11.990972222221899</v>
      </c>
      <c r="AF23" s="210">
        <f t="shared" si="17"/>
        <v>0</v>
      </c>
      <c r="AG23" s="210">
        <f t="shared" si="18"/>
        <v>0</v>
      </c>
    </row>
    <row r="24" spans="2:33" ht="15" customHeight="1" x14ac:dyDescent="0.3">
      <c r="B24" s="196" t="s">
        <v>7</v>
      </c>
      <c r="C24" s="197" t="s">
        <v>13</v>
      </c>
      <c r="D24" s="198" t="str">
        <f t="shared" si="0"/>
        <v>C</v>
      </c>
      <c r="E24" s="199">
        <v>43731.017361111109</v>
      </c>
      <c r="F24" s="200" t="s">
        <v>122</v>
      </c>
      <c r="G24" s="201">
        <v>72.944000000000003</v>
      </c>
      <c r="H24" s="201">
        <v>73.316000000000003</v>
      </c>
      <c r="I24" s="202">
        <f t="shared" si="1"/>
        <v>0.37199999999999989</v>
      </c>
      <c r="J24" s="201">
        <v>66.494</v>
      </c>
      <c r="K24" s="199">
        <v>43732.606944444444</v>
      </c>
      <c r="L24" s="201">
        <v>73.271000000000001</v>
      </c>
      <c r="M24" s="203">
        <f t="shared" si="2"/>
        <v>-0.32700000000000001</v>
      </c>
      <c r="N24" s="204">
        <f t="shared" si="3"/>
        <v>-0.88</v>
      </c>
      <c r="O24" s="205">
        <f t="shared" si="4"/>
        <v>0</v>
      </c>
      <c r="P24" s="206">
        <f t="shared" si="5"/>
        <v>0</v>
      </c>
      <c r="Q24" s="206">
        <f t="shared" si="6"/>
        <v>-0.88</v>
      </c>
      <c r="R24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24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109350</v>
      </c>
      <c r="T24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110230</v>
      </c>
      <c r="U24" s="208">
        <f ca="1">IF(Tabla336106734813[[#This Row],[Equity]]&lt;Tabla336106734813[[#This Row],[Equity Peak]],(Tabla336106734813[[#This Row],[Equity Peak]]-Tabla336106734813[[#This Row],[Equity]])/Tabla336106734813[[#This Row],[Equity Peak]],"")</f>
        <v>7.9833076295019508E-3</v>
      </c>
      <c r="V24" s="209">
        <f t="shared" si="7"/>
        <v>-0.88</v>
      </c>
      <c r="W24" s="209">
        <f t="shared" si="8"/>
        <v>0</v>
      </c>
      <c r="X24" s="209">
        <f t="shared" si="9"/>
        <v>0</v>
      </c>
      <c r="Y24" s="209">
        <f t="shared" si="10"/>
        <v>0</v>
      </c>
      <c r="Z24" s="209">
        <f t="shared" si="11"/>
        <v>0</v>
      </c>
      <c r="AA24" s="205">
        <f t="shared" si="12"/>
        <v>0</v>
      </c>
      <c r="AB24" s="209">
        <f t="shared" si="13"/>
        <v>0</v>
      </c>
      <c r="AC24" s="205">
        <f t="shared" si="14"/>
        <v>0</v>
      </c>
      <c r="AD24" s="210">
        <f t="shared" si="15"/>
        <v>1.5895833333343035</v>
      </c>
      <c r="AE24" s="210">
        <f t="shared" si="16"/>
        <v>0</v>
      </c>
      <c r="AF24" s="210">
        <f t="shared" si="17"/>
        <v>1.5895833333343035</v>
      </c>
      <c r="AG24" s="210">
        <f t="shared" si="18"/>
        <v>0</v>
      </c>
    </row>
    <row r="25" spans="2:33" ht="15" customHeight="1" x14ac:dyDescent="0.3">
      <c r="B25" s="196" t="s">
        <v>7</v>
      </c>
      <c r="C25" s="197" t="s">
        <v>15</v>
      </c>
      <c r="D25" s="198" t="str">
        <f t="shared" ref="D25:D39" si="19">IF(E25&lt;&gt;"",IF(K25&lt;&gt;"","C","O"),"")</f>
        <v>C</v>
      </c>
      <c r="E25" s="199">
        <v>43713.017361111109</v>
      </c>
      <c r="F25" s="200" t="s">
        <v>122</v>
      </c>
      <c r="G25" s="201">
        <v>72.269000000000005</v>
      </c>
      <c r="H25" s="201">
        <v>71.926000000000002</v>
      </c>
      <c r="I25" s="202">
        <f t="shared" ref="I25:I39" si="20">ABS(G25-H25)</f>
        <v>0.34300000000000352</v>
      </c>
      <c r="J25" s="201">
        <v>78.213999999999999</v>
      </c>
      <c r="K25" s="199">
        <v>43724</v>
      </c>
      <c r="L25" s="201">
        <v>73.84</v>
      </c>
      <c r="M25" s="203">
        <f t="shared" ref="M25:M39" si="21">ROUND(IF(C25="L",(L25-G25),(G25-L25)),4)</f>
        <v>1.571</v>
      </c>
      <c r="N25" s="204">
        <f t="shared" ref="N25:N39" si="22">IFERROR(ROUND((M25/I25),2),"")</f>
        <v>4.58</v>
      </c>
      <c r="O25" s="205">
        <f t="shared" ref="O25:O39" si="23">IF(D25="O",IF(N25&lt;0,N25,0),0)</f>
        <v>0</v>
      </c>
      <c r="P25" s="206">
        <f t="shared" ref="P25:P39" si="24">IF(N25&gt;= 0,N25,0)</f>
        <v>4.58</v>
      </c>
      <c r="Q25" s="206">
        <f t="shared" ref="Q25:Q39" si="25">IF(N25&lt;0,N25,0)</f>
        <v>0</v>
      </c>
      <c r="R25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25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110230</v>
      </c>
      <c r="T25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110230</v>
      </c>
      <c r="U25" s="208" t="str">
        <f ca="1">IF(Tabla336106734813[[#This Row],[Equity]]&lt;Tabla336106734813[[#This Row],[Equity Peak]],(Tabla336106734813[[#This Row],[Equity Peak]]-Tabla336106734813[[#This Row],[Equity]])/Tabla336106734813[[#This Row],[Equity Peak]],"")</f>
        <v/>
      </c>
      <c r="V25" s="209">
        <f t="shared" ref="V25:V39" si="26">IF(B25="FX",N25,0)</f>
        <v>4.58</v>
      </c>
      <c r="W25" s="209">
        <f t="shared" ref="W25:W39" si="27">IF(D25="O",IF(V25&lt;0,V25,0),0)</f>
        <v>0</v>
      </c>
      <c r="X25" s="209">
        <f t="shared" ref="X25:X39" si="28">IF(B25="COM",N25,0)</f>
        <v>0</v>
      </c>
      <c r="Y25" s="209">
        <f t="shared" ref="Y25:Y39" si="29">IF(D25="O",IF(X25&lt;0,X25,0),0)</f>
        <v>0</v>
      </c>
      <c r="Z25" s="209">
        <f t="shared" ref="Z25:Z39" si="30">IF(B25="IND",N25,0)</f>
        <v>0</v>
      </c>
      <c r="AA25" s="205">
        <f t="shared" ref="AA25:AA39" si="31">IF(D25="O",IF(Z25&lt;0,Z25,0),0)</f>
        <v>0</v>
      </c>
      <c r="AB25" s="209">
        <f t="shared" ref="AB25:AB39" si="32">IF(B25="CRYPTO",N25,0)</f>
        <v>0</v>
      </c>
      <c r="AC25" s="205">
        <f t="shared" ref="AC25:AC39" si="33">IF(D25="O",IF(AB25&lt;0,AB25,0),0)</f>
        <v>0</v>
      </c>
      <c r="AD25" s="210">
        <f t="shared" ref="AD25:AD39" si="34">IF(K25&lt;&gt;"",K25-E25,0)</f>
        <v>10.982638888890506</v>
      </c>
      <c r="AE25" s="210">
        <f t="shared" ref="AE25:AE39" si="35">IF(N25&gt;0,AD25,0)</f>
        <v>10.982638888890506</v>
      </c>
      <c r="AF25" s="210">
        <f t="shared" ref="AF25:AF39" si="36">IF(N25&lt;0,AD25,0)</f>
        <v>0</v>
      </c>
      <c r="AG25" s="210">
        <f t="shared" ref="AG25:AG39" si="37">IF(N25=0,AD25,0)</f>
        <v>0</v>
      </c>
    </row>
    <row r="26" spans="2:33" ht="15" customHeight="1" x14ac:dyDescent="0.3">
      <c r="B26" s="196" t="s">
        <v>7</v>
      </c>
      <c r="C26" s="197" t="s">
        <v>13</v>
      </c>
      <c r="D26" s="198" t="str">
        <f t="shared" si="19"/>
        <v>C</v>
      </c>
      <c r="E26" s="199">
        <v>43670.666666666664</v>
      </c>
      <c r="F26" s="200" t="s">
        <v>122</v>
      </c>
      <c r="G26" s="201">
        <v>75.409000000000006</v>
      </c>
      <c r="H26" s="201">
        <v>75.67</v>
      </c>
      <c r="I26" s="202">
        <f t="shared" si="20"/>
        <v>0.26099999999999568</v>
      </c>
      <c r="J26" s="201">
        <v>70.887</v>
      </c>
      <c r="K26" s="199">
        <v>43683.277083333334</v>
      </c>
      <c r="L26" s="201">
        <v>72.712999999999994</v>
      </c>
      <c r="M26" s="203">
        <f t="shared" si="21"/>
        <v>2.6960000000000002</v>
      </c>
      <c r="N26" s="204">
        <f t="shared" si="22"/>
        <v>10.33</v>
      </c>
      <c r="O26" s="205">
        <f t="shared" si="23"/>
        <v>0</v>
      </c>
      <c r="P26" s="206">
        <f t="shared" si="24"/>
        <v>10.33</v>
      </c>
      <c r="Q26" s="206">
        <f t="shared" si="25"/>
        <v>0</v>
      </c>
      <c r="R26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26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105650</v>
      </c>
      <c r="T26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105650</v>
      </c>
      <c r="U26" s="208" t="str">
        <f ca="1">IF(Tabla336106734813[[#This Row],[Equity]]&lt;Tabla336106734813[[#This Row],[Equity Peak]],(Tabla336106734813[[#This Row],[Equity Peak]]-Tabla336106734813[[#This Row],[Equity]])/Tabla336106734813[[#This Row],[Equity Peak]],"")</f>
        <v/>
      </c>
      <c r="V26" s="209">
        <f t="shared" si="26"/>
        <v>10.33</v>
      </c>
      <c r="W26" s="209">
        <f t="shared" si="27"/>
        <v>0</v>
      </c>
      <c r="X26" s="209">
        <f t="shared" si="28"/>
        <v>0</v>
      </c>
      <c r="Y26" s="209">
        <f t="shared" si="29"/>
        <v>0</v>
      </c>
      <c r="Z26" s="209">
        <f t="shared" si="30"/>
        <v>0</v>
      </c>
      <c r="AA26" s="205">
        <f t="shared" si="31"/>
        <v>0</v>
      </c>
      <c r="AB26" s="209">
        <f t="shared" si="32"/>
        <v>0</v>
      </c>
      <c r="AC26" s="205">
        <f t="shared" si="33"/>
        <v>0</v>
      </c>
      <c r="AD26" s="210">
        <f t="shared" si="34"/>
        <v>12.610416666670062</v>
      </c>
      <c r="AE26" s="210">
        <f t="shared" si="35"/>
        <v>12.610416666670062</v>
      </c>
      <c r="AF26" s="210">
        <f t="shared" si="36"/>
        <v>0</v>
      </c>
      <c r="AG26" s="210">
        <f t="shared" si="37"/>
        <v>0</v>
      </c>
    </row>
    <row r="27" spans="2:33" ht="15" customHeight="1" x14ac:dyDescent="0.3">
      <c r="B27" s="196" t="s">
        <v>7</v>
      </c>
      <c r="C27" s="197" t="s">
        <v>15</v>
      </c>
      <c r="D27" s="198" t="str">
        <f t="shared" si="19"/>
        <v>C</v>
      </c>
      <c r="E27" s="199">
        <v>43643.166666666664</v>
      </c>
      <c r="F27" s="200" t="s">
        <v>122</v>
      </c>
      <c r="G27" s="201">
        <v>75.296000000000006</v>
      </c>
      <c r="H27" s="201">
        <v>74.97</v>
      </c>
      <c r="I27" s="202">
        <f t="shared" si="20"/>
        <v>0.32600000000000762</v>
      </c>
      <c r="J27" s="201">
        <v>80.944999999999993</v>
      </c>
      <c r="K27" s="199">
        <v>43648.777083333334</v>
      </c>
      <c r="L27" s="201">
        <v>75.372</v>
      </c>
      <c r="M27" s="203">
        <f t="shared" si="21"/>
        <v>7.5999999999999998E-2</v>
      </c>
      <c r="N27" s="204">
        <f t="shared" si="22"/>
        <v>0.23</v>
      </c>
      <c r="O27" s="205">
        <f t="shared" si="23"/>
        <v>0</v>
      </c>
      <c r="P27" s="206">
        <f t="shared" si="24"/>
        <v>0.23</v>
      </c>
      <c r="Q27" s="206">
        <f t="shared" si="25"/>
        <v>0</v>
      </c>
      <c r="R27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27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95320</v>
      </c>
      <c r="T27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100000</v>
      </c>
      <c r="U27" s="208">
        <f ca="1">IF(Tabla336106734813[[#This Row],[Equity]]&lt;Tabla336106734813[[#This Row],[Equity Peak]],(Tabla336106734813[[#This Row],[Equity Peak]]-Tabla336106734813[[#This Row],[Equity]])/Tabla336106734813[[#This Row],[Equity Peak]],"")</f>
        <v>4.6800000000000001E-2</v>
      </c>
      <c r="V27" s="209">
        <f t="shared" si="26"/>
        <v>0.23</v>
      </c>
      <c r="W27" s="209">
        <f t="shared" si="27"/>
        <v>0</v>
      </c>
      <c r="X27" s="209">
        <f t="shared" si="28"/>
        <v>0</v>
      </c>
      <c r="Y27" s="209">
        <f t="shared" si="29"/>
        <v>0</v>
      </c>
      <c r="Z27" s="209">
        <f t="shared" si="30"/>
        <v>0</v>
      </c>
      <c r="AA27" s="205">
        <f t="shared" si="31"/>
        <v>0</v>
      </c>
      <c r="AB27" s="209">
        <f t="shared" si="32"/>
        <v>0</v>
      </c>
      <c r="AC27" s="205">
        <f t="shared" si="33"/>
        <v>0</v>
      </c>
      <c r="AD27" s="210">
        <f t="shared" si="34"/>
        <v>5.6104166666700621</v>
      </c>
      <c r="AE27" s="210">
        <f t="shared" si="35"/>
        <v>5.6104166666700621</v>
      </c>
      <c r="AF27" s="210">
        <f t="shared" si="36"/>
        <v>0</v>
      </c>
      <c r="AG27" s="210">
        <f t="shared" si="37"/>
        <v>0</v>
      </c>
    </row>
    <row r="28" spans="2:33" ht="15" customHeight="1" x14ac:dyDescent="0.3">
      <c r="B28" s="196" t="s">
        <v>7</v>
      </c>
      <c r="C28" s="197" t="s">
        <v>13</v>
      </c>
      <c r="D28" s="198" t="str">
        <f t="shared" si="19"/>
        <v>C</v>
      </c>
      <c r="E28" s="199">
        <v>43578.833333333336</v>
      </c>
      <c r="F28" s="200" t="s">
        <v>122</v>
      </c>
      <c r="G28" s="201">
        <v>79.313000000000002</v>
      </c>
      <c r="H28" s="201">
        <v>79.540000000000006</v>
      </c>
      <c r="I28" s="202">
        <f t="shared" si="20"/>
        <v>0.22700000000000387</v>
      </c>
      <c r="J28" s="201">
        <v>75.373999999999995</v>
      </c>
      <c r="K28" s="199">
        <v>43584.769444444442</v>
      </c>
      <c r="L28" s="201">
        <v>78.906999999999996</v>
      </c>
      <c r="M28" s="203">
        <f t="shared" si="21"/>
        <v>0.40600000000000003</v>
      </c>
      <c r="N28" s="204">
        <f t="shared" si="22"/>
        <v>1.79</v>
      </c>
      <c r="O28" s="205">
        <f t="shared" si="23"/>
        <v>0</v>
      </c>
      <c r="P28" s="206">
        <f t="shared" si="24"/>
        <v>1.79</v>
      </c>
      <c r="Q28" s="206">
        <f t="shared" si="25"/>
        <v>0</v>
      </c>
      <c r="R28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28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95090</v>
      </c>
      <c r="T28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100000</v>
      </c>
      <c r="U28" s="208">
        <f ca="1">IF(Tabla336106734813[[#This Row],[Equity]]&lt;Tabla336106734813[[#This Row],[Equity Peak]],(Tabla336106734813[[#This Row],[Equity Peak]]-Tabla336106734813[[#This Row],[Equity]])/Tabla336106734813[[#This Row],[Equity Peak]],"")</f>
        <v>4.9099999999999998E-2</v>
      </c>
      <c r="V28" s="209">
        <f t="shared" si="26"/>
        <v>1.79</v>
      </c>
      <c r="W28" s="209">
        <f t="shared" si="27"/>
        <v>0</v>
      </c>
      <c r="X28" s="209">
        <f t="shared" si="28"/>
        <v>0</v>
      </c>
      <c r="Y28" s="209">
        <f t="shared" si="29"/>
        <v>0</v>
      </c>
      <c r="Z28" s="209">
        <f t="shared" si="30"/>
        <v>0</v>
      </c>
      <c r="AA28" s="205">
        <f t="shared" si="31"/>
        <v>0</v>
      </c>
      <c r="AB28" s="209">
        <f t="shared" si="32"/>
        <v>0</v>
      </c>
      <c r="AC28" s="205">
        <f t="shared" si="33"/>
        <v>0</v>
      </c>
      <c r="AD28" s="210">
        <f t="shared" si="34"/>
        <v>5.9361111111065838</v>
      </c>
      <c r="AE28" s="210">
        <f t="shared" si="35"/>
        <v>5.9361111111065838</v>
      </c>
      <c r="AF28" s="210">
        <f t="shared" si="36"/>
        <v>0</v>
      </c>
      <c r="AG28" s="210">
        <f t="shared" si="37"/>
        <v>0</v>
      </c>
    </row>
    <row r="29" spans="2:33" ht="15" customHeight="1" x14ac:dyDescent="0.3">
      <c r="B29" s="196" t="s">
        <v>7</v>
      </c>
      <c r="C29" s="197" t="s">
        <v>15</v>
      </c>
      <c r="D29" s="198" t="str">
        <f t="shared" si="19"/>
        <v>C</v>
      </c>
      <c r="E29" s="199">
        <v>43567.5</v>
      </c>
      <c r="F29" s="200" t="s">
        <v>122</v>
      </c>
      <c r="G29" s="201">
        <v>80.123999999999995</v>
      </c>
      <c r="H29" s="201">
        <v>79.783000000000001</v>
      </c>
      <c r="I29" s="202">
        <f t="shared" si="20"/>
        <v>0.34099999999999397</v>
      </c>
      <c r="J29" s="201">
        <v>86.037000000000006</v>
      </c>
      <c r="K29" s="199">
        <v>43571.277083333334</v>
      </c>
      <c r="L29" s="201">
        <v>79.903999999999996</v>
      </c>
      <c r="M29" s="203">
        <f t="shared" si="21"/>
        <v>-0.22</v>
      </c>
      <c r="N29" s="204">
        <f t="shared" si="22"/>
        <v>-0.65</v>
      </c>
      <c r="O29" s="205">
        <f t="shared" si="23"/>
        <v>0</v>
      </c>
      <c r="P29" s="206">
        <f t="shared" si="24"/>
        <v>0</v>
      </c>
      <c r="Q29" s="206">
        <f t="shared" si="25"/>
        <v>-0.65</v>
      </c>
      <c r="R29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29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93300</v>
      </c>
      <c r="T29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100000</v>
      </c>
      <c r="U29" s="208">
        <f ca="1">IF(Tabla336106734813[[#This Row],[Equity]]&lt;Tabla336106734813[[#This Row],[Equity Peak]],(Tabla336106734813[[#This Row],[Equity Peak]]-Tabla336106734813[[#This Row],[Equity]])/Tabla336106734813[[#This Row],[Equity Peak]],"")</f>
        <v>6.7000000000000004E-2</v>
      </c>
      <c r="V29" s="209">
        <f t="shared" si="26"/>
        <v>-0.65</v>
      </c>
      <c r="W29" s="209">
        <f t="shared" si="27"/>
        <v>0</v>
      </c>
      <c r="X29" s="209">
        <f t="shared" si="28"/>
        <v>0</v>
      </c>
      <c r="Y29" s="209">
        <f t="shared" si="29"/>
        <v>0</v>
      </c>
      <c r="Z29" s="209">
        <f t="shared" si="30"/>
        <v>0</v>
      </c>
      <c r="AA29" s="205">
        <f t="shared" si="31"/>
        <v>0</v>
      </c>
      <c r="AB29" s="209">
        <f t="shared" si="32"/>
        <v>0</v>
      </c>
      <c r="AC29" s="205">
        <f t="shared" si="33"/>
        <v>0</v>
      </c>
      <c r="AD29" s="210">
        <f t="shared" si="34"/>
        <v>3.7770833333343035</v>
      </c>
      <c r="AE29" s="210">
        <f t="shared" si="35"/>
        <v>0</v>
      </c>
      <c r="AF29" s="210">
        <f t="shared" si="36"/>
        <v>3.7770833333343035</v>
      </c>
      <c r="AG29" s="210">
        <f t="shared" si="37"/>
        <v>0</v>
      </c>
    </row>
    <row r="30" spans="2:33" ht="15" customHeight="1" x14ac:dyDescent="0.3">
      <c r="B30" s="196" t="s">
        <v>7</v>
      </c>
      <c r="C30" s="197" t="s">
        <v>15</v>
      </c>
      <c r="D30" s="198" t="str">
        <f t="shared" si="19"/>
        <v>C</v>
      </c>
      <c r="E30" s="199">
        <v>43556.333333333336</v>
      </c>
      <c r="F30" s="200" t="s">
        <v>122</v>
      </c>
      <c r="G30" s="201">
        <v>79.048000000000002</v>
      </c>
      <c r="H30" s="201">
        <v>78.653000000000006</v>
      </c>
      <c r="I30" s="202">
        <f t="shared" si="20"/>
        <v>0.39499999999999602</v>
      </c>
      <c r="J30" s="201">
        <v>85.900999999999996</v>
      </c>
      <c r="K30" s="199">
        <v>43557.744444444441</v>
      </c>
      <c r="L30" s="201">
        <v>78.653999999999996</v>
      </c>
      <c r="M30" s="203">
        <f t="shared" si="21"/>
        <v>-0.39400000000000002</v>
      </c>
      <c r="N30" s="204">
        <f t="shared" si="22"/>
        <v>-1</v>
      </c>
      <c r="O30" s="205">
        <f t="shared" si="23"/>
        <v>0</v>
      </c>
      <c r="P30" s="206">
        <f t="shared" si="24"/>
        <v>0</v>
      </c>
      <c r="Q30" s="206">
        <f t="shared" si="25"/>
        <v>-1</v>
      </c>
      <c r="R30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30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93950</v>
      </c>
      <c r="T30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100000</v>
      </c>
      <c r="U30" s="208">
        <f ca="1">IF(Tabla336106734813[[#This Row],[Equity]]&lt;Tabla336106734813[[#This Row],[Equity Peak]],(Tabla336106734813[[#This Row],[Equity Peak]]-Tabla336106734813[[#This Row],[Equity]])/Tabla336106734813[[#This Row],[Equity Peak]],"")</f>
        <v>6.0499999999999998E-2</v>
      </c>
      <c r="V30" s="209">
        <f t="shared" si="26"/>
        <v>-1</v>
      </c>
      <c r="W30" s="209">
        <f t="shared" si="27"/>
        <v>0</v>
      </c>
      <c r="X30" s="209">
        <f t="shared" si="28"/>
        <v>0</v>
      </c>
      <c r="Y30" s="209">
        <f t="shared" si="29"/>
        <v>0</v>
      </c>
      <c r="Z30" s="209">
        <f t="shared" si="30"/>
        <v>0</v>
      </c>
      <c r="AA30" s="205">
        <f t="shared" si="31"/>
        <v>0</v>
      </c>
      <c r="AB30" s="209">
        <f t="shared" si="32"/>
        <v>0</v>
      </c>
      <c r="AC30" s="205">
        <f t="shared" si="33"/>
        <v>0</v>
      </c>
      <c r="AD30" s="210">
        <f t="shared" si="34"/>
        <v>1.4111111111051287</v>
      </c>
      <c r="AE30" s="210">
        <f t="shared" si="35"/>
        <v>0</v>
      </c>
      <c r="AF30" s="210">
        <f t="shared" si="36"/>
        <v>1.4111111111051287</v>
      </c>
      <c r="AG30" s="210">
        <f t="shared" si="37"/>
        <v>0</v>
      </c>
    </row>
    <row r="31" spans="2:33" ht="15" customHeight="1" x14ac:dyDescent="0.3">
      <c r="B31" s="196" t="s">
        <v>7</v>
      </c>
      <c r="C31" s="197" t="s">
        <v>13</v>
      </c>
      <c r="D31" s="198" t="str">
        <f t="shared" si="19"/>
        <v>C</v>
      </c>
      <c r="E31" s="199">
        <v>43546.017361111109</v>
      </c>
      <c r="F31" s="200" t="s">
        <v>122</v>
      </c>
      <c r="G31" s="201">
        <v>78.846999999999994</v>
      </c>
      <c r="H31" s="201">
        <v>79.302000000000007</v>
      </c>
      <c r="I31" s="202">
        <f t="shared" si="20"/>
        <v>0.45500000000001251</v>
      </c>
      <c r="J31" s="201">
        <v>70.962999999999994</v>
      </c>
      <c r="K31" s="199">
        <v>43550.442361111112</v>
      </c>
      <c r="L31" s="201">
        <v>78.569000000000003</v>
      </c>
      <c r="M31" s="203">
        <f t="shared" si="21"/>
        <v>0.27800000000000002</v>
      </c>
      <c r="N31" s="204">
        <f t="shared" si="22"/>
        <v>0.61</v>
      </c>
      <c r="O31" s="205">
        <f t="shared" si="23"/>
        <v>0</v>
      </c>
      <c r="P31" s="206">
        <f t="shared" si="24"/>
        <v>0.61</v>
      </c>
      <c r="Q31" s="206">
        <f t="shared" si="25"/>
        <v>0</v>
      </c>
      <c r="R31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31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94950</v>
      </c>
      <c r="T31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100000</v>
      </c>
      <c r="U31" s="208">
        <f ca="1">IF(Tabla336106734813[[#This Row],[Equity]]&lt;Tabla336106734813[[#This Row],[Equity Peak]],(Tabla336106734813[[#This Row],[Equity Peak]]-Tabla336106734813[[#This Row],[Equity]])/Tabla336106734813[[#This Row],[Equity Peak]],"")</f>
        <v>5.0500000000000003E-2</v>
      </c>
      <c r="V31" s="209">
        <f t="shared" si="26"/>
        <v>0.61</v>
      </c>
      <c r="W31" s="209">
        <f t="shared" si="27"/>
        <v>0</v>
      </c>
      <c r="X31" s="209">
        <f t="shared" si="28"/>
        <v>0</v>
      </c>
      <c r="Y31" s="209">
        <f t="shared" si="29"/>
        <v>0</v>
      </c>
      <c r="Z31" s="209">
        <f t="shared" si="30"/>
        <v>0</v>
      </c>
      <c r="AA31" s="205">
        <f t="shared" si="31"/>
        <v>0</v>
      </c>
      <c r="AB31" s="209">
        <f t="shared" si="32"/>
        <v>0</v>
      </c>
      <c r="AC31" s="205">
        <f t="shared" si="33"/>
        <v>0</v>
      </c>
      <c r="AD31" s="210">
        <f t="shared" si="34"/>
        <v>4.4250000000029104</v>
      </c>
      <c r="AE31" s="210">
        <f t="shared" si="35"/>
        <v>4.4250000000029104</v>
      </c>
      <c r="AF31" s="210">
        <f t="shared" si="36"/>
        <v>0</v>
      </c>
      <c r="AG31" s="210">
        <f t="shared" si="37"/>
        <v>0</v>
      </c>
    </row>
    <row r="32" spans="2:33" ht="15" customHeight="1" x14ac:dyDescent="0.3">
      <c r="B32" s="196" t="s">
        <v>7</v>
      </c>
      <c r="C32" s="197" t="s">
        <v>15</v>
      </c>
      <c r="D32" s="198" t="str">
        <f t="shared" si="19"/>
        <v>C</v>
      </c>
      <c r="E32" s="199">
        <v>43539.017361111109</v>
      </c>
      <c r="F32" s="200" t="s">
        <v>122</v>
      </c>
      <c r="G32" s="201">
        <v>78.885999999999996</v>
      </c>
      <c r="H32" s="201">
        <v>78.516000000000005</v>
      </c>
      <c r="I32" s="202">
        <f t="shared" si="20"/>
        <v>0.36999999999999034</v>
      </c>
      <c r="J32" s="201">
        <v>85.296999999999997</v>
      </c>
      <c r="K32" s="199">
        <v>43544.943055555559</v>
      </c>
      <c r="L32" s="201">
        <v>78.747</v>
      </c>
      <c r="M32" s="203">
        <f t="shared" si="21"/>
        <v>-0.13900000000000001</v>
      </c>
      <c r="N32" s="204">
        <f t="shared" si="22"/>
        <v>-0.38</v>
      </c>
      <c r="O32" s="205">
        <f t="shared" si="23"/>
        <v>0</v>
      </c>
      <c r="P32" s="206">
        <f t="shared" si="24"/>
        <v>0</v>
      </c>
      <c r="Q32" s="206">
        <f t="shared" si="25"/>
        <v>-0.38</v>
      </c>
      <c r="R32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32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94340</v>
      </c>
      <c r="T32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100000</v>
      </c>
      <c r="U32" s="208">
        <f ca="1">IF(Tabla336106734813[[#This Row],[Equity]]&lt;Tabla336106734813[[#This Row],[Equity Peak]],(Tabla336106734813[[#This Row],[Equity Peak]]-Tabla336106734813[[#This Row],[Equity]])/Tabla336106734813[[#This Row],[Equity Peak]],"")</f>
        <v>5.6599999999999998E-2</v>
      </c>
      <c r="V32" s="209">
        <f t="shared" si="26"/>
        <v>-0.38</v>
      </c>
      <c r="W32" s="209">
        <f t="shared" si="27"/>
        <v>0</v>
      </c>
      <c r="X32" s="209">
        <f t="shared" si="28"/>
        <v>0</v>
      </c>
      <c r="Y32" s="209">
        <f t="shared" si="29"/>
        <v>0</v>
      </c>
      <c r="Z32" s="209">
        <f t="shared" si="30"/>
        <v>0</v>
      </c>
      <c r="AA32" s="205">
        <f t="shared" si="31"/>
        <v>0</v>
      </c>
      <c r="AB32" s="209">
        <f t="shared" si="32"/>
        <v>0</v>
      </c>
      <c r="AC32" s="205">
        <f t="shared" si="33"/>
        <v>0</v>
      </c>
      <c r="AD32" s="210">
        <f t="shared" si="34"/>
        <v>5.9256944444496185</v>
      </c>
      <c r="AE32" s="210">
        <f t="shared" si="35"/>
        <v>0</v>
      </c>
      <c r="AF32" s="210">
        <f t="shared" si="36"/>
        <v>5.9256944444496185</v>
      </c>
      <c r="AG32" s="210">
        <f t="shared" si="37"/>
        <v>0</v>
      </c>
    </row>
    <row r="33" spans="2:33" ht="15" customHeight="1" x14ac:dyDescent="0.3">
      <c r="B33" s="196" t="s">
        <v>7</v>
      </c>
      <c r="C33" s="197" t="s">
        <v>13</v>
      </c>
      <c r="D33" s="198" t="str">
        <f t="shared" si="19"/>
        <v>C</v>
      </c>
      <c r="E33" s="199">
        <v>43530.666666666664</v>
      </c>
      <c r="F33" s="200" t="s">
        <v>122</v>
      </c>
      <c r="G33" s="201">
        <v>78.653000000000006</v>
      </c>
      <c r="H33" s="201">
        <v>79.034000000000006</v>
      </c>
      <c r="I33" s="202">
        <f t="shared" si="20"/>
        <v>0.38100000000000023</v>
      </c>
      <c r="J33" s="201">
        <v>72.043000000000006</v>
      </c>
      <c r="K33" s="199">
        <v>43535.886111111111</v>
      </c>
      <c r="L33" s="201">
        <v>78.561999999999998</v>
      </c>
      <c r="M33" s="203">
        <f t="shared" si="21"/>
        <v>9.0999999999999998E-2</v>
      </c>
      <c r="N33" s="204">
        <f t="shared" si="22"/>
        <v>0.24</v>
      </c>
      <c r="O33" s="205">
        <f t="shared" si="23"/>
        <v>0</v>
      </c>
      <c r="P33" s="206">
        <f t="shared" si="24"/>
        <v>0.24</v>
      </c>
      <c r="Q33" s="206">
        <f t="shared" si="25"/>
        <v>0</v>
      </c>
      <c r="R33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No</v>
      </c>
      <c r="S33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94720</v>
      </c>
      <c r="T33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100000</v>
      </c>
      <c r="U33" s="208">
        <f ca="1">IF(Tabla336106734813[[#This Row],[Equity]]&lt;Tabla336106734813[[#This Row],[Equity Peak]],(Tabla336106734813[[#This Row],[Equity Peak]]-Tabla336106734813[[#This Row],[Equity]])/Tabla336106734813[[#This Row],[Equity Peak]],"")</f>
        <v>5.28E-2</v>
      </c>
      <c r="V33" s="209">
        <f t="shared" si="26"/>
        <v>0.24</v>
      </c>
      <c r="W33" s="209">
        <f t="shared" si="27"/>
        <v>0</v>
      </c>
      <c r="X33" s="209">
        <f t="shared" si="28"/>
        <v>0</v>
      </c>
      <c r="Y33" s="209">
        <f t="shared" si="29"/>
        <v>0</v>
      </c>
      <c r="Z33" s="209">
        <f t="shared" si="30"/>
        <v>0</v>
      </c>
      <c r="AA33" s="205">
        <f t="shared" si="31"/>
        <v>0</v>
      </c>
      <c r="AB33" s="209">
        <f t="shared" si="32"/>
        <v>0</v>
      </c>
      <c r="AC33" s="205">
        <f t="shared" si="33"/>
        <v>0</v>
      </c>
      <c r="AD33" s="210">
        <f t="shared" si="34"/>
        <v>5.2194444444467081</v>
      </c>
      <c r="AE33" s="210">
        <f t="shared" si="35"/>
        <v>5.2194444444467081</v>
      </c>
      <c r="AF33" s="210">
        <f t="shared" si="36"/>
        <v>0</v>
      </c>
      <c r="AG33" s="210">
        <f t="shared" si="37"/>
        <v>0</v>
      </c>
    </row>
    <row r="34" spans="2:33" ht="15" customHeight="1" x14ac:dyDescent="0.3">
      <c r="B34" s="196" t="s">
        <v>7</v>
      </c>
      <c r="C34" s="197" t="s">
        <v>15</v>
      </c>
      <c r="D34" s="198" t="str">
        <f t="shared" si="19"/>
        <v>C</v>
      </c>
      <c r="E34" s="199">
        <v>43509.5</v>
      </c>
      <c r="F34" s="200" t="s">
        <v>122</v>
      </c>
      <c r="G34" s="201">
        <v>78.769000000000005</v>
      </c>
      <c r="H34" s="201">
        <v>78.459999999999994</v>
      </c>
      <c r="I34" s="202">
        <f t="shared" si="20"/>
        <v>0.30900000000001171</v>
      </c>
      <c r="J34" s="201">
        <v>84.119</v>
      </c>
      <c r="K34" s="199">
        <v>43510.709027777775</v>
      </c>
      <c r="L34" s="201">
        <v>78.497</v>
      </c>
      <c r="M34" s="203">
        <f t="shared" si="21"/>
        <v>-0.27200000000000002</v>
      </c>
      <c r="N34" s="204">
        <f t="shared" si="22"/>
        <v>-0.88</v>
      </c>
      <c r="O34" s="205">
        <f t="shared" si="23"/>
        <v>0</v>
      </c>
      <c r="P34" s="206">
        <f t="shared" si="24"/>
        <v>0</v>
      </c>
      <c r="Q34" s="206">
        <f t="shared" si="25"/>
        <v>-0.88</v>
      </c>
      <c r="R34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Yes</v>
      </c>
      <c r="S34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94480</v>
      </c>
      <c r="T34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100000</v>
      </c>
      <c r="U34" s="208">
        <f ca="1">IF(Tabla336106734813[[#This Row],[Equity]]&lt;Tabla336106734813[[#This Row],[Equity Peak]],(Tabla336106734813[[#This Row],[Equity Peak]]-Tabla336106734813[[#This Row],[Equity]])/Tabla336106734813[[#This Row],[Equity Peak]],"")</f>
        <v>5.5199999999999999E-2</v>
      </c>
      <c r="V34" s="209">
        <f t="shared" si="26"/>
        <v>-0.88</v>
      </c>
      <c r="W34" s="209">
        <f t="shared" si="27"/>
        <v>0</v>
      </c>
      <c r="X34" s="209">
        <f t="shared" si="28"/>
        <v>0</v>
      </c>
      <c r="Y34" s="209">
        <f t="shared" si="29"/>
        <v>0</v>
      </c>
      <c r="Z34" s="209">
        <f t="shared" si="30"/>
        <v>0</v>
      </c>
      <c r="AA34" s="205">
        <f t="shared" si="31"/>
        <v>0</v>
      </c>
      <c r="AB34" s="209">
        <f t="shared" si="32"/>
        <v>0</v>
      </c>
      <c r="AC34" s="205">
        <f t="shared" si="33"/>
        <v>0</v>
      </c>
      <c r="AD34" s="210">
        <f t="shared" si="34"/>
        <v>1.2090277777751908</v>
      </c>
      <c r="AE34" s="210">
        <f t="shared" si="35"/>
        <v>0</v>
      </c>
      <c r="AF34" s="210">
        <f t="shared" si="36"/>
        <v>1.2090277777751908</v>
      </c>
      <c r="AG34" s="210">
        <f t="shared" si="37"/>
        <v>0</v>
      </c>
    </row>
    <row r="35" spans="2:33" ht="15" customHeight="1" x14ac:dyDescent="0.3">
      <c r="B35" s="196" t="s">
        <v>7</v>
      </c>
      <c r="C35" s="197" t="s">
        <v>13</v>
      </c>
      <c r="D35" s="198" t="str">
        <f t="shared" si="19"/>
        <v>C</v>
      </c>
      <c r="E35" s="199">
        <v>43503.166666666664</v>
      </c>
      <c r="F35" s="200" t="s">
        <v>122</v>
      </c>
      <c r="G35" s="201">
        <v>77.998000000000005</v>
      </c>
      <c r="H35" s="201">
        <v>78.489999999999995</v>
      </c>
      <c r="I35" s="202">
        <f t="shared" si="20"/>
        <v>0.49199999999999022</v>
      </c>
      <c r="J35" s="201">
        <v>69.471999999999994</v>
      </c>
      <c r="K35" s="199">
        <v>43508.745833333334</v>
      </c>
      <c r="L35" s="201">
        <v>78.373999999999995</v>
      </c>
      <c r="M35" s="203">
        <f t="shared" si="21"/>
        <v>-0.376</v>
      </c>
      <c r="N35" s="204">
        <f t="shared" si="22"/>
        <v>-0.76</v>
      </c>
      <c r="O35" s="205">
        <f t="shared" si="23"/>
        <v>0</v>
      </c>
      <c r="P35" s="206">
        <f t="shared" si="24"/>
        <v>0</v>
      </c>
      <c r="Q35" s="206">
        <f t="shared" si="25"/>
        <v>-0.76</v>
      </c>
      <c r="R35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Yes</v>
      </c>
      <c r="S35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95360</v>
      </c>
      <c r="T35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100000</v>
      </c>
      <c r="U35" s="208">
        <f ca="1">IF(Tabla336106734813[[#This Row],[Equity]]&lt;Tabla336106734813[[#This Row],[Equity Peak]],(Tabla336106734813[[#This Row],[Equity Peak]]-Tabla336106734813[[#This Row],[Equity]])/Tabla336106734813[[#This Row],[Equity Peak]],"")</f>
        <v>4.6399999999999997E-2</v>
      </c>
      <c r="V35" s="209">
        <f t="shared" si="26"/>
        <v>-0.76</v>
      </c>
      <c r="W35" s="209">
        <f t="shared" si="27"/>
        <v>0</v>
      </c>
      <c r="X35" s="209">
        <f t="shared" si="28"/>
        <v>0</v>
      </c>
      <c r="Y35" s="209">
        <f t="shared" si="29"/>
        <v>0</v>
      </c>
      <c r="Z35" s="209">
        <f t="shared" si="30"/>
        <v>0</v>
      </c>
      <c r="AA35" s="205">
        <f t="shared" si="31"/>
        <v>0</v>
      </c>
      <c r="AB35" s="209">
        <f t="shared" si="32"/>
        <v>0</v>
      </c>
      <c r="AC35" s="205">
        <f t="shared" si="33"/>
        <v>0</v>
      </c>
      <c r="AD35" s="210">
        <f t="shared" si="34"/>
        <v>5.5791666666700621</v>
      </c>
      <c r="AE35" s="210">
        <f t="shared" si="35"/>
        <v>0</v>
      </c>
      <c r="AF35" s="210">
        <f t="shared" si="36"/>
        <v>5.5791666666700621</v>
      </c>
      <c r="AG35" s="210">
        <f t="shared" si="37"/>
        <v>0</v>
      </c>
    </row>
    <row r="36" spans="2:33" ht="15" customHeight="1" x14ac:dyDescent="0.3">
      <c r="B36" s="196" t="s">
        <v>7</v>
      </c>
      <c r="C36" s="197" t="s">
        <v>15</v>
      </c>
      <c r="D36" s="198" t="str">
        <f t="shared" si="19"/>
        <v>C</v>
      </c>
      <c r="E36" s="199">
        <v>43493.017361111109</v>
      </c>
      <c r="F36" s="200" t="s">
        <v>122</v>
      </c>
      <c r="G36" s="201">
        <v>78.516000000000005</v>
      </c>
      <c r="H36" s="201">
        <v>78.031000000000006</v>
      </c>
      <c r="I36" s="202">
        <f t="shared" si="20"/>
        <v>0.48499999999999943</v>
      </c>
      <c r="J36" s="201">
        <v>86.927000000000007</v>
      </c>
      <c r="K36" s="199">
        <v>43494.105555555558</v>
      </c>
      <c r="L36" s="201">
        <v>78.031000000000006</v>
      </c>
      <c r="M36" s="203">
        <f t="shared" si="21"/>
        <v>-0.48499999999999999</v>
      </c>
      <c r="N36" s="204">
        <f t="shared" si="22"/>
        <v>-1</v>
      </c>
      <c r="O36" s="205">
        <f t="shared" si="23"/>
        <v>0</v>
      </c>
      <c r="P36" s="206">
        <f t="shared" si="24"/>
        <v>0</v>
      </c>
      <c r="Q36" s="206">
        <f t="shared" si="25"/>
        <v>-1</v>
      </c>
      <c r="R36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Yes</v>
      </c>
      <c r="S36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96120</v>
      </c>
      <c r="T36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100000</v>
      </c>
      <c r="U36" s="208">
        <f ca="1">IF(Tabla336106734813[[#This Row],[Equity]]&lt;Tabla336106734813[[#This Row],[Equity Peak]],(Tabla336106734813[[#This Row],[Equity Peak]]-Tabla336106734813[[#This Row],[Equity]])/Tabla336106734813[[#This Row],[Equity Peak]],"")</f>
        <v>3.8800000000000001E-2</v>
      </c>
      <c r="V36" s="209">
        <f t="shared" si="26"/>
        <v>-1</v>
      </c>
      <c r="W36" s="209">
        <f t="shared" si="27"/>
        <v>0</v>
      </c>
      <c r="X36" s="209">
        <f t="shared" si="28"/>
        <v>0</v>
      </c>
      <c r="Y36" s="209">
        <f t="shared" si="29"/>
        <v>0</v>
      </c>
      <c r="Z36" s="209">
        <f t="shared" si="30"/>
        <v>0</v>
      </c>
      <c r="AA36" s="205">
        <f t="shared" si="31"/>
        <v>0</v>
      </c>
      <c r="AB36" s="209">
        <f t="shared" si="32"/>
        <v>0</v>
      </c>
      <c r="AC36" s="205">
        <f t="shared" si="33"/>
        <v>0</v>
      </c>
      <c r="AD36" s="210">
        <f t="shared" si="34"/>
        <v>1.0881944444481633</v>
      </c>
      <c r="AE36" s="210">
        <f t="shared" si="35"/>
        <v>0</v>
      </c>
      <c r="AF36" s="210">
        <f t="shared" si="36"/>
        <v>1.0881944444481633</v>
      </c>
      <c r="AG36" s="210">
        <f t="shared" si="37"/>
        <v>0</v>
      </c>
    </row>
    <row r="37" spans="2:33" ht="15" customHeight="1" x14ac:dyDescent="0.3">
      <c r="B37" s="196" t="s">
        <v>7</v>
      </c>
      <c r="C37" s="197" t="s">
        <v>13</v>
      </c>
      <c r="D37" s="198" t="str">
        <f t="shared" si="19"/>
        <v>C</v>
      </c>
      <c r="E37" s="199">
        <v>43489.333333333336</v>
      </c>
      <c r="F37" s="200" t="s">
        <v>122</v>
      </c>
      <c r="G37" s="201">
        <v>77.885000000000005</v>
      </c>
      <c r="H37" s="201">
        <v>78.311999999999998</v>
      </c>
      <c r="I37" s="202">
        <f t="shared" si="20"/>
        <v>0.4269999999999925</v>
      </c>
      <c r="J37" s="201">
        <v>70.483999999999995</v>
      </c>
      <c r="K37" s="199">
        <v>43490.582638888889</v>
      </c>
      <c r="L37" s="201">
        <v>78.311999999999998</v>
      </c>
      <c r="M37" s="203">
        <f t="shared" si="21"/>
        <v>-0.42699999999999999</v>
      </c>
      <c r="N37" s="204">
        <f t="shared" si="22"/>
        <v>-1</v>
      </c>
      <c r="O37" s="205">
        <f t="shared" si="23"/>
        <v>0</v>
      </c>
      <c r="P37" s="206">
        <f t="shared" si="24"/>
        <v>0</v>
      </c>
      <c r="Q37" s="206">
        <f t="shared" si="25"/>
        <v>-1</v>
      </c>
      <c r="R37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Yes</v>
      </c>
      <c r="S37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97120</v>
      </c>
      <c r="T37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100000</v>
      </c>
      <c r="U37" s="208">
        <f ca="1">IF(Tabla336106734813[[#This Row],[Equity]]&lt;Tabla336106734813[[#This Row],[Equity Peak]],(Tabla336106734813[[#This Row],[Equity Peak]]-Tabla336106734813[[#This Row],[Equity]])/Tabla336106734813[[#This Row],[Equity Peak]],"")</f>
        <v>2.8799999999999999E-2</v>
      </c>
      <c r="V37" s="209">
        <f t="shared" si="26"/>
        <v>-1</v>
      </c>
      <c r="W37" s="209">
        <f t="shared" si="27"/>
        <v>0</v>
      </c>
      <c r="X37" s="209">
        <f t="shared" si="28"/>
        <v>0</v>
      </c>
      <c r="Y37" s="209">
        <f t="shared" si="29"/>
        <v>0</v>
      </c>
      <c r="Z37" s="209">
        <f t="shared" si="30"/>
        <v>0</v>
      </c>
      <c r="AA37" s="205">
        <f t="shared" si="31"/>
        <v>0</v>
      </c>
      <c r="AB37" s="209">
        <f t="shared" si="32"/>
        <v>0</v>
      </c>
      <c r="AC37" s="205">
        <f t="shared" si="33"/>
        <v>0</v>
      </c>
      <c r="AD37" s="210">
        <f t="shared" si="34"/>
        <v>1.2493055555532919</v>
      </c>
      <c r="AE37" s="210">
        <f t="shared" si="35"/>
        <v>0</v>
      </c>
      <c r="AF37" s="210">
        <f t="shared" si="36"/>
        <v>1.2493055555532919</v>
      </c>
      <c r="AG37" s="210">
        <f t="shared" si="37"/>
        <v>0</v>
      </c>
    </row>
    <row r="38" spans="2:33" ht="15" customHeight="1" x14ac:dyDescent="0.3">
      <c r="B38" s="196" t="s">
        <v>7</v>
      </c>
      <c r="C38" s="197" t="s">
        <v>13</v>
      </c>
      <c r="D38" s="198" t="str">
        <f t="shared" si="19"/>
        <v>C</v>
      </c>
      <c r="E38" s="199">
        <v>43488.017361111109</v>
      </c>
      <c r="F38" s="200" t="s">
        <v>122</v>
      </c>
      <c r="G38" s="201">
        <v>77.888000000000005</v>
      </c>
      <c r="H38" s="201">
        <v>78.281999999999996</v>
      </c>
      <c r="I38" s="202">
        <f t="shared" si="20"/>
        <v>0.39399999999999125</v>
      </c>
      <c r="J38" s="201">
        <v>71.061000000000007</v>
      </c>
      <c r="K38" s="199">
        <v>43488.10833333333</v>
      </c>
      <c r="L38" s="201">
        <v>78.281999999999996</v>
      </c>
      <c r="M38" s="203">
        <f t="shared" si="21"/>
        <v>-0.39400000000000002</v>
      </c>
      <c r="N38" s="204">
        <f t="shared" si="22"/>
        <v>-1</v>
      </c>
      <c r="O38" s="205">
        <f t="shared" si="23"/>
        <v>0</v>
      </c>
      <c r="P38" s="206">
        <f t="shared" si="24"/>
        <v>0</v>
      </c>
      <c r="Q38" s="206">
        <f t="shared" si="25"/>
        <v>-1</v>
      </c>
      <c r="R38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Yes</v>
      </c>
      <c r="S38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98120</v>
      </c>
      <c r="T38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100000</v>
      </c>
      <c r="U38" s="208">
        <f ca="1">IF(Tabla336106734813[[#This Row],[Equity]]&lt;Tabla336106734813[[#This Row],[Equity Peak]],(Tabla336106734813[[#This Row],[Equity Peak]]-Tabla336106734813[[#This Row],[Equity]])/Tabla336106734813[[#This Row],[Equity Peak]],"")</f>
        <v>1.8800000000000001E-2</v>
      </c>
      <c r="V38" s="209">
        <f t="shared" si="26"/>
        <v>-1</v>
      </c>
      <c r="W38" s="209">
        <f t="shared" si="27"/>
        <v>0</v>
      </c>
      <c r="X38" s="209">
        <f t="shared" si="28"/>
        <v>0</v>
      </c>
      <c r="Y38" s="209">
        <f t="shared" si="29"/>
        <v>0</v>
      </c>
      <c r="Z38" s="209">
        <f t="shared" si="30"/>
        <v>0</v>
      </c>
      <c r="AA38" s="205">
        <f t="shared" si="31"/>
        <v>0</v>
      </c>
      <c r="AB38" s="209">
        <f t="shared" si="32"/>
        <v>0</v>
      </c>
      <c r="AC38" s="205">
        <f t="shared" si="33"/>
        <v>0</v>
      </c>
      <c r="AD38" s="210">
        <f t="shared" si="34"/>
        <v>9.0972222220443655E-2</v>
      </c>
      <c r="AE38" s="210">
        <f t="shared" si="35"/>
        <v>0</v>
      </c>
      <c r="AF38" s="210">
        <f t="shared" si="36"/>
        <v>9.0972222220443655E-2</v>
      </c>
      <c r="AG38" s="210">
        <f t="shared" si="37"/>
        <v>0</v>
      </c>
    </row>
    <row r="39" spans="2:33" ht="15" customHeight="1" x14ac:dyDescent="0.3">
      <c r="B39" s="196" t="s">
        <v>7</v>
      </c>
      <c r="C39" s="197" t="s">
        <v>15</v>
      </c>
      <c r="D39" s="198" t="str">
        <f t="shared" si="19"/>
        <v>C</v>
      </c>
      <c r="E39" s="199">
        <v>43483.017361111109</v>
      </c>
      <c r="F39" s="200" t="s">
        <v>122</v>
      </c>
      <c r="G39" s="201">
        <v>78.44</v>
      </c>
      <c r="H39" s="201">
        <v>77.942999999999998</v>
      </c>
      <c r="I39" s="202">
        <f t="shared" si="20"/>
        <v>0.49699999999999989</v>
      </c>
      <c r="J39" s="201">
        <v>87.061000000000007</v>
      </c>
      <c r="K39" s="199">
        <v>43487.411805555559</v>
      </c>
      <c r="L39" s="201">
        <v>78.001999999999995</v>
      </c>
      <c r="M39" s="203">
        <f t="shared" si="21"/>
        <v>-0.438</v>
      </c>
      <c r="N39" s="204">
        <f t="shared" si="22"/>
        <v>-0.88</v>
      </c>
      <c r="O39" s="205">
        <f t="shared" si="23"/>
        <v>0</v>
      </c>
      <c r="P39" s="206">
        <f t="shared" si="24"/>
        <v>0</v>
      </c>
      <c r="Q39" s="206">
        <f t="shared" si="25"/>
        <v>-0.88</v>
      </c>
      <c r="R39" s="206" t="str">
        <f ca="1">IF(AND(OFFSET(Tabla336106734813[[#This Row],[Equity]],1,0)="",Tabla336106734813[[#This Row],[No. of Rs]]&lt;0),"Yes",IF(AND(OFFSET(Tabla336106734813[[#This Row],[Initial Losing Trade]],1,0)="Yes",Tabla336106734813[[#This Row],[No. of Rs]]&lt;0),"Yes","No"))</f>
        <v>Yes</v>
      </c>
      <c r="S39" s="207">
        <f ca="1">IF(OFFSET(Tabla336106734813[[#This Row],[Equity]],1,0)="",IF(Tabla336106734813[[#This Row],[No. of Rs]]="",$F$11,$F$11+($F$11*Tabla336106734813[[#This Row],[No. of Rs]]/100)),IF(Tabla336106734813[[#This Row],[No. of Rs]]="",OFFSET(Tabla336106734813[[#This Row],[Equity]],1,0),OFFSET(Tabla336106734813[[#This Row],[Equity]],1,0)+($F$11*Tabla336106734813[[#This Row],[No. of Rs]]/100)))</f>
        <v>99120</v>
      </c>
      <c r="T39" s="207">
        <f ca="1">IF(OFFSET(Tabla336106734813[[#This Row],[Equity Peak]],1,0)="",IF(Tabla336106734813[[#This Row],[Initial Losing Trade]]="Yes",$F$11,Tabla336106734813[[#This Row],[Equity]]),IF(OFFSET(Tabla336106734813[[#This Row],[Equity Peak]],1,0)&gt;Tabla336106734813[[#This Row],[Equity]],OFFSET(Tabla336106734813[[#This Row],[Equity Peak]],1,0),Tabla336106734813[[#This Row],[Equity]]))</f>
        <v>100000</v>
      </c>
      <c r="U39" s="208">
        <f ca="1">IF(Tabla336106734813[[#This Row],[Equity]]&lt;Tabla336106734813[[#This Row],[Equity Peak]],(Tabla336106734813[[#This Row],[Equity Peak]]-Tabla336106734813[[#This Row],[Equity]])/Tabla336106734813[[#This Row],[Equity Peak]],"")</f>
        <v>8.8000000000000005E-3</v>
      </c>
      <c r="V39" s="209">
        <f t="shared" si="26"/>
        <v>-0.88</v>
      </c>
      <c r="W39" s="209">
        <f t="shared" si="27"/>
        <v>0</v>
      </c>
      <c r="X39" s="209">
        <f t="shared" si="28"/>
        <v>0</v>
      </c>
      <c r="Y39" s="209">
        <f t="shared" si="29"/>
        <v>0</v>
      </c>
      <c r="Z39" s="209">
        <f t="shared" si="30"/>
        <v>0</v>
      </c>
      <c r="AA39" s="205">
        <f t="shared" si="31"/>
        <v>0</v>
      </c>
      <c r="AB39" s="209">
        <f t="shared" si="32"/>
        <v>0</v>
      </c>
      <c r="AC39" s="205">
        <f t="shared" si="33"/>
        <v>0</v>
      </c>
      <c r="AD39" s="210">
        <f t="shared" si="34"/>
        <v>4.3944444444496185</v>
      </c>
      <c r="AE39" s="210">
        <f t="shared" si="35"/>
        <v>0</v>
      </c>
      <c r="AF39" s="210">
        <f t="shared" si="36"/>
        <v>4.3944444444496185</v>
      </c>
      <c r="AG39" s="210">
        <f t="shared" si="37"/>
        <v>0</v>
      </c>
    </row>
  </sheetData>
  <sheetProtection algorithmName="SHA-512" hashValue="CZZiN71baOePfeG0rTNXHl0X6myWSCLtt1dJwkG4VhU23uCMGldPW330rrtmZhMoTcZi8cOXtulderCLEEpIUQ==" saltValue="D8rS5z7g2xQ5TLJO5FpBFw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881" priority="3" operator="equal">
      <formula>"OK"</formula>
    </cfRule>
    <cfRule type="cellIs" dxfId="880" priority="4" operator="equal">
      <formula>"warning"</formula>
    </cfRule>
  </conditionalFormatting>
  <conditionalFormatting sqref="F13">
    <cfRule type="cellIs" dxfId="879" priority="1" operator="equal">
      <formula>"OK"</formula>
    </cfRule>
    <cfRule type="cellIs" dxfId="878" priority="2" operator="equal">
      <formula>"Error!!"</formula>
    </cfRule>
  </conditionalFormatting>
  <conditionalFormatting sqref="E15:H15 K15:L15">
    <cfRule type="expression" dxfId="877" priority="5">
      <formula>+$D15=#REF!</formula>
    </cfRule>
    <cfRule type="expression" dxfId="876" priority="6">
      <formula>+$D15=#REF!</formula>
    </cfRule>
  </conditionalFormatting>
  <conditionalFormatting sqref="D15 K16:L16 D16:H39 J17:L39">
    <cfRule type="expression" dxfId="875" priority="7">
      <formula>+$D15=$AG$8</formula>
    </cfRule>
    <cfRule type="expression" dxfId="874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5:B16" xr:uid="{7D89FDE9-D6F4-4FED-AA46-ED6BBE361F00}">
      <formula1>$AE$4:$AE$6</formula1>
    </dataValidation>
    <dataValidation type="list" allowBlank="1" showInputMessage="1" showErrorMessage="1" promptTitle="Trade Direction" prompt="Select from List" sqref="C15:C16" xr:uid="{871ECBE0-F8AD-4A79-A198-BC9249EE08B7}">
      <formula1>$AG$4:$AG$5</formula1>
    </dataValidation>
    <dataValidation type="list" allowBlank="1" showInputMessage="1" showErrorMessage="1" promptTitle="Instrument Type" prompt="Select Type from List_x000a_" sqref="B17:B39" xr:uid="{8E25A041-CA46-4B08-ACC3-25C93055E8C8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AC866-66B2-4A9E-A865-F2B54EB4A014}">
  <sheetPr codeName="Hoja20">
    <pageSetUpPr fitToPage="1"/>
  </sheetPr>
  <dimension ref="A1:AX34"/>
  <sheetViews>
    <sheetView showGridLines="0" showZeros="0" tabSelected="1" zoomScale="115" zoomScaleNormal="115" zoomScalePageLayoutView="99" workbookViewId="0">
      <pane ySplit="16" topLeftCell="A17" activePane="bottomLeft" state="frozen"/>
      <selection activeCell="E2" sqref="E2:N5"/>
      <selection pane="bottomLeft" activeCell="E2" sqref="E2:N5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123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COUNTA(Tabla336106734814[Inst])</f>
        <v>18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11.440000000000001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11.440000000000001</v>
      </c>
      <c r="W6" s="18"/>
      <c r="X6" s="17">
        <f>+X13</f>
        <v>0</v>
      </c>
      <c r="Y6" s="19"/>
      <c r="Z6" s="17">
        <f>+Z13</f>
        <v>0</v>
      </c>
      <c r="AA6" s="19"/>
      <c r="AB6" s="17">
        <f>+AB13</f>
        <v>0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COUNTIF(Tabla336106734814[No. of Rs],"&gt;0")</f>
        <v>4</v>
      </c>
      <c r="G7" s="24">
        <f>IFERROR((F7/$F$6),"")</f>
        <v>0.22222222222222221</v>
      </c>
      <c r="H7" s="78">
        <f>IFERROR((+P13/F7),"")</f>
        <v>5.3375000000000004</v>
      </c>
      <c r="I7" s="227">
        <f>H7/H9</f>
        <v>6.4631685166498496</v>
      </c>
      <c r="J7" s="227">
        <f>AVERAGE(Tabla336106734814[No. of Rs])</f>
        <v>0.63555555555555565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1</v>
      </c>
      <c r="W7" s="27"/>
      <c r="X7" s="26">
        <f>IFERROR((X6/N6),"")</f>
        <v>0</v>
      </c>
      <c r="Y7" s="28"/>
      <c r="Z7" s="26">
        <f>IFERROR((Z6/N6),"")</f>
        <v>0</v>
      </c>
      <c r="AA7" s="28"/>
      <c r="AB7" s="26">
        <f>IFERROR((AB6/N6),"")</f>
        <v>0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COUNTIF(Tabla336106734814[No. of Rs],"=0")</f>
        <v>2</v>
      </c>
      <c r="G8" s="24">
        <f>IFERROR((F8/$F$6),"")</f>
        <v>0.1111111111111111</v>
      </c>
      <c r="H8" s="78"/>
      <c r="I8" s="228"/>
      <c r="J8" s="228"/>
      <c r="K8" s="163"/>
      <c r="L8" s="212" t="s">
        <v>112</v>
      </c>
      <c r="M8" s="213"/>
      <c r="N8" s="195">
        <f ca="1">OFFSET(Tabla336106734814[[#Headers],[Equity]],1,0)</f>
        <v>111440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COUNTIF(Tabla336106734814[No. of Rs],"&lt;0")</f>
        <v>12</v>
      </c>
      <c r="G9" s="32">
        <f>IFERROR((F9/$F$6),"")</f>
        <v>0.66666666666666663</v>
      </c>
      <c r="H9" s="79">
        <f>IFERROR((-Q13/F9),"")</f>
        <v>0.82583333333333331</v>
      </c>
      <c r="I9" s="229"/>
      <c r="J9" s="229"/>
      <c r="K9" s="149"/>
      <c r="L9" s="230" t="s">
        <v>106</v>
      </c>
      <c r="M9" s="231"/>
      <c r="N9" s="125">
        <f ca="1">MAX(Tabla336106734814[Drawdown])</f>
        <v>4.0816326530612242E-2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 t="str">
        <f ca="1">OFFSET(Tabla336106734814[[#Headers],[Drawdown]],1,0)</f>
        <v/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COUNTIF(Tabla336106734814[Heat],"&lt;0")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IF(COUNTIFS(Tabla336106734814[O/C],"O")&lt;1,"None",COUNTIFS(Tabla336106734814[O/C],"O"))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SUM(Tabla336106734814[No. of Rs])</f>
        <v>11.440000000000001</v>
      </c>
      <c r="O13" s="42">
        <f>SUM(Tabla336106734814[Heat])</f>
        <v>0</v>
      </c>
      <c r="P13" s="43">
        <f>SUM(Tabla336106734814[[ TR WIN]])</f>
        <v>21.35</v>
      </c>
      <c r="Q13" s="43">
        <f>SUM(Tabla336106734814[[ TR LOSS]])</f>
        <v>-9.91</v>
      </c>
      <c r="R13" s="114"/>
      <c r="S13" s="115"/>
      <c r="T13" s="115"/>
      <c r="U13" s="121"/>
      <c r="V13" s="44">
        <f>SUM(Tabla336106734814[Currency])</f>
        <v>11.440000000000001</v>
      </c>
      <c r="W13" s="44">
        <f>SUM(Tabla336106734814[Heat3])</f>
        <v>0</v>
      </c>
      <c r="X13" s="44">
        <f>SUM(Tabla336106734814[Commodities])</f>
        <v>0</v>
      </c>
      <c r="Y13" s="44">
        <f>SUM(Tabla336106734814[Heat4])</f>
        <v>0</v>
      </c>
      <c r="Z13" s="44">
        <f>SUM(Tabla336106734814[Index])</f>
        <v>0</v>
      </c>
      <c r="AA13" s="44">
        <f>SUM(Tabla336106734814[Heat5])</f>
        <v>0</v>
      </c>
      <c r="AB13" s="44">
        <f>SUM(Tabla336106734814[Cryptocurrency])</f>
        <v>0</v>
      </c>
      <c r="AC13" s="44">
        <f>SUM(Tabla336106734814[Heat6])</f>
        <v>0</v>
      </c>
      <c r="AD13" s="75">
        <f>AVERAGEIF(Tabla336106734814[Length of 
Trade],"&lt;&gt;0")</f>
        <v>5.671643518520189</v>
      </c>
      <c r="AE13" s="75">
        <f>AVERAGEIF(Tabla336106734814[Win],"&lt;&gt;0")</f>
        <v>10.132465277780284</v>
      </c>
      <c r="AF13" s="75">
        <f>AVERAGEIF(Tabla336106734814[Loss],"&lt;&gt;0")</f>
        <v>2.2201388888903844</v>
      </c>
      <c r="AG13" s="76">
        <f>AVERAGEIF(Tabla336106734814[Breakeven],"&lt;&gt;0")</f>
        <v>17.459027777778829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2:33" ht="15" customHeight="1" x14ac:dyDescent="0.3">
      <c r="B17" s="196" t="s">
        <v>7</v>
      </c>
      <c r="C17" s="197" t="s">
        <v>15</v>
      </c>
      <c r="D17" s="198" t="str">
        <f t="shared" ref="D17:D24" si="0">IF(E17&lt;&gt;"",IF(K17&lt;&gt;"","C","O"),"")</f>
        <v>C</v>
      </c>
      <c r="E17" s="199">
        <v>43825.833333333336</v>
      </c>
      <c r="F17" s="200" t="s">
        <v>121</v>
      </c>
      <c r="G17" s="201">
        <v>0.69398000000000004</v>
      </c>
      <c r="H17" s="201">
        <v>0.69235999999999998</v>
      </c>
      <c r="I17" s="202">
        <f t="shared" ref="I17:I24" si="1">ABS(G17-H17)</f>
        <v>1.6200000000000658E-3</v>
      </c>
      <c r="J17" s="201">
        <v>0.70262000000000002</v>
      </c>
      <c r="K17" s="199">
        <v>43830.670138888891</v>
      </c>
      <c r="L17" s="201">
        <v>0.70262000000000002</v>
      </c>
      <c r="M17" s="203">
        <f t="shared" ref="M17:M24" si="2">ROUND(IF(C17="L",(L17-G17),(G17-L17)),4)</f>
        <v>8.6E-3</v>
      </c>
      <c r="N17" s="204">
        <f t="shared" ref="N17:N24" si="3">IFERROR(ROUND((M17/I17),2),"")</f>
        <v>5.31</v>
      </c>
      <c r="O17" s="205">
        <f t="shared" ref="O17:O24" si="4">IF(D17="O",IF(N17&lt;0,N17,0),0)</f>
        <v>0</v>
      </c>
      <c r="P17" s="206">
        <f t="shared" ref="P17:P24" si="5">IF(N17&gt;= 0,N17,0)</f>
        <v>5.31</v>
      </c>
      <c r="Q17" s="206">
        <f t="shared" ref="Q17:Q24" si="6">IF(N17&lt;0,N17,0)</f>
        <v>0</v>
      </c>
      <c r="R17" s="206" t="str">
        <f ca="1">IF(AND(OFFSET(Tabla336106734814[[#This Row],[Equity]],1,0)="",Tabla336106734814[[#This Row],[No. of Rs]]&lt;0),"Yes",IF(AND(OFFSET(Tabla336106734814[[#This Row],[Initial Losing Trade]],1,0)="Yes",Tabla336106734814[[#This Row],[No. of Rs]]&lt;0),"Yes","No"))</f>
        <v>No</v>
      </c>
      <c r="S17" s="207">
        <f ca="1">IF(OFFSET(Tabla336106734814[[#This Row],[Equity]],1,0)="",IF(Tabla336106734814[[#This Row],[No. of Rs]]="",$F$11,$F$11+($F$11*Tabla336106734814[[#This Row],[No. of Rs]]/100)),IF(Tabla336106734814[[#This Row],[No. of Rs]]="",OFFSET(Tabla336106734814[[#This Row],[Equity]],1,0),OFFSET(Tabla336106734814[[#This Row],[Equity]],1,0)+($F$11*Tabla336106734814[[#This Row],[No. of Rs]]/100)))</f>
        <v>111440</v>
      </c>
      <c r="T17" s="207">
        <f ca="1">IF(OFFSET(Tabla336106734814[[#This Row],[Equity Peak]],1,0)="",IF(Tabla336106734814[[#This Row],[Initial Losing Trade]]="Yes",$F$11,Tabla336106734814[[#This Row],[Equity]]),IF(OFFSET(Tabla336106734814[[#This Row],[Equity Peak]],1,0)&gt;Tabla336106734814[[#This Row],[Equity]],OFFSET(Tabla336106734814[[#This Row],[Equity Peak]],1,0),Tabla336106734814[[#This Row],[Equity]]))</f>
        <v>111440</v>
      </c>
      <c r="U17" s="208" t="str">
        <f ca="1">IF(Tabla336106734814[[#This Row],[Equity]]&lt;Tabla336106734814[[#This Row],[Equity Peak]],(Tabla336106734814[[#This Row],[Equity Peak]]-Tabla336106734814[[#This Row],[Equity]])/Tabla336106734814[[#This Row],[Equity Peak]],"")</f>
        <v/>
      </c>
      <c r="V17" s="209">
        <f t="shared" ref="V17:V24" si="7">IF(B17="FX",N17,0)</f>
        <v>5.31</v>
      </c>
      <c r="W17" s="209">
        <f t="shared" ref="W17:W24" si="8">IF(D17="O",IF(V17&lt;0,V17,0),0)</f>
        <v>0</v>
      </c>
      <c r="X17" s="209">
        <f t="shared" ref="X17:X24" si="9">IF(B17="COM",N17,0)</f>
        <v>0</v>
      </c>
      <c r="Y17" s="209">
        <f t="shared" ref="Y17:Y24" si="10">IF(D17="O",IF(X17&lt;0,X17,0),0)</f>
        <v>0</v>
      </c>
      <c r="Z17" s="209">
        <f t="shared" ref="Z17:Z24" si="11">IF(B17="IND",N17,0)</f>
        <v>0</v>
      </c>
      <c r="AA17" s="205">
        <f t="shared" ref="AA17:AA24" si="12">IF(D17="O",IF(Z17&lt;0,Z17,0),0)</f>
        <v>0</v>
      </c>
      <c r="AB17" s="209">
        <f t="shared" ref="AB17:AB24" si="13">IF(B17="CRYPTO",N17,0)</f>
        <v>0</v>
      </c>
      <c r="AC17" s="205">
        <f t="shared" ref="AC17:AC24" si="14">IF(D17="O",IF(AB17&lt;0,AB17,0),0)</f>
        <v>0</v>
      </c>
      <c r="AD17" s="210">
        <f t="shared" ref="AD17:AD24" si="15">IF(K17&lt;&gt;"",K17-E17,0)</f>
        <v>4.8368055555547471</v>
      </c>
      <c r="AE17" s="210">
        <f t="shared" ref="AE17:AE24" si="16">IF(N17&gt;0,AD17,0)</f>
        <v>4.8368055555547471</v>
      </c>
      <c r="AF17" s="210">
        <f t="shared" ref="AF17:AF24" si="17">IF(N17&lt;0,AD17,0)</f>
        <v>0</v>
      </c>
      <c r="AG17" s="210">
        <f t="shared" ref="AG17:AG24" si="18">IF(N17=0,AD17,0)</f>
        <v>0</v>
      </c>
    </row>
    <row r="18" spans="2:33" ht="15" customHeight="1" x14ac:dyDescent="0.3">
      <c r="B18" s="196" t="s">
        <v>7</v>
      </c>
      <c r="C18" s="197" t="s">
        <v>15</v>
      </c>
      <c r="D18" s="198" t="str">
        <f t="shared" si="0"/>
        <v>C</v>
      </c>
      <c r="E18" s="199">
        <v>43802.5</v>
      </c>
      <c r="F18" s="200" t="s">
        <v>121</v>
      </c>
      <c r="G18" s="201">
        <v>0.68596000000000001</v>
      </c>
      <c r="H18" s="201">
        <v>0.68366000000000005</v>
      </c>
      <c r="I18" s="202">
        <f t="shared" si="1"/>
        <v>2.2999999999999687E-3</v>
      </c>
      <c r="J18" s="201">
        <v>0.69823000000000002</v>
      </c>
      <c r="K18" s="199">
        <v>43802.609027777777</v>
      </c>
      <c r="L18" s="201">
        <v>0.68366000000000005</v>
      </c>
      <c r="M18" s="203">
        <f t="shared" si="2"/>
        <v>-2.3E-3</v>
      </c>
      <c r="N18" s="204">
        <f t="shared" si="3"/>
        <v>-1</v>
      </c>
      <c r="O18" s="205">
        <f t="shared" si="4"/>
        <v>0</v>
      </c>
      <c r="P18" s="206">
        <f t="shared" si="5"/>
        <v>0</v>
      </c>
      <c r="Q18" s="206">
        <f t="shared" si="6"/>
        <v>-1</v>
      </c>
      <c r="R18" s="206" t="str">
        <f ca="1">IF(AND(OFFSET(Tabla336106734814[[#This Row],[Equity]],1,0)="",Tabla336106734814[[#This Row],[No. of Rs]]&lt;0),"Yes",IF(AND(OFFSET(Tabla336106734814[[#This Row],[Initial Losing Trade]],1,0)="Yes",Tabla336106734814[[#This Row],[No. of Rs]]&lt;0),"Yes","No"))</f>
        <v>No</v>
      </c>
      <c r="S18" s="207">
        <f ca="1">IF(OFFSET(Tabla336106734814[[#This Row],[Equity]],1,0)="",IF(Tabla336106734814[[#This Row],[No. of Rs]]="",$F$11,$F$11+($F$11*Tabla336106734814[[#This Row],[No. of Rs]]/100)),IF(Tabla336106734814[[#This Row],[No. of Rs]]="",OFFSET(Tabla336106734814[[#This Row],[Equity]],1,0),OFFSET(Tabla336106734814[[#This Row],[Equity]],1,0)+($F$11*Tabla336106734814[[#This Row],[No. of Rs]]/100)))</f>
        <v>106130</v>
      </c>
      <c r="T18" s="207">
        <f ca="1">IF(OFFSET(Tabla336106734814[[#This Row],[Equity Peak]],1,0)="",IF(Tabla336106734814[[#This Row],[Initial Losing Trade]]="Yes",$F$11,Tabla336106734814[[#This Row],[Equity]]),IF(OFFSET(Tabla336106734814[[#This Row],[Equity Peak]],1,0)&gt;Tabla336106734814[[#This Row],[Equity]],OFFSET(Tabla336106734814[[#This Row],[Equity Peak]],1,0),Tabla336106734814[[#This Row],[Equity]]))</f>
        <v>109120</v>
      </c>
      <c r="U18" s="208">
        <f ca="1">IF(Tabla336106734814[[#This Row],[Equity]]&lt;Tabla336106734814[[#This Row],[Equity Peak]],(Tabla336106734814[[#This Row],[Equity Peak]]-Tabla336106734814[[#This Row],[Equity]])/Tabla336106734814[[#This Row],[Equity Peak]],"")</f>
        <v>2.7401026392961877E-2</v>
      </c>
      <c r="V18" s="209">
        <f t="shared" si="7"/>
        <v>-1</v>
      </c>
      <c r="W18" s="209">
        <f t="shared" si="8"/>
        <v>0</v>
      </c>
      <c r="X18" s="209">
        <f t="shared" si="9"/>
        <v>0</v>
      </c>
      <c r="Y18" s="209">
        <f t="shared" si="10"/>
        <v>0</v>
      </c>
      <c r="Z18" s="209">
        <f t="shared" si="11"/>
        <v>0</v>
      </c>
      <c r="AA18" s="205">
        <f t="shared" si="12"/>
        <v>0</v>
      </c>
      <c r="AB18" s="209">
        <f t="shared" si="13"/>
        <v>0</v>
      </c>
      <c r="AC18" s="205">
        <f t="shared" si="14"/>
        <v>0</v>
      </c>
      <c r="AD18" s="210">
        <f t="shared" si="15"/>
        <v>0.10902777777664596</v>
      </c>
      <c r="AE18" s="210">
        <f t="shared" si="16"/>
        <v>0</v>
      </c>
      <c r="AF18" s="210">
        <f t="shared" si="17"/>
        <v>0.10902777777664596</v>
      </c>
      <c r="AG18" s="210">
        <f t="shared" si="18"/>
        <v>0</v>
      </c>
    </row>
    <row r="19" spans="2:33" ht="15" customHeight="1" x14ac:dyDescent="0.3">
      <c r="B19" s="196" t="s">
        <v>7</v>
      </c>
      <c r="C19" s="197" t="s">
        <v>15</v>
      </c>
      <c r="D19" s="198" t="str">
        <f t="shared" si="0"/>
        <v>C</v>
      </c>
      <c r="E19" s="199">
        <v>43769.166666666664</v>
      </c>
      <c r="F19" s="200" t="s">
        <v>121</v>
      </c>
      <c r="G19" s="201">
        <v>0.69172999999999996</v>
      </c>
      <c r="H19" s="201">
        <v>0.68896000000000002</v>
      </c>
      <c r="I19" s="202">
        <f t="shared" si="1"/>
        <v>2.7699999999999392E-3</v>
      </c>
      <c r="J19" s="201">
        <v>0.70650999999999997</v>
      </c>
      <c r="K19" s="199">
        <v>43769.609027777777</v>
      </c>
      <c r="L19" s="201">
        <v>0.68896000000000002</v>
      </c>
      <c r="M19" s="203">
        <f t="shared" si="2"/>
        <v>-2.8E-3</v>
      </c>
      <c r="N19" s="204">
        <f t="shared" si="3"/>
        <v>-1.01</v>
      </c>
      <c r="O19" s="205">
        <f t="shared" si="4"/>
        <v>0</v>
      </c>
      <c r="P19" s="206">
        <f t="shared" si="5"/>
        <v>0</v>
      </c>
      <c r="Q19" s="206">
        <f t="shared" si="6"/>
        <v>-1.01</v>
      </c>
      <c r="R19" s="206" t="str">
        <f ca="1">IF(AND(OFFSET(Tabla336106734814[[#This Row],[Equity]],1,0)="",Tabla336106734814[[#This Row],[No. of Rs]]&lt;0),"Yes",IF(AND(OFFSET(Tabla336106734814[[#This Row],[Initial Losing Trade]],1,0)="Yes",Tabla336106734814[[#This Row],[No. of Rs]]&lt;0),"Yes","No"))</f>
        <v>No</v>
      </c>
      <c r="S19" s="207">
        <f ca="1">IF(OFFSET(Tabla336106734814[[#This Row],[Equity]],1,0)="",IF(Tabla336106734814[[#This Row],[No. of Rs]]="",$F$11,$F$11+($F$11*Tabla336106734814[[#This Row],[No. of Rs]]/100)),IF(Tabla336106734814[[#This Row],[No. of Rs]]="",OFFSET(Tabla336106734814[[#This Row],[Equity]],1,0),OFFSET(Tabla336106734814[[#This Row],[Equity]],1,0)+($F$11*Tabla336106734814[[#This Row],[No. of Rs]]/100)))</f>
        <v>107130</v>
      </c>
      <c r="T19" s="207">
        <f ca="1">IF(OFFSET(Tabla336106734814[[#This Row],[Equity Peak]],1,0)="",IF(Tabla336106734814[[#This Row],[Initial Losing Trade]]="Yes",$F$11,Tabla336106734814[[#This Row],[Equity]]),IF(OFFSET(Tabla336106734814[[#This Row],[Equity Peak]],1,0)&gt;Tabla336106734814[[#This Row],[Equity]],OFFSET(Tabla336106734814[[#This Row],[Equity Peak]],1,0),Tabla336106734814[[#This Row],[Equity]]))</f>
        <v>109120</v>
      </c>
      <c r="U19" s="208">
        <f ca="1">IF(Tabla336106734814[[#This Row],[Equity]]&lt;Tabla336106734814[[#This Row],[Equity Peak]],(Tabla336106734814[[#This Row],[Equity Peak]]-Tabla336106734814[[#This Row],[Equity]])/Tabla336106734814[[#This Row],[Equity Peak]],"")</f>
        <v>1.8236803519061585E-2</v>
      </c>
      <c r="V19" s="209">
        <f t="shared" si="7"/>
        <v>-1.01</v>
      </c>
      <c r="W19" s="209">
        <f t="shared" si="8"/>
        <v>0</v>
      </c>
      <c r="X19" s="209">
        <f t="shared" si="9"/>
        <v>0</v>
      </c>
      <c r="Y19" s="209">
        <f t="shared" si="10"/>
        <v>0</v>
      </c>
      <c r="Z19" s="209">
        <f t="shared" si="11"/>
        <v>0</v>
      </c>
      <c r="AA19" s="205">
        <f t="shared" si="12"/>
        <v>0</v>
      </c>
      <c r="AB19" s="209">
        <f t="shared" si="13"/>
        <v>0</v>
      </c>
      <c r="AC19" s="205">
        <f t="shared" si="14"/>
        <v>0</v>
      </c>
      <c r="AD19" s="210">
        <f t="shared" si="15"/>
        <v>0.44236111111240461</v>
      </c>
      <c r="AE19" s="210">
        <f t="shared" si="16"/>
        <v>0</v>
      </c>
      <c r="AF19" s="210">
        <f t="shared" si="17"/>
        <v>0.44236111111240461</v>
      </c>
      <c r="AG19" s="210">
        <f t="shared" si="18"/>
        <v>0</v>
      </c>
    </row>
    <row r="20" spans="2:33" ht="15" customHeight="1" x14ac:dyDescent="0.3">
      <c r="B20" s="196" t="s">
        <v>7</v>
      </c>
      <c r="C20" s="197" t="s">
        <v>13</v>
      </c>
      <c r="D20" s="198" t="str">
        <f t="shared" si="0"/>
        <v>C</v>
      </c>
      <c r="E20" s="199">
        <v>43754.666666666664</v>
      </c>
      <c r="F20" s="200" t="s">
        <v>121</v>
      </c>
      <c r="G20" s="201">
        <v>0.67291000000000001</v>
      </c>
      <c r="H20" s="201">
        <v>0.67554999999999998</v>
      </c>
      <c r="I20" s="202">
        <f t="shared" si="1"/>
        <v>2.6399999999999757E-3</v>
      </c>
      <c r="J20" s="201">
        <v>0.65881999999999996</v>
      </c>
      <c r="K20" s="199">
        <v>43754.768055555556</v>
      </c>
      <c r="L20" s="201">
        <v>0.67554999999999998</v>
      </c>
      <c r="M20" s="203">
        <f t="shared" si="2"/>
        <v>-2.5999999999999999E-3</v>
      </c>
      <c r="N20" s="204">
        <f t="shared" si="3"/>
        <v>-0.98</v>
      </c>
      <c r="O20" s="205">
        <f t="shared" si="4"/>
        <v>0</v>
      </c>
      <c r="P20" s="206">
        <f t="shared" si="5"/>
        <v>0</v>
      </c>
      <c r="Q20" s="206">
        <f t="shared" si="6"/>
        <v>-0.98</v>
      </c>
      <c r="R20" s="206" t="str">
        <f ca="1">IF(AND(OFFSET(Tabla336106734814[[#This Row],[Equity]],1,0)="",Tabla336106734814[[#This Row],[No. of Rs]]&lt;0),"Yes",IF(AND(OFFSET(Tabla336106734814[[#This Row],[Initial Losing Trade]],1,0)="Yes",Tabla336106734814[[#This Row],[No. of Rs]]&lt;0),"Yes","No"))</f>
        <v>No</v>
      </c>
      <c r="S20" s="207">
        <f ca="1">IF(OFFSET(Tabla336106734814[[#This Row],[Equity]],1,0)="",IF(Tabla336106734814[[#This Row],[No. of Rs]]="",$F$11,$F$11+($F$11*Tabla336106734814[[#This Row],[No. of Rs]]/100)),IF(Tabla336106734814[[#This Row],[No. of Rs]]="",OFFSET(Tabla336106734814[[#This Row],[Equity]],1,0),OFFSET(Tabla336106734814[[#This Row],[Equity]],1,0)+($F$11*Tabla336106734814[[#This Row],[No. of Rs]]/100)))</f>
        <v>108140</v>
      </c>
      <c r="T20" s="207">
        <f ca="1">IF(OFFSET(Tabla336106734814[[#This Row],[Equity Peak]],1,0)="",IF(Tabla336106734814[[#This Row],[Initial Losing Trade]]="Yes",$F$11,Tabla336106734814[[#This Row],[Equity]]),IF(OFFSET(Tabla336106734814[[#This Row],[Equity Peak]],1,0)&gt;Tabla336106734814[[#This Row],[Equity]],OFFSET(Tabla336106734814[[#This Row],[Equity Peak]],1,0),Tabla336106734814[[#This Row],[Equity]]))</f>
        <v>109120</v>
      </c>
      <c r="U20" s="208">
        <f ca="1">IF(Tabla336106734814[[#This Row],[Equity]]&lt;Tabla336106734814[[#This Row],[Equity Peak]],(Tabla336106734814[[#This Row],[Equity Peak]]-Tabla336106734814[[#This Row],[Equity]])/Tabla336106734814[[#This Row],[Equity Peak]],"")</f>
        <v>8.9809384164222881E-3</v>
      </c>
      <c r="V20" s="209">
        <f t="shared" si="7"/>
        <v>-0.98</v>
      </c>
      <c r="W20" s="209">
        <f t="shared" si="8"/>
        <v>0</v>
      </c>
      <c r="X20" s="209">
        <f t="shared" si="9"/>
        <v>0</v>
      </c>
      <c r="Y20" s="209">
        <f t="shared" si="10"/>
        <v>0</v>
      </c>
      <c r="Z20" s="209">
        <f t="shared" si="11"/>
        <v>0</v>
      </c>
      <c r="AA20" s="205">
        <f t="shared" si="12"/>
        <v>0</v>
      </c>
      <c r="AB20" s="209">
        <f t="shared" si="13"/>
        <v>0</v>
      </c>
      <c r="AC20" s="205">
        <f t="shared" si="14"/>
        <v>0</v>
      </c>
      <c r="AD20" s="210">
        <f t="shared" si="15"/>
        <v>0.10138888889196096</v>
      </c>
      <c r="AE20" s="210">
        <f t="shared" si="16"/>
        <v>0</v>
      </c>
      <c r="AF20" s="210">
        <f t="shared" si="17"/>
        <v>0.10138888889196096</v>
      </c>
      <c r="AG20" s="210">
        <f t="shared" si="18"/>
        <v>0</v>
      </c>
    </row>
    <row r="21" spans="2:33" ht="15" customHeight="1" x14ac:dyDescent="0.3">
      <c r="B21" s="196" t="s">
        <v>7</v>
      </c>
      <c r="C21" s="197" t="s">
        <v>13</v>
      </c>
      <c r="D21" s="198" t="str">
        <f t="shared" si="0"/>
        <v>C</v>
      </c>
      <c r="E21" s="199">
        <v>43727.5</v>
      </c>
      <c r="F21" s="200" t="s">
        <v>121</v>
      </c>
      <c r="G21" s="201">
        <v>0.67942999999999998</v>
      </c>
      <c r="H21" s="201">
        <v>0.68254999999999999</v>
      </c>
      <c r="I21" s="202">
        <f t="shared" si="1"/>
        <v>3.1200000000000117E-3</v>
      </c>
      <c r="J21" s="201">
        <v>0.66276999999999997</v>
      </c>
      <c r="K21" s="199">
        <v>43749.501388888886</v>
      </c>
      <c r="L21" s="201">
        <v>0.67944000000000004</v>
      </c>
      <c r="M21" s="203">
        <f t="shared" si="2"/>
        <v>0</v>
      </c>
      <c r="N21" s="204">
        <f t="shared" si="3"/>
        <v>0</v>
      </c>
      <c r="O21" s="205">
        <f t="shared" si="4"/>
        <v>0</v>
      </c>
      <c r="P21" s="206">
        <f t="shared" si="5"/>
        <v>0</v>
      </c>
      <c r="Q21" s="206">
        <f t="shared" si="6"/>
        <v>0</v>
      </c>
      <c r="R21" s="206" t="str">
        <f ca="1">IF(AND(OFFSET(Tabla336106734814[[#This Row],[Equity]],1,0)="",Tabla336106734814[[#This Row],[No. of Rs]]&lt;0),"Yes",IF(AND(OFFSET(Tabla336106734814[[#This Row],[Initial Losing Trade]],1,0)="Yes",Tabla336106734814[[#This Row],[No. of Rs]]&lt;0),"Yes","No"))</f>
        <v>No</v>
      </c>
      <c r="S21" s="207">
        <f ca="1">IF(OFFSET(Tabla336106734814[[#This Row],[Equity]],1,0)="",IF(Tabla336106734814[[#This Row],[No. of Rs]]="",$F$11,$F$11+($F$11*Tabla336106734814[[#This Row],[No. of Rs]]/100)),IF(Tabla336106734814[[#This Row],[No. of Rs]]="",OFFSET(Tabla336106734814[[#This Row],[Equity]],1,0),OFFSET(Tabla336106734814[[#This Row],[Equity]],1,0)+($F$11*Tabla336106734814[[#This Row],[No. of Rs]]/100)))</f>
        <v>109120</v>
      </c>
      <c r="T21" s="207">
        <f ca="1">IF(OFFSET(Tabla336106734814[[#This Row],[Equity Peak]],1,0)="",IF(Tabla336106734814[[#This Row],[Initial Losing Trade]]="Yes",$F$11,Tabla336106734814[[#This Row],[Equity]]),IF(OFFSET(Tabla336106734814[[#This Row],[Equity Peak]],1,0)&gt;Tabla336106734814[[#This Row],[Equity]],OFFSET(Tabla336106734814[[#This Row],[Equity Peak]],1,0),Tabla336106734814[[#This Row],[Equity]]))</f>
        <v>109120</v>
      </c>
      <c r="U21" s="208" t="str">
        <f ca="1">IF(Tabla336106734814[[#This Row],[Equity]]&lt;Tabla336106734814[[#This Row],[Equity Peak]],(Tabla336106734814[[#This Row],[Equity Peak]]-Tabla336106734814[[#This Row],[Equity]])/Tabla336106734814[[#This Row],[Equity Peak]],"")</f>
        <v/>
      </c>
      <c r="V21" s="209">
        <f t="shared" si="7"/>
        <v>0</v>
      </c>
      <c r="W21" s="209">
        <f t="shared" si="8"/>
        <v>0</v>
      </c>
      <c r="X21" s="209">
        <f t="shared" si="9"/>
        <v>0</v>
      </c>
      <c r="Y21" s="209">
        <f t="shared" si="10"/>
        <v>0</v>
      </c>
      <c r="Z21" s="209">
        <f t="shared" si="11"/>
        <v>0</v>
      </c>
      <c r="AA21" s="205">
        <f t="shared" si="12"/>
        <v>0</v>
      </c>
      <c r="AB21" s="209">
        <f t="shared" si="13"/>
        <v>0</v>
      </c>
      <c r="AC21" s="205">
        <f t="shared" si="14"/>
        <v>0</v>
      </c>
      <c r="AD21" s="210">
        <f t="shared" si="15"/>
        <v>22.00138888888614</v>
      </c>
      <c r="AE21" s="210">
        <f t="shared" si="16"/>
        <v>0</v>
      </c>
      <c r="AF21" s="210">
        <f t="shared" si="17"/>
        <v>0</v>
      </c>
      <c r="AG21" s="210">
        <f t="shared" si="18"/>
        <v>22.00138888888614</v>
      </c>
    </row>
    <row r="22" spans="2:33" ht="15" customHeight="1" x14ac:dyDescent="0.3">
      <c r="B22" s="196" t="s">
        <v>7</v>
      </c>
      <c r="C22" s="197" t="s">
        <v>13</v>
      </c>
      <c r="D22" s="198" t="str">
        <f t="shared" si="0"/>
        <v>C</v>
      </c>
      <c r="E22" s="199">
        <v>43670.666666666664</v>
      </c>
      <c r="F22" s="200" t="s">
        <v>121</v>
      </c>
      <c r="G22" s="201">
        <v>0.69799999999999995</v>
      </c>
      <c r="H22" s="201">
        <v>0.70025999999999999</v>
      </c>
      <c r="I22" s="202">
        <f t="shared" si="1"/>
        <v>2.2600000000000398E-3</v>
      </c>
      <c r="J22" s="201">
        <v>0.68594999999999995</v>
      </c>
      <c r="K22" s="199">
        <v>43677.912499999999</v>
      </c>
      <c r="L22" s="201">
        <v>0.68594999999999995</v>
      </c>
      <c r="M22" s="203">
        <f t="shared" si="2"/>
        <v>1.21E-2</v>
      </c>
      <c r="N22" s="204">
        <f t="shared" si="3"/>
        <v>5.35</v>
      </c>
      <c r="O22" s="205">
        <f t="shared" si="4"/>
        <v>0</v>
      </c>
      <c r="P22" s="206">
        <f t="shared" si="5"/>
        <v>5.35</v>
      </c>
      <c r="Q22" s="206">
        <f t="shared" si="6"/>
        <v>0</v>
      </c>
      <c r="R22" s="206" t="str">
        <f ca="1">IF(AND(OFFSET(Tabla336106734814[[#This Row],[Equity]],1,0)="",Tabla336106734814[[#This Row],[No. of Rs]]&lt;0),"Yes",IF(AND(OFFSET(Tabla336106734814[[#This Row],[Initial Losing Trade]],1,0)="Yes",Tabla336106734814[[#This Row],[No. of Rs]]&lt;0),"Yes","No"))</f>
        <v>No</v>
      </c>
      <c r="S22" s="207">
        <f ca="1">IF(OFFSET(Tabla336106734814[[#This Row],[Equity]],1,0)="",IF(Tabla336106734814[[#This Row],[No. of Rs]]="",$F$11,$F$11+($F$11*Tabla336106734814[[#This Row],[No. of Rs]]/100)),IF(Tabla336106734814[[#This Row],[No. of Rs]]="",OFFSET(Tabla336106734814[[#This Row],[Equity]],1,0),OFFSET(Tabla336106734814[[#This Row],[Equity]],1,0)+($F$11*Tabla336106734814[[#This Row],[No. of Rs]]/100)))</f>
        <v>109120</v>
      </c>
      <c r="T22" s="207">
        <f ca="1">IF(OFFSET(Tabla336106734814[[#This Row],[Equity Peak]],1,0)="",IF(Tabla336106734814[[#This Row],[Initial Losing Trade]]="Yes",$F$11,Tabla336106734814[[#This Row],[Equity]]),IF(OFFSET(Tabla336106734814[[#This Row],[Equity Peak]],1,0)&gt;Tabla336106734814[[#This Row],[Equity]],OFFSET(Tabla336106734814[[#This Row],[Equity Peak]],1,0),Tabla336106734814[[#This Row],[Equity]]))</f>
        <v>109120</v>
      </c>
      <c r="U22" s="208" t="str">
        <f ca="1">IF(Tabla336106734814[[#This Row],[Equity]]&lt;Tabla336106734814[[#This Row],[Equity Peak]],(Tabla336106734814[[#This Row],[Equity Peak]]-Tabla336106734814[[#This Row],[Equity]])/Tabla336106734814[[#This Row],[Equity Peak]],"")</f>
        <v/>
      </c>
      <c r="V22" s="209">
        <f t="shared" si="7"/>
        <v>5.35</v>
      </c>
      <c r="W22" s="209">
        <f t="shared" si="8"/>
        <v>0</v>
      </c>
      <c r="X22" s="209">
        <f t="shared" si="9"/>
        <v>0</v>
      </c>
      <c r="Y22" s="209">
        <f t="shared" si="10"/>
        <v>0</v>
      </c>
      <c r="Z22" s="209">
        <f t="shared" si="11"/>
        <v>0</v>
      </c>
      <c r="AA22" s="205">
        <f t="shared" si="12"/>
        <v>0</v>
      </c>
      <c r="AB22" s="209">
        <f t="shared" si="13"/>
        <v>0</v>
      </c>
      <c r="AC22" s="205">
        <f t="shared" si="14"/>
        <v>0</v>
      </c>
      <c r="AD22" s="210">
        <f t="shared" si="15"/>
        <v>7.2458333333343035</v>
      </c>
      <c r="AE22" s="210">
        <f t="shared" si="16"/>
        <v>7.2458333333343035</v>
      </c>
      <c r="AF22" s="210">
        <f t="shared" si="17"/>
        <v>0</v>
      </c>
      <c r="AG22" s="210">
        <f t="shared" si="18"/>
        <v>0</v>
      </c>
    </row>
    <row r="23" spans="2:33" ht="15" customHeight="1" x14ac:dyDescent="0.3">
      <c r="B23" s="196" t="s">
        <v>7</v>
      </c>
      <c r="C23" s="197" t="s">
        <v>15</v>
      </c>
      <c r="D23" s="198" t="str">
        <f t="shared" si="0"/>
        <v>C</v>
      </c>
      <c r="E23" s="199">
        <v>43658.833333333336</v>
      </c>
      <c r="F23" s="200" t="s">
        <v>121</v>
      </c>
      <c r="G23" s="201">
        <v>0.70172999999999996</v>
      </c>
      <c r="H23" s="201">
        <v>0.69896000000000003</v>
      </c>
      <c r="I23" s="202">
        <f t="shared" si="1"/>
        <v>2.7699999999999392E-3</v>
      </c>
      <c r="J23" s="201">
        <v>0.71648000000000001</v>
      </c>
      <c r="K23" s="199">
        <v>43663.706250000003</v>
      </c>
      <c r="L23" s="201">
        <v>0.69967000000000001</v>
      </c>
      <c r="M23" s="203">
        <f t="shared" si="2"/>
        <v>-2.0999999999999999E-3</v>
      </c>
      <c r="N23" s="204">
        <f t="shared" si="3"/>
        <v>-0.76</v>
      </c>
      <c r="O23" s="205">
        <f t="shared" si="4"/>
        <v>0</v>
      </c>
      <c r="P23" s="206">
        <f t="shared" si="5"/>
        <v>0</v>
      </c>
      <c r="Q23" s="206">
        <f t="shared" si="6"/>
        <v>-0.76</v>
      </c>
      <c r="R23" s="206" t="str">
        <f ca="1">IF(AND(OFFSET(Tabla336106734814[[#This Row],[Equity]],1,0)="",Tabla336106734814[[#This Row],[No. of Rs]]&lt;0),"Yes",IF(AND(OFFSET(Tabla336106734814[[#This Row],[Initial Losing Trade]],1,0)="Yes",Tabla336106734814[[#This Row],[No. of Rs]]&lt;0),"Yes","No"))</f>
        <v>No</v>
      </c>
      <c r="S23" s="207">
        <f ca="1">IF(OFFSET(Tabla336106734814[[#This Row],[Equity]],1,0)="",IF(Tabla336106734814[[#This Row],[No. of Rs]]="",$F$11,$F$11+($F$11*Tabla336106734814[[#This Row],[No. of Rs]]/100)),IF(Tabla336106734814[[#This Row],[No. of Rs]]="",OFFSET(Tabla336106734814[[#This Row],[Equity]],1,0),OFFSET(Tabla336106734814[[#This Row],[Equity]],1,0)+($F$11*Tabla336106734814[[#This Row],[No. of Rs]]/100)))</f>
        <v>103770</v>
      </c>
      <c r="T23" s="207">
        <f ca="1">IF(OFFSET(Tabla336106734814[[#This Row],[Equity Peak]],1,0)="",IF(Tabla336106734814[[#This Row],[Initial Losing Trade]]="Yes",$F$11,Tabla336106734814[[#This Row],[Equity]]),IF(OFFSET(Tabla336106734814[[#This Row],[Equity Peak]],1,0)&gt;Tabla336106734814[[#This Row],[Equity]],OFFSET(Tabla336106734814[[#This Row],[Equity Peak]],1,0),Tabla336106734814[[#This Row],[Equity]]))</f>
        <v>106390</v>
      </c>
      <c r="U23" s="208">
        <f ca="1">IF(Tabla336106734814[[#This Row],[Equity]]&lt;Tabla336106734814[[#This Row],[Equity Peak]],(Tabla336106734814[[#This Row],[Equity Peak]]-Tabla336106734814[[#This Row],[Equity]])/Tabla336106734814[[#This Row],[Equity Peak]],"")</f>
        <v>2.4626374659272487E-2</v>
      </c>
      <c r="V23" s="209">
        <f t="shared" si="7"/>
        <v>-0.76</v>
      </c>
      <c r="W23" s="209">
        <f t="shared" si="8"/>
        <v>0</v>
      </c>
      <c r="X23" s="209">
        <f t="shared" si="9"/>
        <v>0</v>
      </c>
      <c r="Y23" s="209">
        <f t="shared" si="10"/>
        <v>0</v>
      </c>
      <c r="Z23" s="209">
        <f t="shared" si="11"/>
        <v>0</v>
      </c>
      <c r="AA23" s="205">
        <f t="shared" si="12"/>
        <v>0</v>
      </c>
      <c r="AB23" s="209">
        <f t="shared" si="13"/>
        <v>0</v>
      </c>
      <c r="AC23" s="205">
        <f t="shared" si="14"/>
        <v>0</v>
      </c>
      <c r="AD23" s="210">
        <f t="shared" si="15"/>
        <v>4.8729166666671517</v>
      </c>
      <c r="AE23" s="210">
        <f t="shared" si="16"/>
        <v>0</v>
      </c>
      <c r="AF23" s="210">
        <f t="shared" si="17"/>
        <v>4.8729166666671517</v>
      </c>
      <c r="AG23" s="210">
        <f t="shared" si="18"/>
        <v>0</v>
      </c>
    </row>
    <row r="24" spans="2:33" ht="15" customHeight="1" x14ac:dyDescent="0.3">
      <c r="B24" s="196" t="s">
        <v>7</v>
      </c>
      <c r="C24" s="197" t="s">
        <v>13</v>
      </c>
      <c r="D24" s="198" t="str">
        <f t="shared" si="0"/>
        <v>C</v>
      </c>
      <c r="E24" s="199">
        <v>43655.666666666664</v>
      </c>
      <c r="F24" s="200" t="s">
        <v>121</v>
      </c>
      <c r="G24" s="201">
        <v>0.69374999999999998</v>
      </c>
      <c r="H24" s="201">
        <v>0.69621</v>
      </c>
      <c r="I24" s="202">
        <f t="shared" si="1"/>
        <v>2.4600000000000177E-3</v>
      </c>
      <c r="J24" s="201">
        <v>0.68064999999999998</v>
      </c>
      <c r="K24" s="199">
        <v>43656.60833333333</v>
      </c>
      <c r="L24" s="201">
        <v>0.69577</v>
      </c>
      <c r="M24" s="203">
        <f t="shared" si="2"/>
        <v>-2E-3</v>
      </c>
      <c r="N24" s="204">
        <f t="shared" si="3"/>
        <v>-0.81</v>
      </c>
      <c r="O24" s="205">
        <f t="shared" si="4"/>
        <v>0</v>
      </c>
      <c r="P24" s="206">
        <f t="shared" si="5"/>
        <v>0</v>
      </c>
      <c r="Q24" s="206">
        <f t="shared" si="6"/>
        <v>-0.81</v>
      </c>
      <c r="R24" s="206" t="str">
        <f ca="1">IF(AND(OFFSET(Tabla336106734814[[#This Row],[Equity]],1,0)="",Tabla336106734814[[#This Row],[No. of Rs]]&lt;0),"Yes",IF(AND(OFFSET(Tabla336106734814[[#This Row],[Initial Losing Trade]],1,0)="Yes",Tabla336106734814[[#This Row],[No. of Rs]]&lt;0),"Yes","No"))</f>
        <v>No</v>
      </c>
      <c r="S24" s="207">
        <f ca="1">IF(OFFSET(Tabla336106734814[[#This Row],[Equity]],1,0)="",IF(Tabla336106734814[[#This Row],[No. of Rs]]="",$F$11,$F$11+($F$11*Tabla336106734814[[#This Row],[No. of Rs]]/100)),IF(Tabla336106734814[[#This Row],[No. of Rs]]="",OFFSET(Tabla336106734814[[#This Row],[Equity]],1,0),OFFSET(Tabla336106734814[[#This Row],[Equity]],1,0)+($F$11*Tabla336106734814[[#This Row],[No. of Rs]]/100)))</f>
        <v>104530</v>
      </c>
      <c r="T24" s="207">
        <f ca="1">IF(OFFSET(Tabla336106734814[[#This Row],[Equity Peak]],1,0)="",IF(Tabla336106734814[[#This Row],[Initial Losing Trade]]="Yes",$F$11,Tabla336106734814[[#This Row],[Equity]]),IF(OFFSET(Tabla336106734814[[#This Row],[Equity Peak]],1,0)&gt;Tabla336106734814[[#This Row],[Equity]],OFFSET(Tabla336106734814[[#This Row],[Equity Peak]],1,0),Tabla336106734814[[#This Row],[Equity]]))</f>
        <v>106390</v>
      </c>
      <c r="U24" s="208">
        <f ca="1">IF(Tabla336106734814[[#This Row],[Equity]]&lt;Tabla336106734814[[#This Row],[Equity Peak]],(Tabla336106734814[[#This Row],[Equity Peak]]-Tabla336106734814[[#This Row],[Equity]])/Tabla336106734814[[#This Row],[Equity Peak]],"")</f>
        <v>1.7482846132155276E-2</v>
      </c>
      <c r="V24" s="209">
        <f t="shared" si="7"/>
        <v>-0.81</v>
      </c>
      <c r="W24" s="209">
        <f t="shared" si="8"/>
        <v>0</v>
      </c>
      <c r="X24" s="209">
        <f t="shared" si="9"/>
        <v>0</v>
      </c>
      <c r="Y24" s="209">
        <f t="shared" si="10"/>
        <v>0</v>
      </c>
      <c r="Z24" s="209">
        <f t="shared" si="11"/>
        <v>0</v>
      </c>
      <c r="AA24" s="205">
        <f t="shared" si="12"/>
        <v>0</v>
      </c>
      <c r="AB24" s="209">
        <f t="shared" si="13"/>
        <v>0</v>
      </c>
      <c r="AC24" s="205">
        <f t="shared" si="14"/>
        <v>0</v>
      </c>
      <c r="AD24" s="210">
        <f t="shared" si="15"/>
        <v>0.94166666666569654</v>
      </c>
      <c r="AE24" s="210">
        <f t="shared" si="16"/>
        <v>0</v>
      </c>
      <c r="AF24" s="210">
        <f t="shared" si="17"/>
        <v>0.94166666666569654</v>
      </c>
      <c r="AG24" s="210">
        <f t="shared" si="18"/>
        <v>0</v>
      </c>
    </row>
    <row r="25" spans="2:33" ht="15" customHeight="1" x14ac:dyDescent="0.3">
      <c r="B25" s="196" t="s">
        <v>7</v>
      </c>
      <c r="C25" s="197" t="s">
        <v>13</v>
      </c>
      <c r="D25" s="198" t="str">
        <f t="shared" ref="D25:D34" si="19">IF(E25&lt;&gt;"",IF(K25&lt;&gt;"","C","O"),"")</f>
        <v>C</v>
      </c>
      <c r="E25" s="199">
        <v>43629.017361111109</v>
      </c>
      <c r="F25" s="200" t="s">
        <v>121</v>
      </c>
      <c r="G25" s="201">
        <v>0.69306999999999996</v>
      </c>
      <c r="H25" s="201">
        <v>0.69493000000000005</v>
      </c>
      <c r="I25" s="202">
        <f t="shared" ref="I25:I34" si="20">ABS(G25-H25)</f>
        <v>1.8600000000000838E-3</v>
      </c>
      <c r="J25" s="201">
        <v>0.68313999999999997</v>
      </c>
      <c r="K25" s="199">
        <v>43636.61041666667</v>
      </c>
      <c r="L25" s="201">
        <v>0.69320000000000004</v>
      </c>
      <c r="M25" s="203">
        <f t="shared" ref="M25:M34" si="21">ROUND(IF(C25="L",(L25-G25),(G25-L25)),4)</f>
        <v>-1E-4</v>
      </c>
      <c r="N25" s="204">
        <f t="shared" ref="N25:N34" si="22">IFERROR(ROUND((M25/I25),2),"")</f>
        <v>-0.05</v>
      </c>
      <c r="O25" s="205">
        <f t="shared" ref="O25:O34" si="23">IF(D25="O",IF(N25&lt;0,N25,0),0)</f>
        <v>0</v>
      </c>
      <c r="P25" s="206">
        <f t="shared" ref="P25:P34" si="24">IF(N25&gt;= 0,N25,0)</f>
        <v>0</v>
      </c>
      <c r="Q25" s="206">
        <f t="shared" ref="Q25:Q34" si="25">IF(N25&lt;0,N25,0)</f>
        <v>-0.05</v>
      </c>
      <c r="R25" s="206" t="str">
        <f ca="1">IF(AND(OFFSET(Tabla336106734814[[#This Row],[Equity]],1,0)="",Tabla336106734814[[#This Row],[No. of Rs]]&lt;0),"Yes",IF(AND(OFFSET(Tabla336106734814[[#This Row],[Initial Losing Trade]],1,0)="Yes",Tabla336106734814[[#This Row],[No. of Rs]]&lt;0),"Yes","No"))</f>
        <v>No</v>
      </c>
      <c r="S25" s="207">
        <f ca="1">IF(OFFSET(Tabla336106734814[[#This Row],[Equity]],1,0)="",IF(Tabla336106734814[[#This Row],[No. of Rs]]="",$F$11,$F$11+($F$11*Tabla336106734814[[#This Row],[No. of Rs]]/100)),IF(Tabla336106734814[[#This Row],[No. of Rs]]="",OFFSET(Tabla336106734814[[#This Row],[Equity]],1,0),OFFSET(Tabla336106734814[[#This Row],[Equity]],1,0)+($F$11*Tabla336106734814[[#This Row],[No. of Rs]]/100)))</f>
        <v>105340</v>
      </c>
      <c r="T25" s="207">
        <f ca="1">IF(OFFSET(Tabla336106734814[[#This Row],[Equity Peak]],1,0)="",IF(Tabla336106734814[[#This Row],[Initial Losing Trade]]="Yes",$F$11,Tabla336106734814[[#This Row],[Equity]]),IF(OFFSET(Tabla336106734814[[#This Row],[Equity Peak]],1,0)&gt;Tabla336106734814[[#This Row],[Equity]],OFFSET(Tabla336106734814[[#This Row],[Equity Peak]],1,0),Tabla336106734814[[#This Row],[Equity]]))</f>
        <v>106390</v>
      </c>
      <c r="U25" s="208">
        <f ca="1">IF(Tabla336106734814[[#This Row],[Equity]]&lt;Tabla336106734814[[#This Row],[Equity Peak]],(Tabla336106734814[[#This Row],[Equity Peak]]-Tabla336106734814[[#This Row],[Equity]])/Tabla336106734814[[#This Row],[Equity Peak]],"")</f>
        <v>9.8693486229908828E-3</v>
      </c>
      <c r="V25" s="209">
        <f t="shared" ref="V25:V34" si="26">IF(B25="FX",N25,0)</f>
        <v>-0.05</v>
      </c>
      <c r="W25" s="209">
        <f t="shared" ref="W25:W34" si="27">IF(D25="O",IF(V25&lt;0,V25,0),0)</f>
        <v>0</v>
      </c>
      <c r="X25" s="209">
        <f t="shared" ref="X25:X34" si="28">IF(B25="COM",N25,0)</f>
        <v>0</v>
      </c>
      <c r="Y25" s="209">
        <f t="shared" ref="Y25:Y34" si="29">IF(D25="O",IF(X25&lt;0,X25,0),0)</f>
        <v>0</v>
      </c>
      <c r="Z25" s="209">
        <f t="shared" ref="Z25:Z34" si="30">IF(B25="IND",N25,0)</f>
        <v>0</v>
      </c>
      <c r="AA25" s="205">
        <f t="shared" ref="AA25:AA34" si="31">IF(D25="O",IF(Z25&lt;0,Z25,0),0)</f>
        <v>0</v>
      </c>
      <c r="AB25" s="209">
        <f t="shared" ref="AB25:AB34" si="32">IF(B25="CRYPTO",N25,0)</f>
        <v>0</v>
      </c>
      <c r="AC25" s="205">
        <f t="shared" ref="AC25:AC34" si="33">IF(D25="O",IF(AB25&lt;0,AB25,0),0)</f>
        <v>0</v>
      </c>
      <c r="AD25" s="210">
        <f t="shared" ref="AD25:AD34" si="34">IF(K25&lt;&gt;"",K25-E25,0)</f>
        <v>7.5930555555605679</v>
      </c>
      <c r="AE25" s="210">
        <f t="shared" ref="AE25:AE34" si="35">IF(N25&gt;0,AD25,0)</f>
        <v>0</v>
      </c>
      <c r="AF25" s="210">
        <f t="shared" ref="AF25:AF34" si="36">IF(N25&lt;0,AD25,0)</f>
        <v>7.5930555555605679</v>
      </c>
      <c r="AG25" s="210">
        <f t="shared" ref="AG25:AG34" si="37">IF(N25=0,AD25,0)</f>
        <v>0</v>
      </c>
    </row>
    <row r="26" spans="2:33" ht="15" customHeight="1" x14ac:dyDescent="0.3">
      <c r="B26" s="196" t="s">
        <v>7</v>
      </c>
      <c r="C26" s="197" t="s">
        <v>13</v>
      </c>
      <c r="D26" s="198" t="str">
        <f t="shared" si="19"/>
        <v>C</v>
      </c>
      <c r="E26" s="199">
        <v>43616.017361111109</v>
      </c>
      <c r="F26" s="200" t="s">
        <v>121</v>
      </c>
      <c r="G26" s="201">
        <v>0.69138999999999995</v>
      </c>
      <c r="H26" s="201">
        <v>0.69347999999999999</v>
      </c>
      <c r="I26" s="202">
        <f t="shared" si="20"/>
        <v>2.0900000000000363E-3</v>
      </c>
      <c r="J26" s="201">
        <v>0.68022000000000005</v>
      </c>
      <c r="K26" s="199">
        <v>43616.748611111114</v>
      </c>
      <c r="L26" s="201">
        <v>0.69347999999999999</v>
      </c>
      <c r="M26" s="203">
        <f t="shared" si="21"/>
        <v>-2.0999999999999999E-3</v>
      </c>
      <c r="N26" s="204">
        <f t="shared" si="22"/>
        <v>-1</v>
      </c>
      <c r="O26" s="205">
        <f t="shared" si="23"/>
        <v>0</v>
      </c>
      <c r="P26" s="206">
        <f t="shared" si="24"/>
        <v>0</v>
      </c>
      <c r="Q26" s="206">
        <f t="shared" si="25"/>
        <v>-1</v>
      </c>
      <c r="R26" s="206" t="str">
        <f ca="1">IF(AND(OFFSET(Tabla336106734814[[#This Row],[Equity]],1,0)="",Tabla336106734814[[#This Row],[No. of Rs]]&lt;0),"Yes",IF(AND(OFFSET(Tabla336106734814[[#This Row],[Initial Losing Trade]],1,0)="Yes",Tabla336106734814[[#This Row],[No. of Rs]]&lt;0),"Yes","No"))</f>
        <v>No</v>
      </c>
      <c r="S26" s="207">
        <f ca="1">IF(OFFSET(Tabla336106734814[[#This Row],[Equity]],1,0)="",IF(Tabla336106734814[[#This Row],[No. of Rs]]="",$F$11,$F$11+($F$11*Tabla336106734814[[#This Row],[No. of Rs]]/100)),IF(Tabla336106734814[[#This Row],[No. of Rs]]="",OFFSET(Tabla336106734814[[#This Row],[Equity]],1,0),OFFSET(Tabla336106734814[[#This Row],[Equity]],1,0)+($F$11*Tabla336106734814[[#This Row],[No. of Rs]]/100)))</f>
        <v>105390</v>
      </c>
      <c r="T26" s="207">
        <f ca="1">IF(OFFSET(Tabla336106734814[[#This Row],[Equity Peak]],1,0)="",IF(Tabla336106734814[[#This Row],[Initial Losing Trade]]="Yes",$F$11,Tabla336106734814[[#This Row],[Equity]]),IF(OFFSET(Tabla336106734814[[#This Row],[Equity Peak]],1,0)&gt;Tabla336106734814[[#This Row],[Equity]],OFFSET(Tabla336106734814[[#This Row],[Equity Peak]],1,0),Tabla336106734814[[#This Row],[Equity]]))</f>
        <v>106390</v>
      </c>
      <c r="U26" s="208">
        <f ca="1">IF(Tabla336106734814[[#This Row],[Equity]]&lt;Tabla336106734814[[#This Row],[Equity Peak]],(Tabla336106734814[[#This Row],[Equity Peak]]-Tabla336106734814[[#This Row],[Equity]])/Tabla336106734814[[#This Row],[Equity Peak]],"")</f>
        <v>9.3993796409436985E-3</v>
      </c>
      <c r="V26" s="209">
        <f t="shared" si="26"/>
        <v>-1</v>
      </c>
      <c r="W26" s="209">
        <f t="shared" si="27"/>
        <v>0</v>
      </c>
      <c r="X26" s="209">
        <f t="shared" si="28"/>
        <v>0</v>
      </c>
      <c r="Y26" s="209">
        <f t="shared" si="29"/>
        <v>0</v>
      </c>
      <c r="Z26" s="209">
        <f t="shared" si="30"/>
        <v>0</v>
      </c>
      <c r="AA26" s="205">
        <f t="shared" si="31"/>
        <v>0</v>
      </c>
      <c r="AB26" s="209">
        <f t="shared" si="32"/>
        <v>0</v>
      </c>
      <c r="AC26" s="205">
        <f t="shared" si="33"/>
        <v>0</v>
      </c>
      <c r="AD26" s="210">
        <f t="shared" si="34"/>
        <v>0.73125000000436557</v>
      </c>
      <c r="AE26" s="210">
        <f t="shared" si="35"/>
        <v>0</v>
      </c>
      <c r="AF26" s="210">
        <f t="shared" si="36"/>
        <v>0.73125000000436557</v>
      </c>
      <c r="AG26" s="210">
        <f t="shared" si="37"/>
        <v>0</v>
      </c>
    </row>
    <row r="27" spans="2:33" ht="15" customHeight="1" x14ac:dyDescent="0.3">
      <c r="B27" s="196" t="s">
        <v>7</v>
      </c>
      <c r="C27" s="197" t="s">
        <v>13</v>
      </c>
      <c r="D27" s="198" t="str">
        <f t="shared" si="19"/>
        <v>C</v>
      </c>
      <c r="E27" s="199">
        <v>43578.166666666664</v>
      </c>
      <c r="F27" s="200" t="s">
        <v>121</v>
      </c>
      <c r="G27" s="201">
        <v>0.71257000000000004</v>
      </c>
      <c r="H27" s="201">
        <v>0.71404999999999996</v>
      </c>
      <c r="I27" s="202">
        <f t="shared" si="20"/>
        <v>1.4799999999999258E-3</v>
      </c>
      <c r="J27" s="201">
        <v>0.70467999999999997</v>
      </c>
      <c r="K27" s="199">
        <v>43579.268750000003</v>
      </c>
      <c r="L27" s="201">
        <v>0.70467999999999997</v>
      </c>
      <c r="M27" s="203">
        <f t="shared" si="21"/>
        <v>7.9000000000000008E-3</v>
      </c>
      <c r="N27" s="204">
        <f t="shared" si="22"/>
        <v>5.34</v>
      </c>
      <c r="O27" s="205">
        <f t="shared" si="23"/>
        <v>0</v>
      </c>
      <c r="P27" s="206">
        <f t="shared" si="24"/>
        <v>5.34</v>
      </c>
      <c r="Q27" s="206">
        <f t="shared" si="25"/>
        <v>0</v>
      </c>
      <c r="R27" s="206" t="str">
        <f ca="1">IF(AND(OFFSET(Tabla336106734814[[#This Row],[Equity]],1,0)="",Tabla336106734814[[#This Row],[No. of Rs]]&lt;0),"Yes",IF(AND(OFFSET(Tabla336106734814[[#This Row],[Initial Losing Trade]],1,0)="Yes",Tabla336106734814[[#This Row],[No. of Rs]]&lt;0),"Yes","No"))</f>
        <v>No</v>
      </c>
      <c r="S27" s="207">
        <f ca="1">IF(OFFSET(Tabla336106734814[[#This Row],[Equity]],1,0)="",IF(Tabla336106734814[[#This Row],[No. of Rs]]="",$F$11,$F$11+($F$11*Tabla336106734814[[#This Row],[No. of Rs]]/100)),IF(Tabla336106734814[[#This Row],[No. of Rs]]="",OFFSET(Tabla336106734814[[#This Row],[Equity]],1,0),OFFSET(Tabla336106734814[[#This Row],[Equity]],1,0)+($F$11*Tabla336106734814[[#This Row],[No. of Rs]]/100)))</f>
        <v>106390</v>
      </c>
      <c r="T27" s="207">
        <f ca="1">IF(OFFSET(Tabla336106734814[[#This Row],[Equity Peak]],1,0)="",IF(Tabla336106734814[[#This Row],[Initial Losing Trade]]="Yes",$F$11,Tabla336106734814[[#This Row],[Equity]]),IF(OFFSET(Tabla336106734814[[#This Row],[Equity Peak]],1,0)&gt;Tabla336106734814[[#This Row],[Equity]],OFFSET(Tabla336106734814[[#This Row],[Equity Peak]],1,0),Tabla336106734814[[#This Row],[Equity]]))</f>
        <v>106390</v>
      </c>
      <c r="U27" s="208" t="str">
        <f ca="1">IF(Tabla336106734814[[#This Row],[Equity]]&lt;Tabla336106734814[[#This Row],[Equity Peak]],(Tabla336106734814[[#This Row],[Equity Peak]]-Tabla336106734814[[#This Row],[Equity]])/Tabla336106734814[[#This Row],[Equity Peak]],"")</f>
        <v/>
      </c>
      <c r="V27" s="209">
        <f t="shared" si="26"/>
        <v>5.34</v>
      </c>
      <c r="W27" s="209">
        <f t="shared" si="27"/>
        <v>0</v>
      </c>
      <c r="X27" s="209">
        <f t="shared" si="28"/>
        <v>0</v>
      </c>
      <c r="Y27" s="209">
        <f t="shared" si="29"/>
        <v>0</v>
      </c>
      <c r="Z27" s="209">
        <f t="shared" si="30"/>
        <v>0</v>
      </c>
      <c r="AA27" s="205">
        <f t="shared" si="31"/>
        <v>0</v>
      </c>
      <c r="AB27" s="209">
        <f t="shared" si="32"/>
        <v>0</v>
      </c>
      <c r="AC27" s="205">
        <f t="shared" si="33"/>
        <v>0</v>
      </c>
      <c r="AD27" s="210">
        <f t="shared" si="34"/>
        <v>1.102083333338669</v>
      </c>
      <c r="AE27" s="210">
        <f t="shared" si="35"/>
        <v>1.102083333338669</v>
      </c>
      <c r="AF27" s="210">
        <f t="shared" si="36"/>
        <v>0</v>
      </c>
      <c r="AG27" s="210">
        <f t="shared" si="37"/>
        <v>0</v>
      </c>
    </row>
    <row r="28" spans="2:33" ht="15" customHeight="1" x14ac:dyDescent="0.3">
      <c r="B28" s="196" t="s">
        <v>7</v>
      </c>
      <c r="C28" s="197" t="s">
        <v>13</v>
      </c>
      <c r="D28" s="198" t="str">
        <f t="shared" si="19"/>
        <v>C</v>
      </c>
      <c r="E28" s="199">
        <v>43557.666666666664</v>
      </c>
      <c r="F28" s="200" t="s">
        <v>121</v>
      </c>
      <c r="G28" s="201">
        <v>0.70740000000000003</v>
      </c>
      <c r="H28" s="201">
        <v>0.71035000000000004</v>
      </c>
      <c r="I28" s="202">
        <f t="shared" si="20"/>
        <v>2.9500000000000082E-3</v>
      </c>
      <c r="J28" s="201">
        <v>0.69169000000000003</v>
      </c>
      <c r="K28" s="199">
        <v>43558.270833333336</v>
      </c>
      <c r="L28" s="201">
        <v>0.71035000000000004</v>
      </c>
      <c r="M28" s="203">
        <f t="shared" si="21"/>
        <v>-3.0000000000000001E-3</v>
      </c>
      <c r="N28" s="204">
        <f t="shared" si="22"/>
        <v>-1.02</v>
      </c>
      <c r="O28" s="205">
        <f t="shared" si="23"/>
        <v>0</v>
      </c>
      <c r="P28" s="206">
        <f t="shared" si="24"/>
        <v>0</v>
      </c>
      <c r="Q28" s="206">
        <f t="shared" si="25"/>
        <v>-1.02</v>
      </c>
      <c r="R28" s="206" t="str">
        <f ca="1">IF(AND(OFFSET(Tabla336106734814[[#This Row],[Equity]],1,0)="",Tabla336106734814[[#This Row],[No. of Rs]]&lt;0),"Yes",IF(AND(OFFSET(Tabla336106734814[[#This Row],[Initial Losing Trade]],1,0)="Yes",Tabla336106734814[[#This Row],[No. of Rs]]&lt;0),"Yes","No"))</f>
        <v>No</v>
      </c>
      <c r="S28" s="207">
        <f ca="1">IF(OFFSET(Tabla336106734814[[#This Row],[Equity]],1,0)="",IF(Tabla336106734814[[#This Row],[No. of Rs]]="",$F$11,$F$11+($F$11*Tabla336106734814[[#This Row],[No. of Rs]]/100)),IF(Tabla336106734814[[#This Row],[No. of Rs]]="",OFFSET(Tabla336106734814[[#This Row],[Equity]],1,0),OFFSET(Tabla336106734814[[#This Row],[Equity]],1,0)+($F$11*Tabla336106734814[[#This Row],[No. of Rs]]/100)))</f>
        <v>101050</v>
      </c>
      <c r="T28" s="207">
        <f ca="1">IF(OFFSET(Tabla336106734814[[#This Row],[Equity Peak]],1,0)="",IF(Tabla336106734814[[#This Row],[Initial Losing Trade]]="Yes",$F$11,Tabla336106734814[[#This Row],[Equity]]),IF(OFFSET(Tabla336106734814[[#This Row],[Equity Peak]],1,0)&gt;Tabla336106734814[[#This Row],[Equity]],OFFSET(Tabla336106734814[[#This Row],[Equity Peak]],1,0),Tabla336106734814[[#This Row],[Equity]]))</f>
        <v>105350</v>
      </c>
      <c r="U28" s="208">
        <f ca="1">IF(Tabla336106734814[[#This Row],[Equity]]&lt;Tabla336106734814[[#This Row],[Equity Peak]],(Tabla336106734814[[#This Row],[Equity Peak]]-Tabla336106734814[[#This Row],[Equity]])/Tabla336106734814[[#This Row],[Equity Peak]],"")</f>
        <v>4.0816326530612242E-2</v>
      </c>
      <c r="V28" s="209">
        <f t="shared" si="26"/>
        <v>-1.02</v>
      </c>
      <c r="W28" s="209">
        <f t="shared" si="27"/>
        <v>0</v>
      </c>
      <c r="X28" s="209">
        <f t="shared" si="28"/>
        <v>0</v>
      </c>
      <c r="Y28" s="209">
        <f t="shared" si="29"/>
        <v>0</v>
      </c>
      <c r="Z28" s="209">
        <f t="shared" si="30"/>
        <v>0</v>
      </c>
      <c r="AA28" s="205">
        <f t="shared" si="31"/>
        <v>0</v>
      </c>
      <c r="AB28" s="209">
        <f t="shared" si="32"/>
        <v>0</v>
      </c>
      <c r="AC28" s="205">
        <f t="shared" si="33"/>
        <v>0</v>
      </c>
      <c r="AD28" s="210">
        <f t="shared" si="34"/>
        <v>0.60416666667151731</v>
      </c>
      <c r="AE28" s="210">
        <f t="shared" si="35"/>
        <v>0</v>
      </c>
      <c r="AF28" s="210">
        <f t="shared" si="36"/>
        <v>0.60416666667151731</v>
      </c>
      <c r="AG28" s="210">
        <f t="shared" si="37"/>
        <v>0</v>
      </c>
    </row>
    <row r="29" spans="2:33" ht="15" customHeight="1" x14ac:dyDescent="0.3">
      <c r="B29" s="196" t="s">
        <v>7</v>
      </c>
      <c r="C29" s="197" t="s">
        <v>13</v>
      </c>
      <c r="D29" s="198" t="str">
        <f t="shared" si="19"/>
        <v>C</v>
      </c>
      <c r="E29" s="199">
        <v>43553.017361111109</v>
      </c>
      <c r="F29" s="200" t="s">
        <v>121</v>
      </c>
      <c r="G29" s="201">
        <v>0.70792999999999995</v>
      </c>
      <c r="H29" s="201">
        <v>0.71099000000000001</v>
      </c>
      <c r="I29" s="202">
        <f t="shared" si="20"/>
        <v>3.0600000000000627E-3</v>
      </c>
      <c r="J29" s="201">
        <v>0.69160999999999995</v>
      </c>
      <c r="K29" s="199">
        <v>43556</v>
      </c>
      <c r="L29" s="201">
        <v>0.71099000000000001</v>
      </c>
      <c r="M29" s="203">
        <f t="shared" si="21"/>
        <v>-3.0999999999999999E-3</v>
      </c>
      <c r="N29" s="204">
        <f t="shared" si="22"/>
        <v>-1.01</v>
      </c>
      <c r="O29" s="205">
        <f t="shared" si="23"/>
        <v>0</v>
      </c>
      <c r="P29" s="206">
        <f t="shared" si="24"/>
        <v>0</v>
      </c>
      <c r="Q29" s="206">
        <f t="shared" si="25"/>
        <v>-1.01</v>
      </c>
      <c r="R29" s="206" t="str">
        <f ca="1">IF(AND(OFFSET(Tabla336106734814[[#This Row],[Equity]],1,0)="",Tabla336106734814[[#This Row],[No. of Rs]]&lt;0),"Yes",IF(AND(OFFSET(Tabla336106734814[[#This Row],[Initial Losing Trade]],1,0)="Yes",Tabla336106734814[[#This Row],[No. of Rs]]&lt;0),"Yes","No"))</f>
        <v>No</v>
      </c>
      <c r="S29" s="207">
        <f ca="1">IF(OFFSET(Tabla336106734814[[#This Row],[Equity]],1,0)="",IF(Tabla336106734814[[#This Row],[No. of Rs]]="",$F$11,$F$11+($F$11*Tabla336106734814[[#This Row],[No. of Rs]]/100)),IF(Tabla336106734814[[#This Row],[No. of Rs]]="",OFFSET(Tabla336106734814[[#This Row],[Equity]],1,0),OFFSET(Tabla336106734814[[#This Row],[Equity]],1,0)+($F$11*Tabla336106734814[[#This Row],[No. of Rs]]/100)))</f>
        <v>102070</v>
      </c>
      <c r="T29" s="207">
        <f ca="1">IF(OFFSET(Tabla336106734814[[#This Row],[Equity Peak]],1,0)="",IF(Tabla336106734814[[#This Row],[Initial Losing Trade]]="Yes",$F$11,Tabla336106734814[[#This Row],[Equity]]),IF(OFFSET(Tabla336106734814[[#This Row],[Equity Peak]],1,0)&gt;Tabla336106734814[[#This Row],[Equity]],OFFSET(Tabla336106734814[[#This Row],[Equity Peak]],1,0),Tabla336106734814[[#This Row],[Equity]]))</f>
        <v>105350</v>
      </c>
      <c r="U29" s="208">
        <f ca="1">IF(Tabla336106734814[[#This Row],[Equity]]&lt;Tabla336106734814[[#This Row],[Equity Peak]],(Tabla336106734814[[#This Row],[Equity Peak]]-Tabla336106734814[[#This Row],[Equity]])/Tabla336106734814[[#This Row],[Equity Peak]],"")</f>
        <v>3.1134314190792597E-2</v>
      </c>
      <c r="V29" s="209">
        <f t="shared" si="26"/>
        <v>-1.01</v>
      </c>
      <c r="W29" s="209">
        <f t="shared" si="27"/>
        <v>0</v>
      </c>
      <c r="X29" s="209">
        <f t="shared" si="28"/>
        <v>0</v>
      </c>
      <c r="Y29" s="209">
        <f t="shared" si="29"/>
        <v>0</v>
      </c>
      <c r="Z29" s="209">
        <f t="shared" si="30"/>
        <v>0</v>
      </c>
      <c r="AA29" s="205">
        <f t="shared" si="31"/>
        <v>0</v>
      </c>
      <c r="AB29" s="209">
        <f t="shared" si="32"/>
        <v>0</v>
      </c>
      <c r="AC29" s="205">
        <f t="shared" si="33"/>
        <v>0</v>
      </c>
      <c r="AD29" s="210">
        <f t="shared" si="34"/>
        <v>2.9826388888905058</v>
      </c>
      <c r="AE29" s="210">
        <f t="shared" si="35"/>
        <v>0</v>
      </c>
      <c r="AF29" s="210">
        <f t="shared" si="36"/>
        <v>2.9826388888905058</v>
      </c>
      <c r="AG29" s="210">
        <f t="shared" si="37"/>
        <v>0</v>
      </c>
    </row>
    <row r="30" spans="2:33" ht="15" customHeight="1" x14ac:dyDescent="0.3">
      <c r="B30" s="196" t="s">
        <v>7</v>
      </c>
      <c r="C30" s="197" t="s">
        <v>13</v>
      </c>
      <c r="D30" s="198" t="str">
        <f t="shared" si="19"/>
        <v>C</v>
      </c>
      <c r="E30" s="199">
        <v>43525.017361111109</v>
      </c>
      <c r="F30" s="200" t="s">
        <v>121</v>
      </c>
      <c r="G30" s="201">
        <v>0.70928999999999998</v>
      </c>
      <c r="H30" s="201">
        <v>0.7127</v>
      </c>
      <c r="I30" s="202">
        <f t="shared" si="20"/>
        <v>3.4100000000000241E-3</v>
      </c>
      <c r="J30" s="201">
        <v>0.69111</v>
      </c>
      <c r="K30" s="199">
        <v>43537.934027777781</v>
      </c>
      <c r="L30" s="201">
        <v>0.70931</v>
      </c>
      <c r="M30" s="203">
        <f t="shared" si="21"/>
        <v>0</v>
      </c>
      <c r="N30" s="204">
        <f t="shared" si="22"/>
        <v>0</v>
      </c>
      <c r="O30" s="205">
        <f t="shared" si="23"/>
        <v>0</v>
      </c>
      <c r="P30" s="206">
        <f t="shared" si="24"/>
        <v>0</v>
      </c>
      <c r="Q30" s="206">
        <f t="shared" si="25"/>
        <v>0</v>
      </c>
      <c r="R30" s="206" t="str">
        <f ca="1">IF(AND(OFFSET(Tabla336106734814[[#This Row],[Equity]],1,0)="",Tabla336106734814[[#This Row],[No. of Rs]]&lt;0),"Yes",IF(AND(OFFSET(Tabla336106734814[[#This Row],[Initial Losing Trade]],1,0)="Yes",Tabla336106734814[[#This Row],[No. of Rs]]&lt;0),"Yes","No"))</f>
        <v>No</v>
      </c>
      <c r="S30" s="207">
        <f ca="1">IF(OFFSET(Tabla336106734814[[#This Row],[Equity]],1,0)="",IF(Tabla336106734814[[#This Row],[No. of Rs]]="",$F$11,$F$11+($F$11*Tabla336106734814[[#This Row],[No. of Rs]]/100)),IF(Tabla336106734814[[#This Row],[No. of Rs]]="",OFFSET(Tabla336106734814[[#This Row],[Equity]],1,0),OFFSET(Tabla336106734814[[#This Row],[Equity]],1,0)+($F$11*Tabla336106734814[[#This Row],[No. of Rs]]/100)))</f>
        <v>103080</v>
      </c>
      <c r="T30" s="207">
        <f ca="1">IF(OFFSET(Tabla336106734814[[#This Row],[Equity Peak]],1,0)="",IF(Tabla336106734814[[#This Row],[Initial Losing Trade]]="Yes",$F$11,Tabla336106734814[[#This Row],[Equity]]),IF(OFFSET(Tabla336106734814[[#This Row],[Equity Peak]],1,0)&gt;Tabla336106734814[[#This Row],[Equity]],OFFSET(Tabla336106734814[[#This Row],[Equity Peak]],1,0),Tabla336106734814[[#This Row],[Equity]]))</f>
        <v>105350</v>
      </c>
      <c r="U30" s="208">
        <f ca="1">IF(Tabla336106734814[[#This Row],[Equity]]&lt;Tabla336106734814[[#This Row],[Equity Peak]],(Tabla336106734814[[#This Row],[Equity Peak]]-Tabla336106734814[[#This Row],[Equity]])/Tabla336106734814[[#This Row],[Equity Peak]],"")</f>
        <v>2.1547223540579023E-2</v>
      </c>
      <c r="V30" s="209">
        <f t="shared" si="26"/>
        <v>0</v>
      </c>
      <c r="W30" s="209">
        <f t="shared" si="27"/>
        <v>0</v>
      </c>
      <c r="X30" s="209">
        <f t="shared" si="28"/>
        <v>0</v>
      </c>
      <c r="Y30" s="209">
        <f t="shared" si="29"/>
        <v>0</v>
      </c>
      <c r="Z30" s="209">
        <f t="shared" si="30"/>
        <v>0</v>
      </c>
      <c r="AA30" s="205">
        <f t="shared" si="31"/>
        <v>0</v>
      </c>
      <c r="AB30" s="209">
        <f t="shared" si="32"/>
        <v>0</v>
      </c>
      <c r="AC30" s="205">
        <f t="shared" si="33"/>
        <v>0</v>
      </c>
      <c r="AD30" s="210">
        <f t="shared" si="34"/>
        <v>12.916666666671517</v>
      </c>
      <c r="AE30" s="210">
        <f t="shared" si="35"/>
        <v>0</v>
      </c>
      <c r="AF30" s="210">
        <f t="shared" si="36"/>
        <v>0</v>
      </c>
      <c r="AG30" s="210">
        <f t="shared" si="37"/>
        <v>12.916666666671517</v>
      </c>
    </row>
    <row r="31" spans="2:33" ht="15" customHeight="1" x14ac:dyDescent="0.3">
      <c r="B31" s="196" t="s">
        <v>7</v>
      </c>
      <c r="C31" s="197" t="s">
        <v>13</v>
      </c>
      <c r="D31" s="198" t="str">
        <f t="shared" si="19"/>
        <v>C</v>
      </c>
      <c r="E31" s="199">
        <v>43517.833333333336</v>
      </c>
      <c r="F31" s="200" t="s">
        <v>121</v>
      </c>
      <c r="G31" s="201">
        <v>0.70799000000000001</v>
      </c>
      <c r="H31" s="201">
        <v>0.71296000000000004</v>
      </c>
      <c r="I31" s="202">
        <f t="shared" si="20"/>
        <v>4.9700000000000299E-3</v>
      </c>
      <c r="J31" s="201">
        <v>0.68150999999999995</v>
      </c>
      <c r="K31" s="199">
        <v>43518.609722222223</v>
      </c>
      <c r="L31" s="201">
        <v>0.71296000000000004</v>
      </c>
      <c r="M31" s="203">
        <f t="shared" si="21"/>
        <v>-5.0000000000000001E-3</v>
      </c>
      <c r="N31" s="204">
        <f t="shared" si="22"/>
        <v>-1.01</v>
      </c>
      <c r="O31" s="205">
        <f t="shared" si="23"/>
        <v>0</v>
      </c>
      <c r="P31" s="206">
        <f t="shared" si="24"/>
        <v>0</v>
      </c>
      <c r="Q31" s="206">
        <f t="shared" si="25"/>
        <v>-1.01</v>
      </c>
      <c r="R31" s="206" t="str">
        <f ca="1">IF(AND(OFFSET(Tabla336106734814[[#This Row],[Equity]],1,0)="",Tabla336106734814[[#This Row],[No. of Rs]]&lt;0),"Yes",IF(AND(OFFSET(Tabla336106734814[[#This Row],[Initial Losing Trade]],1,0)="Yes",Tabla336106734814[[#This Row],[No. of Rs]]&lt;0),"Yes","No"))</f>
        <v>No</v>
      </c>
      <c r="S31" s="207">
        <f ca="1">IF(OFFSET(Tabla336106734814[[#This Row],[Equity]],1,0)="",IF(Tabla336106734814[[#This Row],[No. of Rs]]="",$F$11,$F$11+($F$11*Tabla336106734814[[#This Row],[No. of Rs]]/100)),IF(Tabla336106734814[[#This Row],[No. of Rs]]="",OFFSET(Tabla336106734814[[#This Row],[Equity]],1,0),OFFSET(Tabla336106734814[[#This Row],[Equity]],1,0)+($F$11*Tabla336106734814[[#This Row],[No. of Rs]]/100)))</f>
        <v>103080</v>
      </c>
      <c r="T31" s="207">
        <f ca="1">IF(OFFSET(Tabla336106734814[[#This Row],[Equity Peak]],1,0)="",IF(Tabla336106734814[[#This Row],[Initial Losing Trade]]="Yes",$F$11,Tabla336106734814[[#This Row],[Equity]]),IF(OFFSET(Tabla336106734814[[#This Row],[Equity Peak]],1,0)&gt;Tabla336106734814[[#This Row],[Equity]],OFFSET(Tabla336106734814[[#This Row],[Equity Peak]],1,0),Tabla336106734814[[#This Row],[Equity]]))</f>
        <v>105350</v>
      </c>
      <c r="U31" s="208">
        <f ca="1">IF(Tabla336106734814[[#This Row],[Equity]]&lt;Tabla336106734814[[#This Row],[Equity Peak]],(Tabla336106734814[[#This Row],[Equity Peak]]-Tabla336106734814[[#This Row],[Equity]])/Tabla336106734814[[#This Row],[Equity Peak]],"")</f>
        <v>2.1547223540579023E-2</v>
      </c>
      <c r="V31" s="209">
        <f t="shared" si="26"/>
        <v>-1.01</v>
      </c>
      <c r="W31" s="209">
        <f t="shared" si="27"/>
        <v>0</v>
      </c>
      <c r="X31" s="209">
        <f t="shared" si="28"/>
        <v>0</v>
      </c>
      <c r="Y31" s="209">
        <f t="shared" si="29"/>
        <v>0</v>
      </c>
      <c r="Z31" s="209">
        <f t="shared" si="30"/>
        <v>0</v>
      </c>
      <c r="AA31" s="205">
        <f t="shared" si="31"/>
        <v>0</v>
      </c>
      <c r="AB31" s="209">
        <f t="shared" si="32"/>
        <v>0</v>
      </c>
      <c r="AC31" s="205">
        <f t="shared" si="33"/>
        <v>0</v>
      </c>
      <c r="AD31" s="210">
        <f t="shared" si="34"/>
        <v>0.77638888888759539</v>
      </c>
      <c r="AE31" s="210">
        <f t="shared" si="35"/>
        <v>0</v>
      </c>
      <c r="AF31" s="210">
        <f t="shared" si="36"/>
        <v>0.77638888888759539</v>
      </c>
      <c r="AG31" s="210">
        <f t="shared" si="37"/>
        <v>0</v>
      </c>
    </row>
    <row r="32" spans="2:33" ht="15" customHeight="1" x14ac:dyDescent="0.3">
      <c r="B32" s="196" t="s">
        <v>7</v>
      </c>
      <c r="C32" s="197" t="s">
        <v>13</v>
      </c>
      <c r="D32" s="198" t="str">
        <f t="shared" si="19"/>
        <v>C</v>
      </c>
      <c r="E32" s="199">
        <v>43503.017361111109</v>
      </c>
      <c r="F32" s="200" t="s">
        <v>121</v>
      </c>
      <c r="G32" s="201">
        <v>0.71113999999999999</v>
      </c>
      <c r="H32" s="201">
        <v>0.71514999999999995</v>
      </c>
      <c r="I32" s="202">
        <f t="shared" si="20"/>
        <v>4.009999999999958E-3</v>
      </c>
      <c r="J32" s="201">
        <v>0.68972999999999995</v>
      </c>
      <c r="K32" s="199">
        <v>43509.086805555555</v>
      </c>
      <c r="L32" s="201">
        <v>0.71221999999999996</v>
      </c>
      <c r="M32" s="203">
        <f t="shared" si="21"/>
        <v>-1.1000000000000001E-3</v>
      </c>
      <c r="N32" s="204">
        <f t="shared" si="22"/>
        <v>-0.27</v>
      </c>
      <c r="O32" s="205">
        <f t="shared" si="23"/>
        <v>0</v>
      </c>
      <c r="P32" s="206">
        <f t="shared" si="24"/>
        <v>0</v>
      </c>
      <c r="Q32" s="206">
        <f t="shared" si="25"/>
        <v>-0.27</v>
      </c>
      <c r="R32" s="206" t="str">
        <f ca="1">IF(AND(OFFSET(Tabla336106734814[[#This Row],[Equity]],1,0)="",Tabla336106734814[[#This Row],[No. of Rs]]&lt;0),"Yes",IF(AND(OFFSET(Tabla336106734814[[#This Row],[Initial Losing Trade]],1,0)="Yes",Tabla336106734814[[#This Row],[No. of Rs]]&lt;0),"Yes","No"))</f>
        <v>No</v>
      </c>
      <c r="S32" s="207">
        <f ca="1">IF(OFFSET(Tabla336106734814[[#This Row],[Equity]],1,0)="",IF(Tabla336106734814[[#This Row],[No. of Rs]]="",$F$11,$F$11+($F$11*Tabla336106734814[[#This Row],[No. of Rs]]/100)),IF(Tabla336106734814[[#This Row],[No. of Rs]]="",OFFSET(Tabla336106734814[[#This Row],[Equity]],1,0),OFFSET(Tabla336106734814[[#This Row],[Equity]],1,0)+($F$11*Tabla336106734814[[#This Row],[No. of Rs]]/100)))</f>
        <v>104090</v>
      </c>
      <c r="T32" s="207">
        <f ca="1">IF(OFFSET(Tabla336106734814[[#This Row],[Equity Peak]],1,0)="",IF(Tabla336106734814[[#This Row],[Initial Losing Trade]]="Yes",$F$11,Tabla336106734814[[#This Row],[Equity]]),IF(OFFSET(Tabla336106734814[[#This Row],[Equity Peak]],1,0)&gt;Tabla336106734814[[#This Row],[Equity]],OFFSET(Tabla336106734814[[#This Row],[Equity Peak]],1,0),Tabla336106734814[[#This Row],[Equity]]))</f>
        <v>105350</v>
      </c>
      <c r="U32" s="208">
        <f ca="1">IF(Tabla336106734814[[#This Row],[Equity]]&lt;Tabla336106734814[[#This Row],[Equity Peak]],(Tabla336106734814[[#This Row],[Equity Peak]]-Tabla336106734814[[#This Row],[Equity]])/Tabla336106734814[[#This Row],[Equity Peak]],"")</f>
        <v>1.1960132890365448E-2</v>
      </c>
      <c r="V32" s="209">
        <f t="shared" si="26"/>
        <v>-0.27</v>
      </c>
      <c r="W32" s="209">
        <f t="shared" si="27"/>
        <v>0</v>
      </c>
      <c r="X32" s="209">
        <f t="shared" si="28"/>
        <v>0</v>
      </c>
      <c r="Y32" s="209">
        <f t="shared" si="29"/>
        <v>0</v>
      </c>
      <c r="Z32" s="209">
        <f t="shared" si="30"/>
        <v>0</v>
      </c>
      <c r="AA32" s="205">
        <f t="shared" si="31"/>
        <v>0</v>
      </c>
      <c r="AB32" s="209">
        <f t="shared" si="32"/>
        <v>0</v>
      </c>
      <c r="AC32" s="205">
        <f t="shared" si="33"/>
        <v>0</v>
      </c>
      <c r="AD32" s="210">
        <f t="shared" si="34"/>
        <v>6.0694444444452529</v>
      </c>
      <c r="AE32" s="210">
        <f t="shared" si="35"/>
        <v>0</v>
      </c>
      <c r="AF32" s="210">
        <f t="shared" si="36"/>
        <v>6.0694444444452529</v>
      </c>
      <c r="AG32" s="210">
        <f t="shared" si="37"/>
        <v>0</v>
      </c>
    </row>
    <row r="33" spans="2:33" ht="15" customHeight="1" x14ac:dyDescent="0.3">
      <c r="B33" s="196" t="s">
        <v>7</v>
      </c>
      <c r="C33" s="197" t="s">
        <v>13</v>
      </c>
      <c r="D33" s="198" t="str">
        <f t="shared" si="19"/>
        <v>C</v>
      </c>
      <c r="E33" s="199">
        <v>43487.666666666664</v>
      </c>
      <c r="F33" s="200" t="s">
        <v>121</v>
      </c>
      <c r="G33" s="201">
        <v>0.71316999999999997</v>
      </c>
      <c r="H33" s="201">
        <v>0.71618999999999999</v>
      </c>
      <c r="I33" s="202">
        <f t="shared" si="20"/>
        <v>3.0200000000000227E-3</v>
      </c>
      <c r="J33" s="201">
        <v>0.69708999999999999</v>
      </c>
      <c r="K33" s="199">
        <v>43489.084027777775</v>
      </c>
      <c r="L33" s="201">
        <v>0.71618999999999999</v>
      </c>
      <c r="M33" s="203">
        <f t="shared" si="21"/>
        <v>-3.0000000000000001E-3</v>
      </c>
      <c r="N33" s="204">
        <f t="shared" si="22"/>
        <v>-0.99</v>
      </c>
      <c r="O33" s="205">
        <f t="shared" si="23"/>
        <v>0</v>
      </c>
      <c r="P33" s="206">
        <f t="shared" si="24"/>
        <v>0</v>
      </c>
      <c r="Q33" s="206">
        <f t="shared" si="25"/>
        <v>-0.99</v>
      </c>
      <c r="R33" s="206" t="str">
        <f ca="1">IF(AND(OFFSET(Tabla336106734814[[#This Row],[Equity]],1,0)="",Tabla336106734814[[#This Row],[No. of Rs]]&lt;0),"Yes",IF(AND(OFFSET(Tabla336106734814[[#This Row],[Initial Losing Trade]],1,0)="Yes",Tabla336106734814[[#This Row],[No. of Rs]]&lt;0),"Yes","No"))</f>
        <v>No</v>
      </c>
      <c r="S33" s="207">
        <f ca="1">IF(OFFSET(Tabla336106734814[[#This Row],[Equity]],1,0)="",IF(Tabla336106734814[[#This Row],[No. of Rs]]="",$F$11,$F$11+($F$11*Tabla336106734814[[#This Row],[No. of Rs]]/100)),IF(Tabla336106734814[[#This Row],[No. of Rs]]="",OFFSET(Tabla336106734814[[#This Row],[Equity]],1,0),OFFSET(Tabla336106734814[[#This Row],[Equity]],1,0)+($F$11*Tabla336106734814[[#This Row],[No. of Rs]]/100)))</f>
        <v>104360</v>
      </c>
      <c r="T33" s="207">
        <f ca="1">IF(OFFSET(Tabla336106734814[[#This Row],[Equity Peak]],1,0)="",IF(Tabla336106734814[[#This Row],[Initial Losing Trade]]="Yes",$F$11,Tabla336106734814[[#This Row],[Equity]]),IF(OFFSET(Tabla336106734814[[#This Row],[Equity Peak]],1,0)&gt;Tabla336106734814[[#This Row],[Equity]],OFFSET(Tabla336106734814[[#This Row],[Equity Peak]],1,0),Tabla336106734814[[#This Row],[Equity]]))</f>
        <v>105350</v>
      </c>
      <c r="U33" s="208">
        <f ca="1">IF(Tabla336106734814[[#This Row],[Equity]]&lt;Tabla336106734814[[#This Row],[Equity Peak]],(Tabla336106734814[[#This Row],[Equity Peak]]-Tabla336106734814[[#This Row],[Equity]])/Tabla336106734814[[#This Row],[Equity Peak]],"")</f>
        <v>9.3972472710014236E-3</v>
      </c>
      <c r="V33" s="209">
        <f t="shared" si="26"/>
        <v>-0.99</v>
      </c>
      <c r="W33" s="209">
        <f t="shared" si="27"/>
        <v>0</v>
      </c>
      <c r="X33" s="209">
        <f t="shared" si="28"/>
        <v>0</v>
      </c>
      <c r="Y33" s="209">
        <f t="shared" si="29"/>
        <v>0</v>
      </c>
      <c r="Z33" s="209">
        <f t="shared" si="30"/>
        <v>0</v>
      </c>
      <c r="AA33" s="205">
        <f t="shared" si="31"/>
        <v>0</v>
      </c>
      <c r="AB33" s="209">
        <f t="shared" si="32"/>
        <v>0</v>
      </c>
      <c r="AC33" s="205">
        <f t="shared" si="33"/>
        <v>0</v>
      </c>
      <c r="AD33" s="210">
        <f t="shared" si="34"/>
        <v>1.4173611111109494</v>
      </c>
      <c r="AE33" s="210">
        <f t="shared" si="35"/>
        <v>0</v>
      </c>
      <c r="AF33" s="210">
        <f t="shared" si="36"/>
        <v>1.4173611111109494</v>
      </c>
      <c r="AG33" s="210">
        <f t="shared" si="37"/>
        <v>0</v>
      </c>
    </row>
    <row r="34" spans="2:33" ht="15" customHeight="1" x14ac:dyDescent="0.3">
      <c r="B34" s="196" t="s">
        <v>7</v>
      </c>
      <c r="C34" s="197" t="s">
        <v>13</v>
      </c>
      <c r="D34" s="198" t="str">
        <f t="shared" si="19"/>
        <v>C</v>
      </c>
      <c r="E34" s="199">
        <v>43440.666666666664</v>
      </c>
      <c r="F34" s="200" t="s">
        <v>121</v>
      </c>
      <c r="G34" s="201">
        <v>0.72048000000000001</v>
      </c>
      <c r="H34" s="201">
        <v>0.72497</v>
      </c>
      <c r="I34" s="202">
        <f t="shared" si="20"/>
        <v>4.489999999999994E-3</v>
      </c>
      <c r="J34" s="201">
        <v>0.69650999999999996</v>
      </c>
      <c r="K34" s="199">
        <v>43468.011805555558</v>
      </c>
      <c r="L34" s="201">
        <v>0.69650999999999996</v>
      </c>
      <c r="M34" s="203">
        <f t="shared" si="21"/>
        <v>2.4E-2</v>
      </c>
      <c r="N34" s="204">
        <f t="shared" si="22"/>
        <v>5.35</v>
      </c>
      <c r="O34" s="205">
        <f t="shared" si="23"/>
        <v>0</v>
      </c>
      <c r="P34" s="206">
        <f t="shared" si="24"/>
        <v>5.35</v>
      </c>
      <c r="Q34" s="206">
        <f t="shared" si="25"/>
        <v>0</v>
      </c>
      <c r="R34" s="206" t="str">
        <f ca="1">IF(AND(OFFSET(Tabla336106734814[[#This Row],[Equity]],1,0)="",Tabla336106734814[[#This Row],[No. of Rs]]&lt;0),"Yes",IF(AND(OFFSET(Tabla336106734814[[#This Row],[Initial Losing Trade]],1,0)="Yes",Tabla336106734814[[#This Row],[No. of Rs]]&lt;0),"Yes","No"))</f>
        <v>No</v>
      </c>
      <c r="S34" s="207">
        <f ca="1">IF(OFFSET(Tabla336106734814[[#This Row],[Equity]],1,0)="",IF(Tabla336106734814[[#This Row],[No. of Rs]]="",$F$11,$F$11+($F$11*Tabla336106734814[[#This Row],[No. of Rs]]/100)),IF(Tabla336106734814[[#This Row],[No. of Rs]]="",OFFSET(Tabla336106734814[[#This Row],[Equity]],1,0),OFFSET(Tabla336106734814[[#This Row],[Equity]],1,0)+($F$11*Tabla336106734814[[#This Row],[No. of Rs]]/100)))</f>
        <v>105350</v>
      </c>
      <c r="T34" s="207">
        <f ca="1">IF(OFFSET(Tabla336106734814[[#This Row],[Equity Peak]],1,0)="",IF(Tabla336106734814[[#This Row],[Initial Losing Trade]]="Yes",$F$11,Tabla336106734814[[#This Row],[Equity]]),IF(OFFSET(Tabla336106734814[[#This Row],[Equity Peak]],1,0)&gt;Tabla336106734814[[#This Row],[Equity]],OFFSET(Tabla336106734814[[#This Row],[Equity Peak]],1,0),Tabla336106734814[[#This Row],[Equity]]))</f>
        <v>105350</v>
      </c>
      <c r="U34" s="208" t="str">
        <f ca="1">IF(Tabla336106734814[[#This Row],[Equity]]&lt;Tabla336106734814[[#This Row],[Equity Peak]],(Tabla336106734814[[#This Row],[Equity Peak]]-Tabla336106734814[[#This Row],[Equity]])/Tabla336106734814[[#This Row],[Equity Peak]],"")</f>
        <v/>
      </c>
      <c r="V34" s="209">
        <f t="shared" si="26"/>
        <v>5.35</v>
      </c>
      <c r="W34" s="209">
        <f t="shared" si="27"/>
        <v>0</v>
      </c>
      <c r="X34" s="209">
        <f t="shared" si="28"/>
        <v>0</v>
      </c>
      <c r="Y34" s="209">
        <f t="shared" si="29"/>
        <v>0</v>
      </c>
      <c r="Z34" s="209">
        <f t="shared" si="30"/>
        <v>0</v>
      </c>
      <c r="AA34" s="205">
        <f t="shared" si="31"/>
        <v>0</v>
      </c>
      <c r="AB34" s="209">
        <f t="shared" si="32"/>
        <v>0</v>
      </c>
      <c r="AC34" s="205">
        <f t="shared" si="33"/>
        <v>0</v>
      </c>
      <c r="AD34" s="210">
        <f t="shared" si="34"/>
        <v>27.345138888893416</v>
      </c>
      <c r="AE34" s="210">
        <f t="shared" si="35"/>
        <v>27.345138888893416</v>
      </c>
      <c r="AF34" s="210">
        <f t="shared" si="36"/>
        <v>0</v>
      </c>
      <c r="AG34" s="210">
        <f t="shared" si="37"/>
        <v>0</v>
      </c>
    </row>
  </sheetData>
  <sheetProtection algorithmName="SHA-512" hashValue="hbtg8kuX9u9kxuWhpzALEFccsuv7/KQ1xPhlTG8ikbmuic7IJCt+/jRZR3cApm9Q7sWtaqMlFdlktxq1sU2VWA==" saltValue="BPNdBeix4U/mHjPgWKLx0Q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839" priority="3" operator="equal">
      <formula>"OK"</formula>
    </cfRule>
    <cfRule type="cellIs" dxfId="838" priority="4" operator="equal">
      <formula>"warning"</formula>
    </cfRule>
  </conditionalFormatting>
  <conditionalFormatting sqref="F13">
    <cfRule type="cellIs" dxfId="837" priority="1" operator="equal">
      <formula>"OK"</formula>
    </cfRule>
    <cfRule type="cellIs" dxfId="836" priority="2" operator="equal">
      <formula>"Error!!"</formula>
    </cfRule>
  </conditionalFormatting>
  <conditionalFormatting sqref="E15:H15 K15:L15">
    <cfRule type="expression" dxfId="835" priority="5">
      <formula>+$D15=#REF!</formula>
    </cfRule>
    <cfRule type="expression" dxfId="834" priority="6">
      <formula>+$D15=#REF!</formula>
    </cfRule>
  </conditionalFormatting>
  <conditionalFormatting sqref="D15 K16:L16 D16:H34 J17:L34">
    <cfRule type="expression" dxfId="833" priority="7">
      <formula>+$D15=$AG$8</formula>
    </cfRule>
    <cfRule type="expression" dxfId="832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5:B16" xr:uid="{1B0E86E7-AA74-4F77-8A53-CE4E8C11CDB7}">
      <formula1>$AE$4:$AE$6</formula1>
    </dataValidation>
    <dataValidation type="list" allowBlank="1" showInputMessage="1" showErrorMessage="1" promptTitle="Trade Direction" prompt="Select from List" sqref="C15:C16" xr:uid="{63A65E5F-B023-4B6E-928F-F2F594D9B5B2}">
      <formula1>$AG$4:$AG$5</formula1>
    </dataValidation>
    <dataValidation type="list" allowBlank="1" showInputMessage="1" showErrorMessage="1" promptTitle="Instrument Type" prompt="Select Type from List_x000a_" sqref="B17:B34" xr:uid="{3D23378C-5B30-48F2-96E1-64D7629B8A44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BB706-A3BD-43E2-BE2F-6DCC54C96192}">
  <sheetPr codeName="Hoja25">
    <pageSetUpPr fitToPage="1"/>
  </sheetPr>
  <dimension ref="A1:AX55"/>
  <sheetViews>
    <sheetView showGridLines="0" showZeros="0" tabSelected="1" zoomScale="115" zoomScaleNormal="115" zoomScalePageLayoutView="99" workbookViewId="0">
      <pane ySplit="16" topLeftCell="A17" activePane="bottomLeft" state="frozen"/>
      <selection activeCell="E2" sqref="E2:N5"/>
      <selection pane="bottomLeft" activeCell="E2" sqref="E2:N5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123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COUNTA(Tabla336106734819[Inst])</f>
        <v>39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5.8400000000000007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5.8400000000000007</v>
      </c>
      <c r="W6" s="18"/>
      <c r="X6" s="17">
        <f>+X13</f>
        <v>0</v>
      </c>
      <c r="Y6" s="19"/>
      <c r="Z6" s="17">
        <f>+Z13</f>
        <v>0</v>
      </c>
      <c r="AA6" s="19"/>
      <c r="AB6" s="17">
        <f>+AB13</f>
        <v>0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COUNTIF(Tabla336106734819[No. of Rs],"&gt;0")</f>
        <v>12</v>
      </c>
      <c r="G7" s="24">
        <f>IFERROR((F7/$F$6),"")</f>
        <v>0.30769230769230771</v>
      </c>
      <c r="H7" s="78">
        <f>IFERROR((+P13/F7),"")</f>
        <v>1.7199999999999998</v>
      </c>
      <c r="I7" s="227">
        <f>H7/H9</f>
        <v>3.1378378378378371</v>
      </c>
      <c r="J7" s="227">
        <f>AVERAGE(Tabla336106734819[No. of Rs])</f>
        <v>0.14974358974358976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1</v>
      </c>
      <c r="W7" s="27"/>
      <c r="X7" s="26">
        <f>IFERROR((X6/N6),"")</f>
        <v>0</v>
      </c>
      <c r="Y7" s="28"/>
      <c r="Z7" s="26">
        <f>IFERROR((Z6/N6),"")</f>
        <v>0</v>
      </c>
      <c r="AA7" s="28"/>
      <c r="AB7" s="26">
        <f>IFERROR((AB6/N6),"")</f>
        <v>0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COUNTIF(Tabla336106734819[No. of Rs],"=0")</f>
        <v>0</v>
      </c>
      <c r="G8" s="24">
        <f>IFERROR((F8/$F$6),"")</f>
        <v>0</v>
      </c>
      <c r="H8" s="78"/>
      <c r="I8" s="228"/>
      <c r="J8" s="228"/>
      <c r="K8" s="163"/>
      <c r="L8" s="212" t="s">
        <v>112</v>
      </c>
      <c r="M8" s="213"/>
      <c r="N8" s="195">
        <f ca="1">OFFSET(Tabla336106734819[[#Headers],[Equity]],1,0)</f>
        <v>105840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COUNTIF(Tabla336106734819[No. of Rs],"&lt;0")</f>
        <v>27</v>
      </c>
      <c r="G9" s="32">
        <f>IFERROR((F9/$F$6),"")</f>
        <v>0.69230769230769229</v>
      </c>
      <c r="H9" s="79">
        <f>IFERROR((-Q13/F9),"")</f>
        <v>0.54814814814814816</v>
      </c>
      <c r="I9" s="229"/>
      <c r="J9" s="229"/>
      <c r="K9" s="149"/>
      <c r="L9" s="230" t="s">
        <v>106</v>
      </c>
      <c r="M9" s="231"/>
      <c r="N9" s="125">
        <f ca="1">MAX(Tabla336106734819[Drawdown])</f>
        <v>3.7220611615075283E-2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>
        <f ca="1">OFFSET(Tabla336106734819[[#Headers],[Drawdown]],1,0)</f>
        <v>1.0193584588048256E-2</v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COUNTIF(Tabla336106734819[Heat],"&lt;0")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IF(COUNTIFS(Tabla336106734819[O/C],"O")&lt;1,"None",COUNTIFS(Tabla336106734819[O/C],"O"))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SUM(Tabla336106734819[No. of Rs])</f>
        <v>5.8400000000000007</v>
      </c>
      <c r="O13" s="42">
        <f>SUM(Tabla336106734819[Heat])</f>
        <v>0</v>
      </c>
      <c r="P13" s="43">
        <f>SUM(Tabla336106734819[[ TR WIN]])</f>
        <v>20.639999999999997</v>
      </c>
      <c r="Q13" s="43">
        <f>SUM(Tabla336106734819[[ TR LOSS]])</f>
        <v>-14.8</v>
      </c>
      <c r="R13" s="114"/>
      <c r="S13" s="115"/>
      <c r="T13" s="115"/>
      <c r="U13" s="121"/>
      <c r="V13" s="44">
        <f>SUM(Tabla336106734819[Currency])</f>
        <v>5.8400000000000007</v>
      </c>
      <c r="W13" s="44">
        <f>SUM(Tabla336106734819[Heat3])</f>
        <v>0</v>
      </c>
      <c r="X13" s="44">
        <f>SUM(Tabla336106734819[Commodities])</f>
        <v>0</v>
      </c>
      <c r="Y13" s="44">
        <f>SUM(Tabla336106734819[Heat4])</f>
        <v>0</v>
      </c>
      <c r="Z13" s="44">
        <f>SUM(Tabla336106734819[Index])</f>
        <v>0</v>
      </c>
      <c r="AA13" s="44">
        <f>SUM(Tabla336106734819[Heat5])</f>
        <v>0</v>
      </c>
      <c r="AB13" s="44">
        <f>SUM(Tabla336106734819[Cryptocurrency])</f>
        <v>0</v>
      </c>
      <c r="AC13" s="44">
        <f>SUM(Tabla336106734819[Heat6])</f>
        <v>0</v>
      </c>
      <c r="AD13" s="75">
        <f>AVERAGEIF(Tabla336106734819[Length of 
Trade],"&lt;&gt;0")</f>
        <v>2.7976139601131971</v>
      </c>
      <c r="AE13" s="75">
        <f>AVERAGEIF(Tabla336106734819[Win],"&lt;&gt;0")</f>
        <v>6.2075231481467199</v>
      </c>
      <c r="AF13" s="75">
        <f>AVERAGEIF(Tabla336106734819[Loss],"&lt;&gt;0")</f>
        <v>1.2820987654316316</v>
      </c>
      <c r="AG13" s="76" t="e">
        <f>AVERAGEIF(Tabla336106734819[Breakeven],"&lt;&gt;0")</f>
        <v>#DIV/0!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2:33" ht="15" customHeight="1" x14ac:dyDescent="0.3">
      <c r="B17" s="196" t="s">
        <v>7</v>
      </c>
      <c r="C17" s="197" t="s">
        <v>13</v>
      </c>
      <c r="D17" s="198" t="str">
        <f t="shared" ref="D17:D37" si="0">IF(E17&lt;&gt;"",IF(K17&lt;&gt;"","C","O"),"")</f>
        <v>C</v>
      </c>
      <c r="E17" s="199">
        <v>43818.333333333336</v>
      </c>
      <c r="F17" s="200" t="s">
        <v>120</v>
      </c>
      <c r="G17" s="201">
        <v>1.61748</v>
      </c>
      <c r="H17" s="201">
        <v>1.6229199999999999</v>
      </c>
      <c r="I17" s="202">
        <f t="shared" ref="I17:I37" si="1">ABS(G17-H17)</f>
        <v>5.4399999999998894E-3</v>
      </c>
      <c r="J17" s="201">
        <v>1.55949</v>
      </c>
      <c r="K17" s="199">
        <v>43826.441666666666</v>
      </c>
      <c r="L17" s="201">
        <v>1.60178</v>
      </c>
      <c r="M17" s="203">
        <f t="shared" ref="M17:M37" si="2">ROUND(IF(C17="L",(L17-G17),(G17-L17)),4)</f>
        <v>1.5699999999999999E-2</v>
      </c>
      <c r="N17" s="204">
        <f t="shared" ref="N17:N37" si="3">IFERROR(ROUND((M17/I17),2),"")</f>
        <v>2.89</v>
      </c>
      <c r="O17" s="205">
        <f t="shared" ref="O17:O37" si="4">IF(D17="O",IF(N17&lt;0,N17,0),0)</f>
        <v>0</v>
      </c>
      <c r="P17" s="206">
        <f t="shared" ref="P17:P37" si="5">IF(N17&gt;= 0,N17,0)</f>
        <v>2.89</v>
      </c>
      <c r="Q17" s="206">
        <f t="shared" ref="Q17:Q37" si="6">IF(N17&lt;0,N17,0)</f>
        <v>0</v>
      </c>
      <c r="R17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17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105840</v>
      </c>
      <c r="T17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106930</v>
      </c>
      <c r="U17" s="208">
        <f ca="1">IF(Tabla336106734819[[#This Row],[Equity]]&lt;Tabla336106734819[[#This Row],[Equity Peak]],(Tabla336106734819[[#This Row],[Equity Peak]]-Tabla336106734819[[#This Row],[Equity]])/Tabla336106734819[[#This Row],[Equity Peak]],"")</f>
        <v>1.0193584588048256E-2</v>
      </c>
      <c r="V17" s="209">
        <f t="shared" ref="V17:V37" si="7">IF(B17="FX",N17,0)</f>
        <v>2.89</v>
      </c>
      <c r="W17" s="209">
        <f t="shared" ref="W17:W37" si="8">IF(D17="O",IF(V17&lt;0,V17,0),0)</f>
        <v>0</v>
      </c>
      <c r="X17" s="209">
        <f t="shared" ref="X17:X37" si="9">IF(B17="COM",N17,0)</f>
        <v>0</v>
      </c>
      <c r="Y17" s="209">
        <f t="shared" ref="Y17:Y37" si="10">IF(D17="O",IF(X17&lt;0,X17,0),0)</f>
        <v>0</v>
      </c>
      <c r="Z17" s="209">
        <f t="shared" ref="Z17:Z37" si="11">IF(B17="IND",N17,0)</f>
        <v>0</v>
      </c>
      <c r="AA17" s="205">
        <f t="shared" ref="AA17:AA37" si="12">IF(D17="O",IF(Z17&lt;0,Z17,0),0)</f>
        <v>0</v>
      </c>
      <c r="AB17" s="209">
        <f t="shared" ref="AB17:AB37" si="13">IF(B17="CRYPTO",N17,0)</f>
        <v>0</v>
      </c>
      <c r="AC17" s="205">
        <f t="shared" ref="AC17:AC37" si="14">IF(D17="O",IF(AB17&lt;0,AB17,0),0)</f>
        <v>0</v>
      </c>
      <c r="AD17" s="210">
        <f t="shared" ref="AD17:AD37" si="15">IF(K17&lt;&gt;"",K17-E17,0)</f>
        <v>8.1083333333299379</v>
      </c>
      <c r="AE17" s="210">
        <f t="shared" ref="AE17:AE37" si="16">IF(N17&gt;0,AD17,0)</f>
        <v>8.1083333333299379</v>
      </c>
      <c r="AF17" s="210">
        <f t="shared" ref="AF17:AF37" si="17">IF(N17&lt;0,AD17,0)</f>
        <v>0</v>
      </c>
      <c r="AG17" s="210">
        <f t="shared" ref="AG17:AG37" si="18">IF(N17=0,AD17,0)</f>
        <v>0</v>
      </c>
    </row>
    <row r="18" spans="2:33" ht="15" customHeight="1" x14ac:dyDescent="0.3">
      <c r="B18" s="196" t="s">
        <v>7</v>
      </c>
      <c r="C18" s="197" t="s">
        <v>15</v>
      </c>
      <c r="D18" s="198" t="str">
        <f t="shared" si="0"/>
        <v>C</v>
      </c>
      <c r="E18" s="199">
        <v>43816.333333333336</v>
      </c>
      <c r="F18" s="200" t="s">
        <v>120</v>
      </c>
      <c r="G18" s="201">
        <v>1.6231</v>
      </c>
      <c r="H18" s="201">
        <v>1.6162399999999999</v>
      </c>
      <c r="I18" s="202">
        <f t="shared" si="1"/>
        <v>6.8600000000000882E-3</v>
      </c>
      <c r="J18" s="201">
        <v>1.69624</v>
      </c>
      <c r="K18" s="199">
        <v>43817.603472222225</v>
      </c>
      <c r="L18" s="201">
        <v>1.62276</v>
      </c>
      <c r="M18" s="203">
        <f t="shared" si="2"/>
        <v>-2.9999999999999997E-4</v>
      </c>
      <c r="N18" s="204">
        <f t="shared" si="3"/>
        <v>-0.04</v>
      </c>
      <c r="O18" s="205">
        <f t="shared" si="4"/>
        <v>0</v>
      </c>
      <c r="P18" s="206">
        <f t="shared" si="5"/>
        <v>0</v>
      </c>
      <c r="Q18" s="206">
        <f t="shared" si="6"/>
        <v>-0.04</v>
      </c>
      <c r="R18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18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102950</v>
      </c>
      <c r="T18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106930</v>
      </c>
      <c r="U18" s="208">
        <f ca="1">IF(Tabla336106734819[[#This Row],[Equity]]&lt;Tabla336106734819[[#This Row],[Equity Peak]],(Tabla336106734819[[#This Row],[Equity Peak]]-Tabla336106734819[[#This Row],[Equity]])/Tabla336106734819[[#This Row],[Equity Peak]],"")</f>
        <v>3.7220611615075283E-2</v>
      </c>
      <c r="V18" s="209">
        <f t="shared" si="7"/>
        <v>-0.04</v>
      </c>
      <c r="W18" s="209">
        <f t="shared" si="8"/>
        <v>0</v>
      </c>
      <c r="X18" s="209">
        <f t="shared" si="9"/>
        <v>0</v>
      </c>
      <c r="Y18" s="209">
        <f t="shared" si="10"/>
        <v>0</v>
      </c>
      <c r="Z18" s="209">
        <f t="shared" si="11"/>
        <v>0</v>
      </c>
      <c r="AA18" s="205">
        <f t="shared" si="12"/>
        <v>0</v>
      </c>
      <c r="AB18" s="209">
        <f t="shared" si="13"/>
        <v>0</v>
      </c>
      <c r="AC18" s="205">
        <f t="shared" si="14"/>
        <v>0</v>
      </c>
      <c r="AD18" s="210">
        <f t="shared" si="15"/>
        <v>1.2701388888890506</v>
      </c>
      <c r="AE18" s="210">
        <f t="shared" si="16"/>
        <v>0</v>
      </c>
      <c r="AF18" s="210">
        <f t="shared" si="17"/>
        <v>1.2701388888890506</v>
      </c>
      <c r="AG18" s="210">
        <f t="shared" si="18"/>
        <v>0</v>
      </c>
    </row>
    <row r="19" spans="2:33" ht="15" customHeight="1" x14ac:dyDescent="0.3">
      <c r="B19" s="196" t="s">
        <v>7</v>
      </c>
      <c r="C19" s="197" t="s">
        <v>13</v>
      </c>
      <c r="D19" s="198" t="str">
        <f t="shared" si="0"/>
        <v>C</v>
      </c>
      <c r="E19" s="199">
        <v>43810.833333333336</v>
      </c>
      <c r="F19" s="200" t="s">
        <v>120</v>
      </c>
      <c r="G19" s="201">
        <v>1.61591</v>
      </c>
      <c r="H19" s="201">
        <v>1.62137</v>
      </c>
      <c r="I19" s="202">
        <f t="shared" si="1"/>
        <v>5.4600000000000204E-3</v>
      </c>
      <c r="J19" s="201">
        <v>1.55768</v>
      </c>
      <c r="K19" s="199">
        <v>43812.606249999997</v>
      </c>
      <c r="L19" s="201">
        <v>1.6171599999999999</v>
      </c>
      <c r="M19" s="203">
        <f t="shared" si="2"/>
        <v>-1.1999999999999999E-3</v>
      </c>
      <c r="N19" s="204">
        <f t="shared" si="3"/>
        <v>-0.22</v>
      </c>
      <c r="O19" s="205">
        <f t="shared" si="4"/>
        <v>0</v>
      </c>
      <c r="P19" s="206">
        <f t="shared" si="5"/>
        <v>0</v>
      </c>
      <c r="Q19" s="206">
        <f t="shared" si="6"/>
        <v>-0.22</v>
      </c>
      <c r="R19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19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102990</v>
      </c>
      <c r="T19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106930</v>
      </c>
      <c r="U19" s="208">
        <f ca="1">IF(Tabla336106734819[[#This Row],[Equity]]&lt;Tabla336106734819[[#This Row],[Equity Peak]],(Tabla336106734819[[#This Row],[Equity Peak]]-Tabla336106734819[[#This Row],[Equity]])/Tabla336106734819[[#This Row],[Equity Peak]],"")</f>
        <v>3.6846535116431309E-2</v>
      </c>
      <c r="V19" s="209">
        <f t="shared" si="7"/>
        <v>-0.22</v>
      </c>
      <c r="W19" s="209">
        <f t="shared" si="8"/>
        <v>0</v>
      </c>
      <c r="X19" s="209">
        <f t="shared" si="9"/>
        <v>0</v>
      </c>
      <c r="Y19" s="209">
        <f t="shared" si="10"/>
        <v>0</v>
      </c>
      <c r="Z19" s="209">
        <f t="shared" si="11"/>
        <v>0</v>
      </c>
      <c r="AA19" s="205">
        <f t="shared" si="12"/>
        <v>0</v>
      </c>
      <c r="AB19" s="209">
        <f t="shared" si="13"/>
        <v>0</v>
      </c>
      <c r="AC19" s="205">
        <f t="shared" si="14"/>
        <v>0</v>
      </c>
      <c r="AD19" s="210">
        <f t="shared" si="15"/>
        <v>1.772916666661331</v>
      </c>
      <c r="AE19" s="210">
        <f t="shared" si="16"/>
        <v>0</v>
      </c>
      <c r="AF19" s="210">
        <f t="shared" si="17"/>
        <v>1.772916666661331</v>
      </c>
      <c r="AG19" s="210">
        <f t="shared" si="18"/>
        <v>0</v>
      </c>
    </row>
    <row r="20" spans="2:33" ht="15" customHeight="1" x14ac:dyDescent="0.3">
      <c r="B20" s="196" t="s">
        <v>7</v>
      </c>
      <c r="C20" s="197" t="s">
        <v>15</v>
      </c>
      <c r="D20" s="198" t="str">
        <f t="shared" si="0"/>
        <v>C</v>
      </c>
      <c r="E20" s="199">
        <v>43809.5</v>
      </c>
      <c r="F20" s="200" t="s">
        <v>120</v>
      </c>
      <c r="G20" s="201">
        <v>1.62558</v>
      </c>
      <c r="H20" s="201">
        <v>1.6207499999999999</v>
      </c>
      <c r="I20" s="202">
        <f t="shared" si="1"/>
        <v>4.830000000000112E-3</v>
      </c>
      <c r="J20" s="201">
        <v>1.6770499999999999</v>
      </c>
      <c r="K20" s="199">
        <v>43810.43472222222</v>
      </c>
      <c r="L20" s="201">
        <v>1.6237999999999999</v>
      </c>
      <c r="M20" s="203">
        <f t="shared" si="2"/>
        <v>-1.8E-3</v>
      </c>
      <c r="N20" s="204">
        <f t="shared" si="3"/>
        <v>-0.37</v>
      </c>
      <c r="O20" s="205">
        <f t="shared" si="4"/>
        <v>0</v>
      </c>
      <c r="P20" s="206">
        <f t="shared" si="5"/>
        <v>0</v>
      </c>
      <c r="Q20" s="206">
        <f t="shared" si="6"/>
        <v>-0.37</v>
      </c>
      <c r="R20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20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103210</v>
      </c>
      <c r="T20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106930</v>
      </c>
      <c r="U20" s="208">
        <f ca="1">IF(Tabla336106734819[[#This Row],[Equity]]&lt;Tabla336106734819[[#This Row],[Equity Peak]],(Tabla336106734819[[#This Row],[Equity Peak]]-Tabla336106734819[[#This Row],[Equity]])/Tabla336106734819[[#This Row],[Equity Peak]],"")</f>
        <v>3.4789114373889457E-2</v>
      </c>
      <c r="V20" s="209">
        <f t="shared" si="7"/>
        <v>-0.37</v>
      </c>
      <c r="W20" s="209">
        <f t="shared" si="8"/>
        <v>0</v>
      </c>
      <c r="X20" s="209">
        <f t="shared" si="9"/>
        <v>0</v>
      </c>
      <c r="Y20" s="209">
        <f t="shared" si="10"/>
        <v>0</v>
      </c>
      <c r="Z20" s="209">
        <f t="shared" si="11"/>
        <v>0</v>
      </c>
      <c r="AA20" s="205">
        <f t="shared" si="12"/>
        <v>0</v>
      </c>
      <c r="AB20" s="209">
        <f t="shared" si="13"/>
        <v>0</v>
      </c>
      <c r="AC20" s="205">
        <f t="shared" si="14"/>
        <v>0</v>
      </c>
      <c r="AD20" s="210">
        <f t="shared" si="15"/>
        <v>0.93472222222044365</v>
      </c>
      <c r="AE20" s="210">
        <f t="shared" si="16"/>
        <v>0</v>
      </c>
      <c r="AF20" s="210">
        <f t="shared" si="17"/>
        <v>0.93472222222044365</v>
      </c>
      <c r="AG20" s="210">
        <f t="shared" si="18"/>
        <v>0</v>
      </c>
    </row>
    <row r="21" spans="2:33" ht="15" customHeight="1" x14ac:dyDescent="0.3">
      <c r="B21" s="196" t="s">
        <v>7</v>
      </c>
      <c r="C21" s="197" t="s">
        <v>13</v>
      </c>
      <c r="D21" s="198" t="str">
        <f t="shared" si="0"/>
        <v>C</v>
      </c>
      <c r="E21" s="199">
        <v>43805.666666666664</v>
      </c>
      <c r="F21" s="200" t="s">
        <v>120</v>
      </c>
      <c r="G21" s="201">
        <v>1.61856</v>
      </c>
      <c r="H21" s="201">
        <v>1.6238999999999999</v>
      </c>
      <c r="I21" s="202">
        <f t="shared" si="1"/>
        <v>5.3399999999999004E-3</v>
      </c>
      <c r="J21" s="201">
        <v>1.56165</v>
      </c>
      <c r="K21" s="199">
        <v>43808.4375</v>
      </c>
      <c r="L21" s="201">
        <v>1.6213200000000001</v>
      </c>
      <c r="M21" s="203">
        <f t="shared" si="2"/>
        <v>-2.8E-3</v>
      </c>
      <c r="N21" s="204">
        <f t="shared" si="3"/>
        <v>-0.52</v>
      </c>
      <c r="O21" s="205">
        <f t="shared" si="4"/>
        <v>0</v>
      </c>
      <c r="P21" s="206">
        <f t="shared" si="5"/>
        <v>0</v>
      </c>
      <c r="Q21" s="206">
        <f t="shared" si="6"/>
        <v>-0.52</v>
      </c>
      <c r="R21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21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103580</v>
      </c>
      <c r="T21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106930</v>
      </c>
      <c r="U21" s="208">
        <f ca="1">IF(Tabla336106734819[[#This Row],[Equity]]&lt;Tabla336106734819[[#This Row],[Equity Peak]],(Tabla336106734819[[#This Row],[Equity Peak]]-Tabla336106734819[[#This Row],[Equity]])/Tabla336106734819[[#This Row],[Equity Peak]],"")</f>
        <v>3.1328906761432712E-2</v>
      </c>
      <c r="V21" s="209">
        <f t="shared" si="7"/>
        <v>-0.52</v>
      </c>
      <c r="W21" s="209">
        <f t="shared" si="8"/>
        <v>0</v>
      </c>
      <c r="X21" s="209">
        <f t="shared" si="9"/>
        <v>0</v>
      </c>
      <c r="Y21" s="209">
        <f t="shared" si="10"/>
        <v>0</v>
      </c>
      <c r="Z21" s="209">
        <f t="shared" si="11"/>
        <v>0</v>
      </c>
      <c r="AA21" s="205">
        <f t="shared" si="12"/>
        <v>0</v>
      </c>
      <c r="AB21" s="209">
        <f t="shared" si="13"/>
        <v>0</v>
      </c>
      <c r="AC21" s="205">
        <f t="shared" si="14"/>
        <v>0</v>
      </c>
      <c r="AD21" s="210">
        <f t="shared" si="15"/>
        <v>2.7708333333357587</v>
      </c>
      <c r="AE21" s="210">
        <f t="shared" si="16"/>
        <v>0</v>
      </c>
      <c r="AF21" s="210">
        <f t="shared" si="17"/>
        <v>2.7708333333357587</v>
      </c>
      <c r="AG21" s="210">
        <f t="shared" si="18"/>
        <v>0</v>
      </c>
    </row>
    <row r="22" spans="2:33" ht="15" customHeight="1" x14ac:dyDescent="0.3">
      <c r="B22" s="196" t="s">
        <v>7</v>
      </c>
      <c r="C22" s="197" t="s">
        <v>15</v>
      </c>
      <c r="D22" s="198" t="str">
        <f t="shared" si="0"/>
        <v>C</v>
      </c>
      <c r="E22" s="199">
        <v>43804.833333333336</v>
      </c>
      <c r="F22" s="200" t="s">
        <v>120</v>
      </c>
      <c r="G22" s="201">
        <v>1.62462</v>
      </c>
      <c r="H22" s="201">
        <v>1.6184499999999999</v>
      </c>
      <c r="I22" s="202">
        <f t="shared" si="1"/>
        <v>6.1700000000000088E-3</v>
      </c>
      <c r="J22" s="201">
        <v>1.69041</v>
      </c>
      <c r="K22" s="199">
        <v>43805.581250000003</v>
      </c>
      <c r="L22" s="201">
        <v>1.61927</v>
      </c>
      <c r="M22" s="203">
        <f t="shared" si="2"/>
        <v>-5.3E-3</v>
      </c>
      <c r="N22" s="204">
        <f t="shared" si="3"/>
        <v>-0.86</v>
      </c>
      <c r="O22" s="205">
        <f t="shared" si="4"/>
        <v>0</v>
      </c>
      <c r="P22" s="206">
        <f t="shared" si="5"/>
        <v>0</v>
      </c>
      <c r="Q22" s="206">
        <f t="shared" si="6"/>
        <v>-0.86</v>
      </c>
      <c r="R22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22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104100</v>
      </c>
      <c r="T22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106930</v>
      </c>
      <c r="U22" s="208">
        <f ca="1">IF(Tabla336106734819[[#This Row],[Equity]]&lt;Tabla336106734819[[#This Row],[Equity Peak]],(Tabla336106734819[[#This Row],[Equity Peak]]-Tabla336106734819[[#This Row],[Equity]])/Tabla336106734819[[#This Row],[Equity Peak]],"")</f>
        <v>2.6465912279061067E-2</v>
      </c>
      <c r="V22" s="209">
        <f t="shared" si="7"/>
        <v>-0.86</v>
      </c>
      <c r="W22" s="209">
        <f t="shared" si="8"/>
        <v>0</v>
      </c>
      <c r="X22" s="209">
        <f t="shared" si="9"/>
        <v>0</v>
      </c>
      <c r="Y22" s="209">
        <f t="shared" si="10"/>
        <v>0</v>
      </c>
      <c r="Z22" s="209">
        <f t="shared" si="11"/>
        <v>0</v>
      </c>
      <c r="AA22" s="205">
        <f t="shared" si="12"/>
        <v>0</v>
      </c>
      <c r="AB22" s="209">
        <f t="shared" si="13"/>
        <v>0</v>
      </c>
      <c r="AC22" s="205">
        <f t="shared" si="14"/>
        <v>0</v>
      </c>
      <c r="AD22" s="210">
        <f t="shared" si="15"/>
        <v>0.74791666666715173</v>
      </c>
      <c r="AE22" s="210">
        <f t="shared" si="16"/>
        <v>0</v>
      </c>
      <c r="AF22" s="210">
        <f t="shared" si="17"/>
        <v>0.74791666666715173</v>
      </c>
      <c r="AG22" s="210">
        <f t="shared" si="18"/>
        <v>0</v>
      </c>
    </row>
    <row r="23" spans="2:33" ht="15" customHeight="1" x14ac:dyDescent="0.3">
      <c r="B23" s="196" t="s">
        <v>7</v>
      </c>
      <c r="C23" s="197" t="s">
        <v>13</v>
      </c>
      <c r="D23" s="198" t="str">
        <f t="shared" si="0"/>
        <v>C</v>
      </c>
      <c r="E23" s="199">
        <v>43802.333333333336</v>
      </c>
      <c r="F23" s="200" t="s">
        <v>120</v>
      </c>
      <c r="G23" s="201">
        <v>1.61782</v>
      </c>
      <c r="H23" s="201">
        <v>1.6228</v>
      </c>
      <c r="I23" s="202">
        <f t="shared" si="1"/>
        <v>4.9799999999999844E-3</v>
      </c>
      <c r="J23" s="201">
        <v>1.56467</v>
      </c>
      <c r="K23" s="199">
        <v>43802.768055555556</v>
      </c>
      <c r="L23" s="201">
        <v>1.62094</v>
      </c>
      <c r="M23" s="203">
        <f t="shared" si="2"/>
        <v>-3.0999999999999999E-3</v>
      </c>
      <c r="N23" s="204">
        <f t="shared" si="3"/>
        <v>-0.62</v>
      </c>
      <c r="O23" s="205">
        <f t="shared" si="4"/>
        <v>0</v>
      </c>
      <c r="P23" s="206">
        <f t="shared" si="5"/>
        <v>0</v>
      </c>
      <c r="Q23" s="206">
        <f t="shared" si="6"/>
        <v>-0.62</v>
      </c>
      <c r="R23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23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104960</v>
      </c>
      <c r="T23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106930</v>
      </c>
      <c r="U23" s="208">
        <f ca="1">IF(Tabla336106734819[[#This Row],[Equity]]&lt;Tabla336106734819[[#This Row],[Equity Peak]],(Tabla336106734819[[#This Row],[Equity Peak]]-Tabla336106734819[[#This Row],[Equity]])/Tabla336106734819[[#This Row],[Equity Peak]],"")</f>
        <v>1.8423267558215654E-2</v>
      </c>
      <c r="V23" s="209">
        <f t="shared" si="7"/>
        <v>-0.62</v>
      </c>
      <c r="W23" s="209">
        <f t="shared" si="8"/>
        <v>0</v>
      </c>
      <c r="X23" s="209">
        <f t="shared" si="9"/>
        <v>0</v>
      </c>
      <c r="Y23" s="209">
        <f t="shared" si="10"/>
        <v>0</v>
      </c>
      <c r="Z23" s="209">
        <f t="shared" si="11"/>
        <v>0</v>
      </c>
      <c r="AA23" s="205">
        <f t="shared" si="12"/>
        <v>0</v>
      </c>
      <c r="AB23" s="209">
        <f t="shared" si="13"/>
        <v>0</v>
      </c>
      <c r="AC23" s="205">
        <f t="shared" si="14"/>
        <v>0</v>
      </c>
      <c r="AD23" s="210">
        <f t="shared" si="15"/>
        <v>0.43472222222044365</v>
      </c>
      <c r="AE23" s="210">
        <f t="shared" si="16"/>
        <v>0</v>
      </c>
      <c r="AF23" s="210">
        <f t="shared" si="17"/>
        <v>0.43472222222044365</v>
      </c>
      <c r="AG23" s="210">
        <f t="shared" si="18"/>
        <v>0</v>
      </c>
    </row>
    <row r="24" spans="2:33" ht="15" customHeight="1" x14ac:dyDescent="0.3">
      <c r="B24" s="196" t="s">
        <v>7</v>
      </c>
      <c r="C24" s="197" t="s">
        <v>15</v>
      </c>
      <c r="D24" s="198" t="str">
        <f t="shared" si="0"/>
        <v>C</v>
      </c>
      <c r="E24" s="199">
        <v>43783.333333333336</v>
      </c>
      <c r="F24" s="200" t="s">
        <v>120</v>
      </c>
      <c r="G24" s="201">
        <v>1.6167</v>
      </c>
      <c r="H24" s="201">
        <v>1.6107</v>
      </c>
      <c r="I24" s="202">
        <f t="shared" si="1"/>
        <v>6.0000000000000053E-3</v>
      </c>
      <c r="J24" s="201">
        <v>1.68068</v>
      </c>
      <c r="K24" s="199">
        <v>43788.574999999997</v>
      </c>
      <c r="L24" s="201">
        <v>1.62365</v>
      </c>
      <c r="M24" s="203">
        <f t="shared" si="2"/>
        <v>7.0000000000000001E-3</v>
      </c>
      <c r="N24" s="204">
        <f t="shared" si="3"/>
        <v>1.17</v>
      </c>
      <c r="O24" s="205">
        <f t="shared" si="4"/>
        <v>0</v>
      </c>
      <c r="P24" s="206">
        <f t="shared" si="5"/>
        <v>1.17</v>
      </c>
      <c r="Q24" s="206">
        <f t="shared" si="6"/>
        <v>0</v>
      </c>
      <c r="R24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24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105580</v>
      </c>
      <c r="T24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106930</v>
      </c>
      <c r="U24" s="208">
        <f ca="1">IF(Tabla336106734819[[#This Row],[Equity]]&lt;Tabla336106734819[[#This Row],[Equity Peak]],(Tabla336106734819[[#This Row],[Equity Peak]]-Tabla336106734819[[#This Row],[Equity]])/Tabla336106734819[[#This Row],[Equity Peak]],"")</f>
        <v>1.2625081829234079E-2</v>
      </c>
      <c r="V24" s="209">
        <f t="shared" si="7"/>
        <v>1.17</v>
      </c>
      <c r="W24" s="209">
        <f t="shared" si="8"/>
        <v>0</v>
      </c>
      <c r="X24" s="209">
        <f t="shared" si="9"/>
        <v>0</v>
      </c>
      <c r="Y24" s="209">
        <f t="shared" si="10"/>
        <v>0</v>
      </c>
      <c r="Z24" s="209">
        <f t="shared" si="11"/>
        <v>0</v>
      </c>
      <c r="AA24" s="205">
        <f t="shared" si="12"/>
        <v>0</v>
      </c>
      <c r="AB24" s="209">
        <f t="shared" si="13"/>
        <v>0</v>
      </c>
      <c r="AC24" s="205">
        <f t="shared" si="14"/>
        <v>0</v>
      </c>
      <c r="AD24" s="210">
        <f t="shared" si="15"/>
        <v>5.241666666661331</v>
      </c>
      <c r="AE24" s="210">
        <f t="shared" si="16"/>
        <v>5.241666666661331</v>
      </c>
      <c r="AF24" s="210">
        <f t="shared" si="17"/>
        <v>0</v>
      </c>
      <c r="AG24" s="210">
        <f t="shared" si="18"/>
        <v>0</v>
      </c>
    </row>
    <row r="25" spans="2:33" ht="15" customHeight="1" x14ac:dyDescent="0.3">
      <c r="B25" s="196" t="s">
        <v>7</v>
      </c>
      <c r="C25" s="197" t="s">
        <v>13</v>
      </c>
      <c r="D25" s="198" t="str">
        <f t="shared" si="0"/>
        <v>C</v>
      </c>
      <c r="E25" s="199">
        <v>43763.833333333336</v>
      </c>
      <c r="F25" s="200" t="s">
        <v>120</v>
      </c>
      <c r="G25" s="201">
        <v>1.6234900000000001</v>
      </c>
      <c r="H25" s="201">
        <v>1.62798</v>
      </c>
      <c r="I25" s="202">
        <f t="shared" si="1"/>
        <v>4.489999999999883E-3</v>
      </c>
      <c r="J25" s="201">
        <v>1.57562</v>
      </c>
      <c r="K25" s="199">
        <v>43769.509722222225</v>
      </c>
      <c r="L25" s="201">
        <v>1.6187</v>
      </c>
      <c r="M25" s="203">
        <f t="shared" si="2"/>
        <v>4.7999999999999996E-3</v>
      </c>
      <c r="N25" s="204">
        <f t="shared" si="3"/>
        <v>1.07</v>
      </c>
      <c r="O25" s="205">
        <f t="shared" si="4"/>
        <v>0</v>
      </c>
      <c r="P25" s="206">
        <f t="shared" si="5"/>
        <v>1.07</v>
      </c>
      <c r="Q25" s="206">
        <f t="shared" si="6"/>
        <v>0</v>
      </c>
      <c r="R25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25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104410</v>
      </c>
      <c r="T25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106930</v>
      </c>
      <c r="U25" s="208">
        <f ca="1">IF(Tabla336106734819[[#This Row],[Equity]]&lt;Tabla336106734819[[#This Row],[Equity Peak]],(Tabla336106734819[[#This Row],[Equity Peak]]-Tabla336106734819[[#This Row],[Equity]])/Tabla336106734819[[#This Row],[Equity Peak]],"")</f>
        <v>2.356681941457028E-2</v>
      </c>
      <c r="V25" s="209">
        <f t="shared" si="7"/>
        <v>1.07</v>
      </c>
      <c r="W25" s="209">
        <f t="shared" si="8"/>
        <v>0</v>
      </c>
      <c r="X25" s="209">
        <f t="shared" si="9"/>
        <v>0</v>
      </c>
      <c r="Y25" s="209">
        <f t="shared" si="10"/>
        <v>0</v>
      </c>
      <c r="Z25" s="209">
        <f t="shared" si="11"/>
        <v>0</v>
      </c>
      <c r="AA25" s="205">
        <f t="shared" si="12"/>
        <v>0</v>
      </c>
      <c r="AB25" s="209">
        <f t="shared" si="13"/>
        <v>0</v>
      </c>
      <c r="AC25" s="205">
        <f t="shared" si="14"/>
        <v>0</v>
      </c>
      <c r="AD25" s="210">
        <f t="shared" si="15"/>
        <v>5.6763888888890506</v>
      </c>
      <c r="AE25" s="210">
        <f t="shared" si="16"/>
        <v>5.6763888888890506</v>
      </c>
      <c r="AF25" s="210">
        <f t="shared" si="17"/>
        <v>0</v>
      </c>
      <c r="AG25" s="210">
        <f t="shared" si="18"/>
        <v>0</v>
      </c>
    </row>
    <row r="26" spans="2:33" ht="15" customHeight="1" x14ac:dyDescent="0.3">
      <c r="B26" s="196" t="s">
        <v>7</v>
      </c>
      <c r="C26" s="197" t="s">
        <v>15</v>
      </c>
      <c r="D26" s="198" t="str">
        <f t="shared" si="0"/>
        <v>C</v>
      </c>
      <c r="E26" s="199">
        <v>43762.5</v>
      </c>
      <c r="F26" s="200" t="s">
        <v>120</v>
      </c>
      <c r="G26" s="201">
        <v>1.63</v>
      </c>
      <c r="H26" s="201">
        <v>1.6258300000000001</v>
      </c>
      <c r="I26" s="202">
        <f t="shared" si="1"/>
        <v>4.169999999999785E-3</v>
      </c>
      <c r="J26" s="201">
        <v>1.6745300000000001</v>
      </c>
      <c r="K26" s="199">
        <v>43763.421527777777</v>
      </c>
      <c r="L26" s="201">
        <v>1.6258300000000001</v>
      </c>
      <c r="M26" s="203">
        <f t="shared" si="2"/>
        <v>-4.1999999999999997E-3</v>
      </c>
      <c r="N26" s="204">
        <f t="shared" si="3"/>
        <v>-1.01</v>
      </c>
      <c r="O26" s="205">
        <f t="shared" si="4"/>
        <v>0</v>
      </c>
      <c r="P26" s="206">
        <f t="shared" si="5"/>
        <v>0</v>
      </c>
      <c r="Q26" s="206">
        <f t="shared" si="6"/>
        <v>-1.01</v>
      </c>
      <c r="R26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26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103340</v>
      </c>
      <c r="T26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106930</v>
      </c>
      <c r="U26" s="208">
        <f ca="1">IF(Tabla336106734819[[#This Row],[Equity]]&lt;Tabla336106734819[[#This Row],[Equity Peak]],(Tabla336106734819[[#This Row],[Equity Peak]]-Tabla336106734819[[#This Row],[Equity]])/Tabla336106734819[[#This Row],[Equity Peak]],"")</f>
        <v>3.3573365753296551E-2</v>
      </c>
      <c r="V26" s="209">
        <f t="shared" si="7"/>
        <v>-1.01</v>
      </c>
      <c r="W26" s="209">
        <f t="shared" si="8"/>
        <v>0</v>
      </c>
      <c r="X26" s="209">
        <f t="shared" si="9"/>
        <v>0</v>
      </c>
      <c r="Y26" s="209">
        <f t="shared" si="10"/>
        <v>0</v>
      </c>
      <c r="Z26" s="209">
        <f t="shared" si="11"/>
        <v>0</v>
      </c>
      <c r="AA26" s="205">
        <f t="shared" si="12"/>
        <v>0</v>
      </c>
      <c r="AB26" s="209">
        <f t="shared" si="13"/>
        <v>0</v>
      </c>
      <c r="AC26" s="205">
        <f t="shared" si="14"/>
        <v>0</v>
      </c>
      <c r="AD26" s="210">
        <f t="shared" si="15"/>
        <v>0.92152777777664596</v>
      </c>
      <c r="AE26" s="210">
        <f t="shared" si="16"/>
        <v>0</v>
      </c>
      <c r="AF26" s="210">
        <f t="shared" si="17"/>
        <v>0.92152777777664596</v>
      </c>
      <c r="AG26" s="210">
        <f t="shared" si="18"/>
        <v>0</v>
      </c>
    </row>
    <row r="27" spans="2:33" ht="15" customHeight="1" x14ac:dyDescent="0.3">
      <c r="B27" s="196" t="s">
        <v>7</v>
      </c>
      <c r="C27" s="197" t="s">
        <v>13</v>
      </c>
      <c r="D27" s="198" t="str">
        <f t="shared" si="0"/>
        <v>C</v>
      </c>
      <c r="E27" s="199">
        <v>43759.333333333336</v>
      </c>
      <c r="F27" s="200" t="s">
        <v>120</v>
      </c>
      <c r="G27" s="201">
        <v>1.62652</v>
      </c>
      <c r="H27" s="201">
        <v>1.6314900000000001</v>
      </c>
      <c r="I27" s="202">
        <f t="shared" si="1"/>
        <v>4.970000000000141E-3</v>
      </c>
      <c r="J27" s="201">
        <v>1.5735399999999999</v>
      </c>
      <c r="K27" s="199">
        <v>43761.275000000001</v>
      </c>
      <c r="L27" s="201">
        <v>1.62673</v>
      </c>
      <c r="M27" s="203">
        <f t="shared" si="2"/>
        <v>-2.0000000000000001E-4</v>
      </c>
      <c r="N27" s="204">
        <f t="shared" si="3"/>
        <v>-0.04</v>
      </c>
      <c r="O27" s="205">
        <f t="shared" si="4"/>
        <v>0</v>
      </c>
      <c r="P27" s="206">
        <f t="shared" si="5"/>
        <v>0</v>
      </c>
      <c r="Q27" s="206">
        <f t="shared" si="6"/>
        <v>-0.04</v>
      </c>
      <c r="R27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27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104350</v>
      </c>
      <c r="T27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106930</v>
      </c>
      <c r="U27" s="208">
        <f ca="1">IF(Tabla336106734819[[#This Row],[Equity]]&lt;Tabla336106734819[[#This Row],[Equity Peak]],(Tabla336106734819[[#This Row],[Equity Peak]]-Tabla336106734819[[#This Row],[Equity]])/Tabla336106734819[[#This Row],[Equity Peak]],"")</f>
        <v>2.4127934162536238E-2</v>
      </c>
      <c r="V27" s="209">
        <f t="shared" si="7"/>
        <v>-0.04</v>
      </c>
      <c r="W27" s="209">
        <f t="shared" si="8"/>
        <v>0</v>
      </c>
      <c r="X27" s="209">
        <f t="shared" si="9"/>
        <v>0</v>
      </c>
      <c r="Y27" s="209">
        <f t="shared" si="10"/>
        <v>0</v>
      </c>
      <c r="Z27" s="209">
        <f t="shared" si="11"/>
        <v>0</v>
      </c>
      <c r="AA27" s="205">
        <f t="shared" si="12"/>
        <v>0</v>
      </c>
      <c r="AB27" s="209">
        <f t="shared" si="13"/>
        <v>0</v>
      </c>
      <c r="AC27" s="205">
        <f t="shared" si="14"/>
        <v>0</v>
      </c>
      <c r="AD27" s="210">
        <f t="shared" si="15"/>
        <v>1.9416666666656965</v>
      </c>
      <c r="AE27" s="210">
        <f t="shared" si="16"/>
        <v>0</v>
      </c>
      <c r="AF27" s="210">
        <f t="shared" si="17"/>
        <v>1.9416666666656965</v>
      </c>
      <c r="AG27" s="210">
        <f t="shared" si="18"/>
        <v>0</v>
      </c>
    </row>
    <row r="28" spans="2:33" ht="15" customHeight="1" x14ac:dyDescent="0.3">
      <c r="B28" s="196" t="s">
        <v>7</v>
      </c>
      <c r="C28" s="197" t="s">
        <v>15</v>
      </c>
      <c r="D28" s="198" t="str">
        <f t="shared" si="0"/>
        <v>C</v>
      </c>
      <c r="E28" s="199">
        <v>43752.5</v>
      </c>
      <c r="F28" s="200" t="s">
        <v>120</v>
      </c>
      <c r="G28" s="201">
        <v>1.6303099999999999</v>
      </c>
      <c r="H28" s="201">
        <v>1.6229</v>
      </c>
      <c r="I28" s="202">
        <f t="shared" si="1"/>
        <v>7.4099999999999167E-3</v>
      </c>
      <c r="J28" s="201">
        <v>1.7094</v>
      </c>
      <c r="K28" s="199">
        <v>43753.177777777775</v>
      </c>
      <c r="L28" s="201">
        <v>1.6253599999999999</v>
      </c>
      <c r="M28" s="203">
        <f t="shared" si="2"/>
        <v>-5.0000000000000001E-3</v>
      </c>
      <c r="N28" s="204">
        <f t="shared" si="3"/>
        <v>-0.67</v>
      </c>
      <c r="O28" s="205">
        <f t="shared" si="4"/>
        <v>0</v>
      </c>
      <c r="P28" s="206">
        <f t="shared" si="5"/>
        <v>0</v>
      </c>
      <c r="Q28" s="206">
        <f t="shared" si="6"/>
        <v>-0.67</v>
      </c>
      <c r="R28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28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104390</v>
      </c>
      <c r="T28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106930</v>
      </c>
      <c r="U28" s="208">
        <f ca="1">IF(Tabla336106734819[[#This Row],[Equity]]&lt;Tabla336106734819[[#This Row],[Equity Peak]],(Tabla336106734819[[#This Row],[Equity Peak]]-Tabla336106734819[[#This Row],[Equity]])/Tabla336106734819[[#This Row],[Equity Peak]],"")</f>
        <v>2.3753857663892267E-2</v>
      </c>
      <c r="V28" s="209">
        <f t="shared" si="7"/>
        <v>-0.67</v>
      </c>
      <c r="W28" s="209">
        <f t="shared" si="8"/>
        <v>0</v>
      </c>
      <c r="X28" s="209">
        <f t="shared" si="9"/>
        <v>0</v>
      </c>
      <c r="Y28" s="209">
        <f t="shared" si="10"/>
        <v>0</v>
      </c>
      <c r="Z28" s="209">
        <f t="shared" si="11"/>
        <v>0</v>
      </c>
      <c r="AA28" s="205">
        <f t="shared" si="12"/>
        <v>0</v>
      </c>
      <c r="AB28" s="209">
        <f t="shared" si="13"/>
        <v>0</v>
      </c>
      <c r="AC28" s="205">
        <f t="shared" si="14"/>
        <v>0</v>
      </c>
      <c r="AD28" s="210">
        <f t="shared" si="15"/>
        <v>0.67777777777519077</v>
      </c>
      <c r="AE28" s="210">
        <f t="shared" si="16"/>
        <v>0</v>
      </c>
      <c r="AF28" s="210">
        <f t="shared" si="17"/>
        <v>0.67777777777519077</v>
      </c>
      <c r="AG28" s="210">
        <f t="shared" si="18"/>
        <v>0</v>
      </c>
    </row>
    <row r="29" spans="2:33" ht="15" customHeight="1" x14ac:dyDescent="0.3">
      <c r="B29" s="196" t="s">
        <v>7</v>
      </c>
      <c r="C29" s="197" t="s">
        <v>13</v>
      </c>
      <c r="D29" s="198" t="str">
        <f t="shared" si="0"/>
        <v>C</v>
      </c>
      <c r="E29" s="199">
        <v>43749.5</v>
      </c>
      <c r="F29" s="200" t="s">
        <v>120</v>
      </c>
      <c r="G29" s="201">
        <v>1.6208400000000001</v>
      </c>
      <c r="H29" s="201">
        <v>1.62758</v>
      </c>
      <c r="I29" s="202">
        <f t="shared" si="1"/>
        <v>6.7399999999999682E-3</v>
      </c>
      <c r="J29" s="201">
        <v>1.5489900000000001</v>
      </c>
      <c r="K29" s="199">
        <v>43749.706944444442</v>
      </c>
      <c r="L29" s="201">
        <v>1.62758</v>
      </c>
      <c r="M29" s="203">
        <f t="shared" si="2"/>
        <v>-6.7000000000000002E-3</v>
      </c>
      <c r="N29" s="204">
        <f t="shared" si="3"/>
        <v>-0.99</v>
      </c>
      <c r="O29" s="205">
        <f t="shared" si="4"/>
        <v>0</v>
      </c>
      <c r="P29" s="206">
        <f t="shared" si="5"/>
        <v>0</v>
      </c>
      <c r="Q29" s="206">
        <f t="shared" si="6"/>
        <v>-0.99</v>
      </c>
      <c r="R29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29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105060</v>
      </c>
      <c r="T29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106930</v>
      </c>
      <c r="U29" s="208">
        <f ca="1">IF(Tabla336106734819[[#This Row],[Equity]]&lt;Tabla336106734819[[#This Row],[Equity Peak]],(Tabla336106734819[[#This Row],[Equity Peak]]-Tabla336106734819[[#This Row],[Equity]])/Tabla336106734819[[#This Row],[Equity Peak]],"")</f>
        <v>1.7488076311605722E-2</v>
      </c>
      <c r="V29" s="209">
        <f t="shared" si="7"/>
        <v>-0.99</v>
      </c>
      <c r="W29" s="209">
        <f t="shared" si="8"/>
        <v>0</v>
      </c>
      <c r="X29" s="209">
        <f t="shared" si="9"/>
        <v>0</v>
      </c>
      <c r="Y29" s="209">
        <f t="shared" si="10"/>
        <v>0</v>
      </c>
      <c r="Z29" s="209">
        <f t="shared" si="11"/>
        <v>0</v>
      </c>
      <c r="AA29" s="205">
        <f t="shared" si="12"/>
        <v>0</v>
      </c>
      <c r="AB29" s="209">
        <f t="shared" si="13"/>
        <v>0</v>
      </c>
      <c r="AC29" s="205">
        <f t="shared" si="14"/>
        <v>0</v>
      </c>
      <c r="AD29" s="210">
        <f t="shared" si="15"/>
        <v>0.2069444444423425</v>
      </c>
      <c r="AE29" s="210">
        <f t="shared" si="16"/>
        <v>0</v>
      </c>
      <c r="AF29" s="210">
        <f t="shared" si="17"/>
        <v>0.2069444444423425</v>
      </c>
      <c r="AG29" s="210">
        <f t="shared" si="18"/>
        <v>0</v>
      </c>
    </row>
    <row r="30" spans="2:33" ht="15" customHeight="1" x14ac:dyDescent="0.3">
      <c r="B30" s="196" t="s">
        <v>7</v>
      </c>
      <c r="C30" s="197" t="s">
        <v>15</v>
      </c>
      <c r="D30" s="198" t="str">
        <f t="shared" si="0"/>
        <v>C</v>
      </c>
      <c r="E30" s="199">
        <v>43739.5</v>
      </c>
      <c r="F30" s="200" t="s">
        <v>120</v>
      </c>
      <c r="G30" s="201">
        <v>1.6262300000000001</v>
      </c>
      <c r="H30" s="201">
        <v>1.61877</v>
      </c>
      <c r="I30" s="202">
        <f t="shared" si="1"/>
        <v>7.4600000000000222E-3</v>
      </c>
      <c r="J30" s="201">
        <v>1.70581</v>
      </c>
      <c r="K30" s="199">
        <v>43742</v>
      </c>
      <c r="L30" s="201">
        <v>1.62601</v>
      </c>
      <c r="M30" s="203">
        <f t="shared" si="2"/>
        <v>-2.0000000000000001E-4</v>
      </c>
      <c r="N30" s="204">
        <f t="shared" si="3"/>
        <v>-0.03</v>
      </c>
      <c r="O30" s="205">
        <f t="shared" si="4"/>
        <v>0</v>
      </c>
      <c r="P30" s="206">
        <f t="shared" si="5"/>
        <v>0</v>
      </c>
      <c r="Q30" s="206">
        <f t="shared" si="6"/>
        <v>-0.03</v>
      </c>
      <c r="R30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30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106050</v>
      </c>
      <c r="T30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106930</v>
      </c>
      <c r="U30" s="208">
        <f ca="1">IF(Tabla336106734819[[#This Row],[Equity]]&lt;Tabla336106734819[[#This Row],[Equity Peak]],(Tabla336106734819[[#This Row],[Equity Peak]]-Tabla336106734819[[#This Row],[Equity]])/Tabla336106734819[[#This Row],[Equity Peak]],"")</f>
        <v>8.2296829701673999E-3</v>
      </c>
      <c r="V30" s="209">
        <f t="shared" si="7"/>
        <v>-0.03</v>
      </c>
      <c r="W30" s="209">
        <f t="shared" si="8"/>
        <v>0</v>
      </c>
      <c r="X30" s="209">
        <f t="shared" si="9"/>
        <v>0</v>
      </c>
      <c r="Y30" s="209">
        <f t="shared" si="10"/>
        <v>0</v>
      </c>
      <c r="Z30" s="209">
        <f t="shared" si="11"/>
        <v>0</v>
      </c>
      <c r="AA30" s="205">
        <f t="shared" si="12"/>
        <v>0</v>
      </c>
      <c r="AB30" s="209">
        <f t="shared" si="13"/>
        <v>0</v>
      </c>
      <c r="AC30" s="205">
        <f t="shared" si="14"/>
        <v>0</v>
      </c>
      <c r="AD30" s="210">
        <f t="shared" si="15"/>
        <v>2.5</v>
      </c>
      <c r="AE30" s="210">
        <f t="shared" si="16"/>
        <v>0</v>
      </c>
      <c r="AF30" s="210">
        <f t="shared" si="17"/>
        <v>2.5</v>
      </c>
      <c r="AG30" s="210">
        <f t="shared" si="18"/>
        <v>0</v>
      </c>
    </row>
    <row r="31" spans="2:33" ht="15" customHeight="1" x14ac:dyDescent="0.3">
      <c r="B31" s="196" t="s">
        <v>7</v>
      </c>
      <c r="C31" s="197" t="s">
        <v>13</v>
      </c>
      <c r="D31" s="198" t="str">
        <f t="shared" si="0"/>
        <v>C</v>
      </c>
      <c r="E31" s="199">
        <v>43734.666666666664</v>
      </c>
      <c r="F31" s="200" t="s">
        <v>120</v>
      </c>
      <c r="G31" s="201">
        <v>1.6160699999999999</v>
      </c>
      <c r="H31" s="201">
        <v>1.6222099999999999</v>
      </c>
      <c r="I31" s="202">
        <f t="shared" si="1"/>
        <v>6.1400000000000343E-3</v>
      </c>
      <c r="J31" s="201">
        <v>1.55061</v>
      </c>
      <c r="K31" s="199">
        <v>43735.774305555555</v>
      </c>
      <c r="L31" s="201">
        <v>1.6212899999999999</v>
      </c>
      <c r="M31" s="203">
        <f t="shared" si="2"/>
        <v>-5.1999999999999998E-3</v>
      </c>
      <c r="N31" s="204">
        <f t="shared" si="3"/>
        <v>-0.85</v>
      </c>
      <c r="O31" s="205">
        <f t="shared" si="4"/>
        <v>0</v>
      </c>
      <c r="P31" s="206">
        <f t="shared" si="5"/>
        <v>0</v>
      </c>
      <c r="Q31" s="206">
        <f t="shared" si="6"/>
        <v>-0.85</v>
      </c>
      <c r="R31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31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106080</v>
      </c>
      <c r="T31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106930</v>
      </c>
      <c r="U31" s="208">
        <f ca="1">IF(Tabla336106734819[[#This Row],[Equity]]&lt;Tabla336106734819[[#This Row],[Equity Peak]],(Tabla336106734819[[#This Row],[Equity Peak]]-Tabla336106734819[[#This Row],[Equity]])/Tabla336106734819[[#This Row],[Equity Peak]],"")</f>
        <v>7.9491255961844191E-3</v>
      </c>
      <c r="V31" s="209">
        <f t="shared" si="7"/>
        <v>-0.85</v>
      </c>
      <c r="W31" s="209">
        <f t="shared" si="8"/>
        <v>0</v>
      </c>
      <c r="X31" s="209">
        <f t="shared" si="9"/>
        <v>0</v>
      </c>
      <c r="Y31" s="209">
        <f t="shared" si="10"/>
        <v>0</v>
      </c>
      <c r="Z31" s="209">
        <f t="shared" si="11"/>
        <v>0</v>
      </c>
      <c r="AA31" s="205">
        <f t="shared" si="12"/>
        <v>0</v>
      </c>
      <c r="AB31" s="209">
        <f t="shared" si="13"/>
        <v>0</v>
      </c>
      <c r="AC31" s="205">
        <f t="shared" si="14"/>
        <v>0</v>
      </c>
      <c r="AD31" s="210">
        <f t="shared" si="15"/>
        <v>1.1076388888905058</v>
      </c>
      <c r="AE31" s="210">
        <f t="shared" si="16"/>
        <v>0</v>
      </c>
      <c r="AF31" s="210">
        <f t="shared" si="17"/>
        <v>1.1076388888905058</v>
      </c>
      <c r="AG31" s="210">
        <f t="shared" si="18"/>
        <v>0</v>
      </c>
    </row>
    <row r="32" spans="2:33" ht="15" customHeight="1" x14ac:dyDescent="0.3">
      <c r="B32" s="196" t="s">
        <v>7</v>
      </c>
      <c r="C32" s="197" t="s">
        <v>13</v>
      </c>
      <c r="D32" s="198" t="str">
        <f t="shared" si="0"/>
        <v>C</v>
      </c>
      <c r="E32" s="199">
        <v>43707.833333333336</v>
      </c>
      <c r="F32" s="200" t="s">
        <v>120</v>
      </c>
      <c r="G32" s="201">
        <v>1.6333500000000001</v>
      </c>
      <c r="H32" s="201">
        <v>1.64029</v>
      </c>
      <c r="I32" s="202">
        <f t="shared" si="1"/>
        <v>6.9399999999999462E-3</v>
      </c>
      <c r="J32" s="201">
        <v>1.5593600000000001</v>
      </c>
      <c r="K32" s="199">
        <v>43720.538888888892</v>
      </c>
      <c r="L32" s="201">
        <v>1.6078699999999999</v>
      </c>
      <c r="M32" s="203">
        <f t="shared" si="2"/>
        <v>2.5499999999999998E-2</v>
      </c>
      <c r="N32" s="204">
        <f t="shared" si="3"/>
        <v>3.67</v>
      </c>
      <c r="O32" s="205">
        <f t="shared" si="4"/>
        <v>0</v>
      </c>
      <c r="P32" s="206">
        <f t="shared" si="5"/>
        <v>3.67</v>
      </c>
      <c r="Q32" s="206">
        <f t="shared" si="6"/>
        <v>0</v>
      </c>
      <c r="R32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32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106930</v>
      </c>
      <c r="T32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106930</v>
      </c>
      <c r="U32" s="208" t="str">
        <f ca="1">IF(Tabla336106734819[[#This Row],[Equity]]&lt;Tabla336106734819[[#This Row],[Equity Peak]],(Tabla336106734819[[#This Row],[Equity Peak]]-Tabla336106734819[[#This Row],[Equity]])/Tabla336106734819[[#This Row],[Equity Peak]],"")</f>
        <v/>
      </c>
      <c r="V32" s="209">
        <f t="shared" si="7"/>
        <v>3.67</v>
      </c>
      <c r="W32" s="209">
        <f t="shared" si="8"/>
        <v>0</v>
      </c>
      <c r="X32" s="209">
        <f t="shared" si="9"/>
        <v>0</v>
      </c>
      <c r="Y32" s="209">
        <f t="shared" si="10"/>
        <v>0</v>
      </c>
      <c r="Z32" s="209">
        <f t="shared" si="11"/>
        <v>0</v>
      </c>
      <c r="AA32" s="205">
        <f t="shared" si="12"/>
        <v>0</v>
      </c>
      <c r="AB32" s="209">
        <f t="shared" si="13"/>
        <v>0</v>
      </c>
      <c r="AC32" s="205">
        <f t="shared" si="14"/>
        <v>0</v>
      </c>
      <c r="AD32" s="210">
        <f t="shared" si="15"/>
        <v>12.705555555556202</v>
      </c>
      <c r="AE32" s="210">
        <f t="shared" si="16"/>
        <v>12.705555555556202</v>
      </c>
      <c r="AF32" s="210">
        <f t="shared" si="17"/>
        <v>0</v>
      </c>
      <c r="AG32" s="210">
        <f t="shared" si="18"/>
        <v>0</v>
      </c>
    </row>
    <row r="33" spans="2:33" ht="15" customHeight="1" x14ac:dyDescent="0.3">
      <c r="B33" s="196" t="s">
        <v>7</v>
      </c>
      <c r="C33" s="197" t="s">
        <v>15</v>
      </c>
      <c r="D33" s="198" t="str">
        <f t="shared" si="0"/>
        <v>C</v>
      </c>
      <c r="E33" s="199">
        <v>43700.666666666664</v>
      </c>
      <c r="F33" s="200" t="s">
        <v>120</v>
      </c>
      <c r="G33" s="201">
        <v>1.6412199999999999</v>
      </c>
      <c r="H33" s="201">
        <v>1.6357900000000001</v>
      </c>
      <c r="I33" s="202">
        <f t="shared" si="1"/>
        <v>5.4299999999998239E-3</v>
      </c>
      <c r="J33" s="201">
        <v>1.6991700000000001</v>
      </c>
      <c r="K33" s="199">
        <v>43703.43472222222</v>
      </c>
      <c r="L33" s="201">
        <v>1.64724</v>
      </c>
      <c r="M33" s="203">
        <f t="shared" si="2"/>
        <v>6.0000000000000001E-3</v>
      </c>
      <c r="N33" s="204">
        <f t="shared" si="3"/>
        <v>1.1000000000000001</v>
      </c>
      <c r="O33" s="205">
        <f t="shared" si="4"/>
        <v>0</v>
      </c>
      <c r="P33" s="206">
        <f t="shared" si="5"/>
        <v>1.1000000000000001</v>
      </c>
      <c r="Q33" s="206">
        <f t="shared" si="6"/>
        <v>0</v>
      </c>
      <c r="R33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33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103260</v>
      </c>
      <c r="T33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104440</v>
      </c>
      <c r="U33" s="208">
        <f ca="1">IF(Tabla336106734819[[#This Row],[Equity]]&lt;Tabla336106734819[[#This Row],[Equity Peak]],(Tabla336106734819[[#This Row],[Equity Peak]]-Tabla336106734819[[#This Row],[Equity]])/Tabla336106734819[[#This Row],[Equity Peak]],"")</f>
        <v>1.1298353121409421E-2</v>
      </c>
      <c r="V33" s="209">
        <f t="shared" si="7"/>
        <v>1.1000000000000001</v>
      </c>
      <c r="W33" s="209">
        <f t="shared" si="8"/>
        <v>0</v>
      </c>
      <c r="X33" s="209">
        <f t="shared" si="9"/>
        <v>0</v>
      </c>
      <c r="Y33" s="209">
        <f t="shared" si="10"/>
        <v>0</v>
      </c>
      <c r="Z33" s="209">
        <f t="shared" si="11"/>
        <v>0</v>
      </c>
      <c r="AA33" s="205">
        <f t="shared" si="12"/>
        <v>0</v>
      </c>
      <c r="AB33" s="209">
        <f t="shared" si="13"/>
        <v>0</v>
      </c>
      <c r="AC33" s="205">
        <f t="shared" si="14"/>
        <v>0</v>
      </c>
      <c r="AD33" s="210">
        <f t="shared" si="15"/>
        <v>2.7680555555562023</v>
      </c>
      <c r="AE33" s="210">
        <f t="shared" si="16"/>
        <v>2.7680555555562023</v>
      </c>
      <c r="AF33" s="210">
        <f t="shared" si="17"/>
        <v>0</v>
      </c>
      <c r="AG33" s="210">
        <f t="shared" si="18"/>
        <v>0</v>
      </c>
    </row>
    <row r="34" spans="2:33" ht="15" customHeight="1" x14ac:dyDescent="0.3">
      <c r="B34" s="196" t="s">
        <v>7</v>
      </c>
      <c r="C34" s="197" t="s">
        <v>15</v>
      </c>
      <c r="D34" s="198" t="str">
        <f t="shared" si="0"/>
        <v>C</v>
      </c>
      <c r="E34" s="199">
        <v>43700.017361111109</v>
      </c>
      <c r="F34" s="200" t="s">
        <v>120</v>
      </c>
      <c r="G34" s="201">
        <v>1.6407799999999999</v>
      </c>
      <c r="H34" s="201">
        <v>1.63601</v>
      </c>
      <c r="I34" s="202">
        <f t="shared" si="1"/>
        <v>4.769999999999941E-3</v>
      </c>
      <c r="J34" s="201">
        <v>1.69163</v>
      </c>
      <c r="K34" s="199">
        <v>43700.538194444445</v>
      </c>
      <c r="L34" s="201">
        <v>1.63601</v>
      </c>
      <c r="M34" s="203">
        <f t="shared" si="2"/>
        <v>-4.7999999999999996E-3</v>
      </c>
      <c r="N34" s="204">
        <f t="shared" si="3"/>
        <v>-1.01</v>
      </c>
      <c r="O34" s="205">
        <f t="shared" si="4"/>
        <v>0</v>
      </c>
      <c r="P34" s="206">
        <f t="shared" si="5"/>
        <v>0</v>
      </c>
      <c r="Q34" s="206">
        <f t="shared" si="6"/>
        <v>-1.01</v>
      </c>
      <c r="R34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34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102160</v>
      </c>
      <c r="T34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104440</v>
      </c>
      <c r="U34" s="208">
        <f ca="1">IF(Tabla336106734819[[#This Row],[Equity]]&lt;Tabla336106734819[[#This Row],[Equity Peak]],(Tabla336106734819[[#This Row],[Equity Peak]]-Tabla336106734819[[#This Row],[Equity]])/Tabla336106734819[[#This Row],[Equity Peak]],"")</f>
        <v>2.1830716200689392E-2</v>
      </c>
      <c r="V34" s="209">
        <f t="shared" si="7"/>
        <v>-1.01</v>
      </c>
      <c r="W34" s="209">
        <f t="shared" si="8"/>
        <v>0</v>
      </c>
      <c r="X34" s="209">
        <f t="shared" si="9"/>
        <v>0</v>
      </c>
      <c r="Y34" s="209">
        <f t="shared" si="10"/>
        <v>0</v>
      </c>
      <c r="Z34" s="209">
        <f t="shared" si="11"/>
        <v>0</v>
      </c>
      <c r="AA34" s="205">
        <f t="shared" si="12"/>
        <v>0</v>
      </c>
      <c r="AB34" s="209">
        <f t="shared" si="13"/>
        <v>0</v>
      </c>
      <c r="AC34" s="205">
        <f t="shared" si="14"/>
        <v>0</v>
      </c>
      <c r="AD34" s="210">
        <f t="shared" si="15"/>
        <v>0.52083333333575865</v>
      </c>
      <c r="AE34" s="210">
        <f t="shared" si="16"/>
        <v>0</v>
      </c>
      <c r="AF34" s="210">
        <f t="shared" si="17"/>
        <v>0.52083333333575865</v>
      </c>
      <c r="AG34" s="210">
        <f t="shared" si="18"/>
        <v>0</v>
      </c>
    </row>
    <row r="35" spans="2:33" ht="15" customHeight="1" x14ac:dyDescent="0.3">
      <c r="B35" s="196" t="s">
        <v>7</v>
      </c>
      <c r="C35" s="197" t="s">
        <v>15</v>
      </c>
      <c r="D35" s="198" t="str">
        <f t="shared" si="0"/>
        <v>C</v>
      </c>
      <c r="E35" s="199">
        <v>43684.333333333336</v>
      </c>
      <c r="F35" s="200" t="s">
        <v>120</v>
      </c>
      <c r="G35" s="201">
        <v>1.67411</v>
      </c>
      <c r="H35" s="201">
        <v>1.66187</v>
      </c>
      <c r="I35" s="202">
        <f t="shared" si="1"/>
        <v>1.2240000000000029E-2</v>
      </c>
      <c r="J35" s="201">
        <v>1.8047200000000001</v>
      </c>
      <c r="K35" s="199">
        <v>43684.506944444445</v>
      </c>
      <c r="L35" s="201">
        <v>1.66187</v>
      </c>
      <c r="M35" s="203">
        <f t="shared" si="2"/>
        <v>-1.2200000000000001E-2</v>
      </c>
      <c r="N35" s="204">
        <f t="shared" si="3"/>
        <v>-1</v>
      </c>
      <c r="O35" s="205">
        <f t="shared" si="4"/>
        <v>0</v>
      </c>
      <c r="P35" s="206">
        <f t="shared" si="5"/>
        <v>0</v>
      </c>
      <c r="Q35" s="206">
        <f t="shared" si="6"/>
        <v>-1</v>
      </c>
      <c r="R35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35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103170</v>
      </c>
      <c r="T35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104440</v>
      </c>
      <c r="U35" s="208">
        <f ca="1">IF(Tabla336106734819[[#This Row],[Equity]]&lt;Tabla336106734819[[#This Row],[Equity Peak]],(Tabla336106734819[[#This Row],[Equity Peak]]-Tabla336106734819[[#This Row],[Equity]])/Tabla336106734819[[#This Row],[Equity Peak]],"")</f>
        <v>1.2160091918805056E-2</v>
      </c>
      <c r="V35" s="209">
        <f t="shared" si="7"/>
        <v>-1</v>
      </c>
      <c r="W35" s="209">
        <f t="shared" si="8"/>
        <v>0</v>
      </c>
      <c r="X35" s="209">
        <f t="shared" si="9"/>
        <v>0</v>
      </c>
      <c r="Y35" s="209">
        <f t="shared" si="10"/>
        <v>0</v>
      </c>
      <c r="Z35" s="209">
        <f t="shared" si="11"/>
        <v>0</v>
      </c>
      <c r="AA35" s="205">
        <f t="shared" si="12"/>
        <v>0</v>
      </c>
      <c r="AB35" s="209">
        <f t="shared" si="13"/>
        <v>0</v>
      </c>
      <c r="AC35" s="205">
        <f t="shared" si="14"/>
        <v>0</v>
      </c>
      <c r="AD35" s="210">
        <f t="shared" si="15"/>
        <v>0.17361111110949423</v>
      </c>
      <c r="AE35" s="210">
        <f t="shared" si="16"/>
        <v>0</v>
      </c>
      <c r="AF35" s="210">
        <f t="shared" si="17"/>
        <v>0.17361111110949423</v>
      </c>
      <c r="AG35" s="210">
        <f t="shared" si="18"/>
        <v>0</v>
      </c>
    </row>
    <row r="36" spans="2:33" ht="15" customHeight="1" x14ac:dyDescent="0.3">
      <c r="B36" s="196" t="s">
        <v>7</v>
      </c>
      <c r="C36" s="197" t="s">
        <v>15</v>
      </c>
      <c r="D36" s="198" t="str">
        <f t="shared" si="0"/>
        <v>C</v>
      </c>
      <c r="E36" s="199">
        <v>43682.5</v>
      </c>
      <c r="F36" s="200" t="s">
        <v>120</v>
      </c>
      <c r="G36" s="201">
        <v>1.65</v>
      </c>
      <c r="H36" s="201">
        <v>1.63984</v>
      </c>
      <c r="I36" s="202">
        <f t="shared" si="1"/>
        <v>1.0159999999999947E-2</v>
      </c>
      <c r="J36" s="201">
        <v>1.7584</v>
      </c>
      <c r="K36" s="199">
        <v>43683.603472222225</v>
      </c>
      <c r="L36" s="201">
        <v>1.6473100000000001</v>
      </c>
      <c r="M36" s="203">
        <f t="shared" si="2"/>
        <v>-2.7000000000000001E-3</v>
      </c>
      <c r="N36" s="204">
        <f t="shared" si="3"/>
        <v>-0.27</v>
      </c>
      <c r="O36" s="205">
        <f t="shared" si="4"/>
        <v>0</v>
      </c>
      <c r="P36" s="206">
        <f t="shared" si="5"/>
        <v>0</v>
      </c>
      <c r="Q36" s="206">
        <f t="shared" si="6"/>
        <v>-0.27</v>
      </c>
      <c r="R36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36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104170</v>
      </c>
      <c r="T36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104440</v>
      </c>
      <c r="U36" s="208">
        <f ca="1">IF(Tabla336106734819[[#This Row],[Equity]]&lt;Tabla336106734819[[#This Row],[Equity Peak]],(Tabla336106734819[[#This Row],[Equity Peak]]-Tabla336106734819[[#This Row],[Equity]])/Tabla336106734819[[#This Row],[Equity Peak]],"")</f>
        <v>2.5852163921869014E-3</v>
      </c>
      <c r="V36" s="209">
        <f t="shared" si="7"/>
        <v>-0.27</v>
      </c>
      <c r="W36" s="209">
        <f t="shared" si="8"/>
        <v>0</v>
      </c>
      <c r="X36" s="209">
        <f t="shared" si="9"/>
        <v>0</v>
      </c>
      <c r="Y36" s="209">
        <f t="shared" si="10"/>
        <v>0</v>
      </c>
      <c r="Z36" s="209">
        <f t="shared" si="11"/>
        <v>0</v>
      </c>
      <c r="AA36" s="205">
        <f t="shared" si="12"/>
        <v>0</v>
      </c>
      <c r="AB36" s="209">
        <f t="shared" si="13"/>
        <v>0</v>
      </c>
      <c r="AC36" s="205">
        <f t="shared" si="14"/>
        <v>0</v>
      </c>
      <c r="AD36" s="210">
        <f t="shared" si="15"/>
        <v>1.1034722222248092</v>
      </c>
      <c r="AE36" s="210">
        <f t="shared" si="16"/>
        <v>0</v>
      </c>
      <c r="AF36" s="210">
        <f t="shared" si="17"/>
        <v>1.1034722222248092</v>
      </c>
      <c r="AG36" s="210">
        <f t="shared" si="18"/>
        <v>0</v>
      </c>
    </row>
    <row r="37" spans="2:33" ht="15" customHeight="1" x14ac:dyDescent="0.3">
      <c r="B37" s="196" t="s">
        <v>7</v>
      </c>
      <c r="C37" s="197" t="s">
        <v>13</v>
      </c>
      <c r="D37" s="198" t="str">
        <f t="shared" si="0"/>
        <v>C</v>
      </c>
      <c r="E37" s="199">
        <v>43657.333333333336</v>
      </c>
      <c r="F37" s="200" t="s">
        <v>120</v>
      </c>
      <c r="G37" s="201">
        <v>1.61599</v>
      </c>
      <c r="H37" s="201">
        <v>1.6205099999999999</v>
      </c>
      <c r="I37" s="202">
        <f t="shared" si="1"/>
        <v>4.5199999999998575E-3</v>
      </c>
      <c r="J37" s="201">
        <v>1.5677700000000001</v>
      </c>
      <c r="K37" s="199">
        <v>43663.60833333333</v>
      </c>
      <c r="L37" s="201">
        <v>1.60175</v>
      </c>
      <c r="M37" s="203">
        <f t="shared" si="2"/>
        <v>1.4200000000000001E-2</v>
      </c>
      <c r="N37" s="204">
        <f t="shared" si="3"/>
        <v>3.14</v>
      </c>
      <c r="O37" s="205">
        <f t="shared" si="4"/>
        <v>0</v>
      </c>
      <c r="P37" s="206">
        <f t="shared" si="5"/>
        <v>3.14</v>
      </c>
      <c r="Q37" s="206">
        <f t="shared" si="6"/>
        <v>0</v>
      </c>
      <c r="R37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37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104440</v>
      </c>
      <c r="T37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104440</v>
      </c>
      <c r="U37" s="208" t="str">
        <f ca="1">IF(Tabla336106734819[[#This Row],[Equity]]&lt;Tabla336106734819[[#This Row],[Equity Peak]],(Tabla336106734819[[#This Row],[Equity Peak]]-Tabla336106734819[[#This Row],[Equity]])/Tabla336106734819[[#This Row],[Equity Peak]],"")</f>
        <v/>
      </c>
      <c r="V37" s="209">
        <f t="shared" si="7"/>
        <v>3.14</v>
      </c>
      <c r="W37" s="209">
        <f t="shared" si="8"/>
        <v>0</v>
      </c>
      <c r="X37" s="209">
        <f t="shared" si="9"/>
        <v>0</v>
      </c>
      <c r="Y37" s="209">
        <f t="shared" si="10"/>
        <v>0</v>
      </c>
      <c r="Z37" s="209">
        <f t="shared" si="11"/>
        <v>0</v>
      </c>
      <c r="AA37" s="205">
        <f t="shared" si="12"/>
        <v>0</v>
      </c>
      <c r="AB37" s="209">
        <f t="shared" si="13"/>
        <v>0</v>
      </c>
      <c r="AC37" s="205">
        <f t="shared" si="14"/>
        <v>0</v>
      </c>
      <c r="AD37" s="210">
        <f t="shared" si="15"/>
        <v>6.2749999999941792</v>
      </c>
      <c r="AE37" s="210">
        <f t="shared" si="16"/>
        <v>6.2749999999941792</v>
      </c>
      <c r="AF37" s="210">
        <f t="shared" si="17"/>
        <v>0</v>
      </c>
      <c r="AG37" s="210">
        <f t="shared" si="18"/>
        <v>0</v>
      </c>
    </row>
    <row r="38" spans="2:33" ht="15" customHeight="1" x14ac:dyDescent="0.3">
      <c r="B38" s="196" t="s">
        <v>7</v>
      </c>
      <c r="C38" s="197" t="s">
        <v>15</v>
      </c>
      <c r="D38" s="198" t="str">
        <f t="shared" ref="D38:D55" si="19">IF(E38&lt;&gt;"",IF(K38&lt;&gt;"","C","O"),"")</f>
        <v>C</v>
      </c>
      <c r="E38" s="199">
        <v>43656.333333333336</v>
      </c>
      <c r="F38" s="200" t="s">
        <v>120</v>
      </c>
      <c r="G38" s="201">
        <v>1.61958</v>
      </c>
      <c r="H38" s="201">
        <v>1.61571</v>
      </c>
      <c r="I38" s="202">
        <f t="shared" ref="I38:I55" si="20">ABS(G38-H38)</f>
        <v>3.8700000000000401E-3</v>
      </c>
      <c r="J38" s="201">
        <v>1.6608700000000001</v>
      </c>
      <c r="K38" s="199">
        <v>43656.60833333333</v>
      </c>
      <c r="L38" s="201">
        <v>1.6168</v>
      </c>
      <c r="M38" s="203">
        <f t="shared" ref="M38:M55" si="21">ROUND(IF(C38="L",(L38-G38),(G38-L38)),4)</f>
        <v>-2.8E-3</v>
      </c>
      <c r="N38" s="204">
        <f t="shared" ref="N38:N55" si="22">IFERROR(ROUND((M38/I38),2),"")</f>
        <v>-0.72</v>
      </c>
      <c r="O38" s="205">
        <f t="shared" ref="O38:O55" si="23">IF(D38="O",IF(N38&lt;0,N38,0),0)</f>
        <v>0</v>
      </c>
      <c r="P38" s="206">
        <f t="shared" ref="P38:P55" si="24">IF(N38&gt;= 0,N38,0)</f>
        <v>0</v>
      </c>
      <c r="Q38" s="206">
        <f t="shared" ref="Q38:Q55" si="25">IF(N38&lt;0,N38,0)</f>
        <v>-0.72</v>
      </c>
      <c r="R38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38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101300</v>
      </c>
      <c r="T38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102020</v>
      </c>
      <c r="U38" s="208">
        <f ca="1">IF(Tabla336106734819[[#This Row],[Equity]]&lt;Tabla336106734819[[#This Row],[Equity Peak]],(Tabla336106734819[[#This Row],[Equity Peak]]-Tabla336106734819[[#This Row],[Equity]])/Tabla336106734819[[#This Row],[Equity Peak]],"")</f>
        <v>7.0574397177024109E-3</v>
      </c>
      <c r="V38" s="209">
        <f t="shared" ref="V38:V55" si="26">IF(B38="FX",N38,0)</f>
        <v>-0.72</v>
      </c>
      <c r="W38" s="209">
        <f t="shared" ref="W38:W55" si="27">IF(D38="O",IF(V38&lt;0,V38,0),0)</f>
        <v>0</v>
      </c>
      <c r="X38" s="209">
        <f t="shared" ref="X38:X55" si="28">IF(B38="COM",N38,0)</f>
        <v>0</v>
      </c>
      <c r="Y38" s="209">
        <f t="shared" ref="Y38:Y55" si="29">IF(D38="O",IF(X38&lt;0,X38,0),0)</f>
        <v>0</v>
      </c>
      <c r="Z38" s="209">
        <f t="shared" ref="Z38:Z55" si="30">IF(B38="IND",N38,0)</f>
        <v>0</v>
      </c>
      <c r="AA38" s="205">
        <f t="shared" ref="AA38:AA55" si="31">IF(D38="O",IF(Z38&lt;0,Z38,0),0)</f>
        <v>0</v>
      </c>
      <c r="AB38" s="209">
        <f t="shared" ref="AB38:AB55" si="32">IF(B38="CRYPTO",N38,0)</f>
        <v>0</v>
      </c>
      <c r="AC38" s="205">
        <f t="shared" ref="AC38:AC55" si="33">IF(D38="O",IF(AB38&lt;0,AB38,0),0)</f>
        <v>0</v>
      </c>
      <c r="AD38" s="210">
        <f t="shared" ref="AD38:AD55" si="34">IF(K38&lt;&gt;"",K38-E38,0)</f>
        <v>0.27499999999417923</v>
      </c>
      <c r="AE38" s="210">
        <f t="shared" ref="AE38:AE55" si="35">IF(N38&gt;0,AD38,0)</f>
        <v>0</v>
      </c>
      <c r="AF38" s="210">
        <f t="shared" ref="AF38:AF55" si="36">IF(N38&lt;0,AD38,0)</f>
        <v>0.27499999999417923</v>
      </c>
      <c r="AG38" s="210">
        <f t="shared" ref="AG38:AG55" si="37">IF(N38=0,AD38,0)</f>
        <v>0</v>
      </c>
    </row>
    <row r="39" spans="2:33" ht="15" customHeight="1" x14ac:dyDescent="0.3">
      <c r="B39" s="196" t="s">
        <v>7</v>
      </c>
      <c r="C39" s="197" t="s">
        <v>15</v>
      </c>
      <c r="D39" s="198" t="str">
        <f t="shared" si="19"/>
        <v>C</v>
      </c>
      <c r="E39" s="199">
        <v>43622.666666666664</v>
      </c>
      <c r="F39" s="200" t="s">
        <v>120</v>
      </c>
      <c r="G39" s="201">
        <v>1.6151199999999999</v>
      </c>
      <c r="H39" s="201">
        <v>1.60937</v>
      </c>
      <c r="I39" s="202">
        <f t="shared" si="20"/>
        <v>5.7499999999999218E-3</v>
      </c>
      <c r="J39" s="201">
        <v>1.6764699999999999</v>
      </c>
      <c r="K39" s="199">
        <v>43634.44027777778</v>
      </c>
      <c r="L39" s="201">
        <v>1.6362099999999999</v>
      </c>
      <c r="M39" s="203">
        <f t="shared" si="21"/>
        <v>2.1100000000000001E-2</v>
      </c>
      <c r="N39" s="204">
        <f t="shared" si="22"/>
        <v>3.67</v>
      </c>
      <c r="O39" s="205">
        <f t="shared" si="23"/>
        <v>0</v>
      </c>
      <c r="P39" s="206">
        <f t="shared" si="24"/>
        <v>3.67</v>
      </c>
      <c r="Q39" s="206">
        <f t="shared" si="25"/>
        <v>0</v>
      </c>
      <c r="R39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39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102020</v>
      </c>
      <c r="T39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102020</v>
      </c>
      <c r="U39" s="208" t="str">
        <f ca="1">IF(Tabla336106734819[[#This Row],[Equity]]&lt;Tabla336106734819[[#This Row],[Equity Peak]],(Tabla336106734819[[#This Row],[Equity Peak]]-Tabla336106734819[[#This Row],[Equity]])/Tabla336106734819[[#This Row],[Equity Peak]],"")</f>
        <v/>
      </c>
      <c r="V39" s="209">
        <f t="shared" si="26"/>
        <v>3.67</v>
      </c>
      <c r="W39" s="209">
        <f t="shared" si="27"/>
        <v>0</v>
      </c>
      <c r="X39" s="209">
        <f t="shared" si="28"/>
        <v>0</v>
      </c>
      <c r="Y39" s="209">
        <f t="shared" si="29"/>
        <v>0</v>
      </c>
      <c r="Z39" s="209">
        <f t="shared" si="30"/>
        <v>0</v>
      </c>
      <c r="AA39" s="205">
        <f t="shared" si="31"/>
        <v>0</v>
      </c>
      <c r="AB39" s="209">
        <f t="shared" si="32"/>
        <v>0</v>
      </c>
      <c r="AC39" s="205">
        <f t="shared" si="33"/>
        <v>0</v>
      </c>
      <c r="AD39" s="210">
        <f t="shared" si="34"/>
        <v>11.773611111115315</v>
      </c>
      <c r="AE39" s="210">
        <f t="shared" si="35"/>
        <v>11.773611111115315</v>
      </c>
      <c r="AF39" s="210">
        <f t="shared" si="36"/>
        <v>0</v>
      </c>
      <c r="AG39" s="210">
        <f t="shared" si="37"/>
        <v>0</v>
      </c>
    </row>
    <row r="40" spans="2:33" ht="15" customHeight="1" x14ac:dyDescent="0.3">
      <c r="B40" s="196" t="s">
        <v>7</v>
      </c>
      <c r="C40" s="197" t="s">
        <v>15</v>
      </c>
      <c r="D40" s="198" t="str">
        <f t="shared" si="19"/>
        <v>C</v>
      </c>
      <c r="E40" s="199">
        <v>43620.333333333336</v>
      </c>
      <c r="F40" s="200" t="s">
        <v>120</v>
      </c>
      <c r="G40" s="201">
        <v>1.6144700000000001</v>
      </c>
      <c r="H40" s="201">
        <v>1.60876</v>
      </c>
      <c r="I40" s="202">
        <f t="shared" si="20"/>
        <v>5.7100000000001039E-3</v>
      </c>
      <c r="J40" s="201">
        <v>1.67536</v>
      </c>
      <c r="K40" s="199">
        <v>43620.770138888889</v>
      </c>
      <c r="L40" s="201">
        <v>1.60876</v>
      </c>
      <c r="M40" s="203">
        <f t="shared" si="21"/>
        <v>-5.7000000000000002E-3</v>
      </c>
      <c r="N40" s="204">
        <f t="shared" si="22"/>
        <v>-1</v>
      </c>
      <c r="O40" s="205">
        <f t="shared" si="23"/>
        <v>0</v>
      </c>
      <c r="P40" s="206">
        <f t="shared" si="24"/>
        <v>0</v>
      </c>
      <c r="Q40" s="206">
        <f t="shared" si="25"/>
        <v>-1</v>
      </c>
      <c r="R40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40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98350</v>
      </c>
      <c r="T40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100000</v>
      </c>
      <c r="U40" s="208">
        <f ca="1">IF(Tabla336106734819[[#This Row],[Equity]]&lt;Tabla336106734819[[#This Row],[Equity Peak]],(Tabla336106734819[[#This Row],[Equity Peak]]-Tabla336106734819[[#This Row],[Equity]])/Tabla336106734819[[#This Row],[Equity Peak]],"")</f>
        <v>1.6500000000000001E-2</v>
      </c>
      <c r="V40" s="209">
        <f t="shared" si="26"/>
        <v>-1</v>
      </c>
      <c r="W40" s="209">
        <f t="shared" si="27"/>
        <v>0</v>
      </c>
      <c r="X40" s="209">
        <f t="shared" si="28"/>
        <v>0</v>
      </c>
      <c r="Y40" s="209">
        <f t="shared" si="29"/>
        <v>0</v>
      </c>
      <c r="Z40" s="209">
        <f t="shared" si="30"/>
        <v>0</v>
      </c>
      <c r="AA40" s="205">
        <f t="shared" si="31"/>
        <v>0</v>
      </c>
      <c r="AB40" s="209">
        <f t="shared" si="32"/>
        <v>0</v>
      </c>
      <c r="AC40" s="205">
        <f t="shared" si="33"/>
        <v>0</v>
      </c>
      <c r="AD40" s="210">
        <f t="shared" si="34"/>
        <v>0.43680555555329192</v>
      </c>
      <c r="AE40" s="210">
        <f t="shared" si="35"/>
        <v>0</v>
      </c>
      <c r="AF40" s="210">
        <f t="shared" si="36"/>
        <v>0.43680555555329192</v>
      </c>
      <c r="AG40" s="210">
        <f t="shared" si="37"/>
        <v>0</v>
      </c>
    </row>
    <row r="41" spans="2:33" ht="15" customHeight="1" x14ac:dyDescent="0.3">
      <c r="B41" s="196" t="s">
        <v>7</v>
      </c>
      <c r="C41" s="197" t="s">
        <v>15</v>
      </c>
      <c r="D41" s="198" t="str">
        <f t="shared" si="19"/>
        <v>C</v>
      </c>
      <c r="E41" s="199">
        <v>43598.666666666664</v>
      </c>
      <c r="F41" s="200" t="s">
        <v>120</v>
      </c>
      <c r="G41" s="201">
        <v>1.6142399999999999</v>
      </c>
      <c r="H41" s="201">
        <v>1.6076299999999999</v>
      </c>
      <c r="I41" s="202">
        <f t="shared" si="20"/>
        <v>6.6100000000000048E-3</v>
      </c>
      <c r="J41" s="201">
        <v>1.6847099999999999</v>
      </c>
      <c r="K41" s="199">
        <v>43605</v>
      </c>
      <c r="L41" s="201">
        <v>1.6172299999999999</v>
      </c>
      <c r="M41" s="203">
        <f t="shared" si="21"/>
        <v>3.0000000000000001E-3</v>
      </c>
      <c r="N41" s="204">
        <f t="shared" si="22"/>
        <v>0.45</v>
      </c>
      <c r="O41" s="205">
        <f t="shared" si="23"/>
        <v>0</v>
      </c>
      <c r="P41" s="206">
        <f t="shared" si="24"/>
        <v>0.45</v>
      </c>
      <c r="Q41" s="206">
        <f t="shared" si="25"/>
        <v>0</v>
      </c>
      <c r="R41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41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99350</v>
      </c>
      <c r="T41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100000</v>
      </c>
      <c r="U41" s="208">
        <f ca="1">IF(Tabla336106734819[[#This Row],[Equity]]&lt;Tabla336106734819[[#This Row],[Equity Peak]],(Tabla336106734819[[#This Row],[Equity Peak]]-Tabla336106734819[[#This Row],[Equity]])/Tabla336106734819[[#This Row],[Equity Peak]],"")</f>
        <v>6.4999999999999997E-3</v>
      </c>
      <c r="V41" s="209">
        <f t="shared" si="26"/>
        <v>0.45</v>
      </c>
      <c r="W41" s="209">
        <f t="shared" si="27"/>
        <v>0</v>
      </c>
      <c r="X41" s="209">
        <f t="shared" si="28"/>
        <v>0</v>
      </c>
      <c r="Y41" s="209">
        <f t="shared" si="29"/>
        <v>0</v>
      </c>
      <c r="Z41" s="209">
        <f t="shared" si="30"/>
        <v>0</v>
      </c>
      <c r="AA41" s="205">
        <f t="shared" si="31"/>
        <v>0</v>
      </c>
      <c r="AB41" s="209">
        <f t="shared" si="32"/>
        <v>0</v>
      </c>
      <c r="AC41" s="205">
        <f t="shared" si="33"/>
        <v>0</v>
      </c>
      <c r="AD41" s="210">
        <f t="shared" si="34"/>
        <v>6.3333333333357587</v>
      </c>
      <c r="AE41" s="210">
        <f t="shared" si="35"/>
        <v>6.3333333333357587</v>
      </c>
      <c r="AF41" s="210">
        <f t="shared" si="36"/>
        <v>0</v>
      </c>
      <c r="AG41" s="210">
        <f t="shared" si="37"/>
        <v>0</v>
      </c>
    </row>
    <row r="42" spans="2:33" ht="15" customHeight="1" x14ac:dyDescent="0.3">
      <c r="B42" s="196" t="s">
        <v>7</v>
      </c>
      <c r="C42" s="197" t="s">
        <v>13</v>
      </c>
      <c r="D42" s="198" t="str">
        <f t="shared" si="19"/>
        <v>C</v>
      </c>
      <c r="E42" s="199">
        <v>43546.5</v>
      </c>
      <c r="F42" s="200" t="s">
        <v>120</v>
      </c>
      <c r="G42" s="201">
        <v>1.5931200000000001</v>
      </c>
      <c r="H42" s="201">
        <v>1.60029</v>
      </c>
      <c r="I42" s="202">
        <f t="shared" si="20"/>
        <v>7.1699999999998987E-3</v>
      </c>
      <c r="J42" s="201">
        <v>1.5166900000000001</v>
      </c>
      <c r="K42" s="199">
        <v>43551.409722222219</v>
      </c>
      <c r="L42" s="201">
        <v>1.5863100000000001</v>
      </c>
      <c r="M42" s="203">
        <f t="shared" si="21"/>
        <v>6.7999999999999996E-3</v>
      </c>
      <c r="N42" s="204">
        <f t="shared" si="22"/>
        <v>0.95</v>
      </c>
      <c r="O42" s="205">
        <f t="shared" si="23"/>
        <v>0</v>
      </c>
      <c r="P42" s="206">
        <f t="shared" si="24"/>
        <v>0.95</v>
      </c>
      <c r="Q42" s="206">
        <f t="shared" si="25"/>
        <v>0</v>
      </c>
      <c r="R42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42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98900</v>
      </c>
      <c r="T42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100000</v>
      </c>
      <c r="U42" s="208">
        <f ca="1">IF(Tabla336106734819[[#This Row],[Equity]]&lt;Tabla336106734819[[#This Row],[Equity Peak]],(Tabla336106734819[[#This Row],[Equity Peak]]-Tabla336106734819[[#This Row],[Equity]])/Tabla336106734819[[#This Row],[Equity Peak]],"")</f>
        <v>1.0999999999999999E-2</v>
      </c>
      <c r="V42" s="209">
        <f t="shared" si="26"/>
        <v>0.95</v>
      </c>
      <c r="W42" s="209">
        <f t="shared" si="27"/>
        <v>0</v>
      </c>
      <c r="X42" s="209">
        <f t="shared" si="28"/>
        <v>0</v>
      </c>
      <c r="Y42" s="209">
        <f t="shared" si="29"/>
        <v>0</v>
      </c>
      <c r="Z42" s="209">
        <f t="shared" si="30"/>
        <v>0</v>
      </c>
      <c r="AA42" s="205">
        <f t="shared" si="31"/>
        <v>0</v>
      </c>
      <c r="AB42" s="209">
        <f t="shared" si="32"/>
        <v>0</v>
      </c>
      <c r="AC42" s="205">
        <f t="shared" si="33"/>
        <v>0</v>
      </c>
      <c r="AD42" s="210">
        <f t="shared" si="34"/>
        <v>4.9097222222189885</v>
      </c>
      <c r="AE42" s="210">
        <f t="shared" si="35"/>
        <v>4.9097222222189885</v>
      </c>
      <c r="AF42" s="210">
        <f t="shared" si="36"/>
        <v>0</v>
      </c>
      <c r="AG42" s="210">
        <f t="shared" si="37"/>
        <v>0</v>
      </c>
    </row>
    <row r="43" spans="2:33" ht="15" customHeight="1" x14ac:dyDescent="0.3">
      <c r="B43" s="196" t="s">
        <v>7</v>
      </c>
      <c r="C43" s="197" t="s">
        <v>15</v>
      </c>
      <c r="D43" s="198" t="str">
        <f t="shared" si="19"/>
        <v>C</v>
      </c>
      <c r="E43" s="199">
        <v>43543.333333333336</v>
      </c>
      <c r="F43" s="200" t="s">
        <v>120</v>
      </c>
      <c r="G43" s="201">
        <v>1.59701</v>
      </c>
      <c r="H43" s="201">
        <v>1.5922700000000001</v>
      </c>
      <c r="I43" s="202">
        <f t="shared" si="20"/>
        <v>4.7399999999999665E-3</v>
      </c>
      <c r="J43" s="201">
        <v>1.6476200000000001</v>
      </c>
      <c r="K43" s="199">
        <v>43544.443749999999</v>
      </c>
      <c r="L43" s="201">
        <v>1.60026</v>
      </c>
      <c r="M43" s="203">
        <f t="shared" si="21"/>
        <v>3.2000000000000002E-3</v>
      </c>
      <c r="N43" s="204">
        <f t="shared" si="22"/>
        <v>0.68</v>
      </c>
      <c r="O43" s="205">
        <f t="shared" si="23"/>
        <v>0</v>
      </c>
      <c r="P43" s="206">
        <f t="shared" si="24"/>
        <v>0.68</v>
      </c>
      <c r="Q43" s="206">
        <f t="shared" si="25"/>
        <v>0</v>
      </c>
      <c r="R43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43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97950</v>
      </c>
      <c r="T43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100000</v>
      </c>
      <c r="U43" s="208">
        <f ca="1">IF(Tabla336106734819[[#This Row],[Equity]]&lt;Tabla336106734819[[#This Row],[Equity Peak]],(Tabla336106734819[[#This Row],[Equity Peak]]-Tabla336106734819[[#This Row],[Equity]])/Tabla336106734819[[#This Row],[Equity Peak]],"")</f>
        <v>2.0500000000000001E-2</v>
      </c>
      <c r="V43" s="209">
        <f t="shared" si="26"/>
        <v>0.68</v>
      </c>
      <c r="W43" s="209">
        <f t="shared" si="27"/>
        <v>0</v>
      </c>
      <c r="X43" s="209">
        <f t="shared" si="28"/>
        <v>0</v>
      </c>
      <c r="Y43" s="209">
        <f t="shared" si="29"/>
        <v>0</v>
      </c>
      <c r="Z43" s="209">
        <f t="shared" si="30"/>
        <v>0</v>
      </c>
      <c r="AA43" s="205">
        <f t="shared" si="31"/>
        <v>0</v>
      </c>
      <c r="AB43" s="209">
        <f t="shared" si="32"/>
        <v>0</v>
      </c>
      <c r="AC43" s="205">
        <f t="shared" si="33"/>
        <v>0</v>
      </c>
      <c r="AD43" s="210">
        <f t="shared" si="34"/>
        <v>1.1104166666627862</v>
      </c>
      <c r="AE43" s="210">
        <f t="shared" si="35"/>
        <v>1.1104166666627862</v>
      </c>
      <c r="AF43" s="210">
        <f t="shared" si="36"/>
        <v>0</v>
      </c>
      <c r="AG43" s="210">
        <f t="shared" si="37"/>
        <v>0</v>
      </c>
    </row>
    <row r="44" spans="2:33" ht="15" customHeight="1" x14ac:dyDescent="0.3">
      <c r="B44" s="196" t="s">
        <v>7</v>
      </c>
      <c r="C44" s="197" t="s">
        <v>13</v>
      </c>
      <c r="D44" s="198" t="str">
        <f t="shared" si="19"/>
        <v>C</v>
      </c>
      <c r="E44" s="199">
        <v>43542.333333333336</v>
      </c>
      <c r="F44" s="200" t="s">
        <v>120</v>
      </c>
      <c r="G44" s="201">
        <v>1.5933900000000001</v>
      </c>
      <c r="H44" s="201">
        <v>1.5984100000000001</v>
      </c>
      <c r="I44" s="202">
        <f t="shared" si="20"/>
        <v>5.0200000000000244E-3</v>
      </c>
      <c r="J44" s="201">
        <v>1.53989</v>
      </c>
      <c r="K44" s="199">
        <v>43542.603472222225</v>
      </c>
      <c r="L44" s="201">
        <v>1.5984100000000001</v>
      </c>
      <c r="M44" s="203">
        <f t="shared" si="21"/>
        <v>-5.0000000000000001E-3</v>
      </c>
      <c r="N44" s="204">
        <f t="shared" si="22"/>
        <v>-1</v>
      </c>
      <c r="O44" s="205">
        <f t="shared" si="23"/>
        <v>0</v>
      </c>
      <c r="P44" s="206">
        <f t="shared" si="24"/>
        <v>0</v>
      </c>
      <c r="Q44" s="206">
        <f t="shared" si="25"/>
        <v>-1</v>
      </c>
      <c r="R44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44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97270</v>
      </c>
      <c r="T44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100000</v>
      </c>
      <c r="U44" s="208">
        <f ca="1">IF(Tabla336106734819[[#This Row],[Equity]]&lt;Tabla336106734819[[#This Row],[Equity Peak]],(Tabla336106734819[[#This Row],[Equity Peak]]-Tabla336106734819[[#This Row],[Equity]])/Tabla336106734819[[#This Row],[Equity Peak]],"")</f>
        <v>2.7300000000000001E-2</v>
      </c>
      <c r="V44" s="209">
        <f t="shared" si="26"/>
        <v>-1</v>
      </c>
      <c r="W44" s="209">
        <f t="shared" si="27"/>
        <v>0</v>
      </c>
      <c r="X44" s="209">
        <f t="shared" si="28"/>
        <v>0</v>
      </c>
      <c r="Y44" s="209">
        <f t="shared" si="29"/>
        <v>0</v>
      </c>
      <c r="Z44" s="209">
        <f t="shared" si="30"/>
        <v>0</v>
      </c>
      <c r="AA44" s="205">
        <f t="shared" si="31"/>
        <v>0</v>
      </c>
      <c r="AB44" s="209">
        <f t="shared" si="32"/>
        <v>0</v>
      </c>
      <c r="AC44" s="205">
        <f t="shared" si="33"/>
        <v>0</v>
      </c>
      <c r="AD44" s="210">
        <f t="shared" si="34"/>
        <v>0.27013888888905058</v>
      </c>
      <c r="AE44" s="210">
        <f t="shared" si="35"/>
        <v>0</v>
      </c>
      <c r="AF44" s="210">
        <f t="shared" si="36"/>
        <v>0.27013888888905058</v>
      </c>
      <c r="AG44" s="210">
        <f t="shared" si="37"/>
        <v>0</v>
      </c>
    </row>
    <row r="45" spans="2:33" ht="15" customHeight="1" x14ac:dyDescent="0.3">
      <c r="B45" s="196" t="s">
        <v>7</v>
      </c>
      <c r="C45" s="197" t="s">
        <v>15</v>
      </c>
      <c r="D45" s="198" t="str">
        <f t="shared" si="19"/>
        <v>C</v>
      </c>
      <c r="E45" s="199">
        <v>43537.333333333336</v>
      </c>
      <c r="F45" s="200" t="s">
        <v>120</v>
      </c>
      <c r="G45" s="201">
        <v>1.5993900000000001</v>
      </c>
      <c r="H45" s="201">
        <v>1.5938300000000001</v>
      </c>
      <c r="I45" s="202">
        <f t="shared" si="20"/>
        <v>5.5600000000000094E-3</v>
      </c>
      <c r="J45" s="201">
        <v>1.6586799999999999</v>
      </c>
      <c r="K45" s="199">
        <v>43539.103472222225</v>
      </c>
      <c r="L45" s="201">
        <v>1.59768</v>
      </c>
      <c r="M45" s="203">
        <f t="shared" si="21"/>
        <v>-1.6999999999999999E-3</v>
      </c>
      <c r="N45" s="204">
        <f t="shared" si="22"/>
        <v>-0.31</v>
      </c>
      <c r="O45" s="205">
        <f t="shared" si="23"/>
        <v>0</v>
      </c>
      <c r="P45" s="206">
        <f t="shared" si="24"/>
        <v>0</v>
      </c>
      <c r="Q45" s="206">
        <f t="shared" si="25"/>
        <v>-0.31</v>
      </c>
      <c r="R45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45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98270</v>
      </c>
      <c r="T45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100000</v>
      </c>
      <c r="U45" s="208">
        <f ca="1">IF(Tabla336106734819[[#This Row],[Equity]]&lt;Tabla336106734819[[#This Row],[Equity Peak]],(Tabla336106734819[[#This Row],[Equity Peak]]-Tabla336106734819[[#This Row],[Equity]])/Tabla336106734819[[#This Row],[Equity Peak]],"")</f>
        <v>1.7299999999999999E-2</v>
      </c>
      <c r="V45" s="209">
        <f t="shared" si="26"/>
        <v>-0.31</v>
      </c>
      <c r="W45" s="209">
        <f t="shared" si="27"/>
        <v>0</v>
      </c>
      <c r="X45" s="209">
        <f t="shared" si="28"/>
        <v>0</v>
      </c>
      <c r="Y45" s="209">
        <f t="shared" si="29"/>
        <v>0</v>
      </c>
      <c r="Z45" s="209">
        <f t="shared" si="30"/>
        <v>0</v>
      </c>
      <c r="AA45" s="205">
        <f t="shared" si="31"/>
        <v>0</v>
      </c>
      <c r="AB45" s="209">
        <f t="shared" si="32"/>
        <v>0</v>
      </c>
      <c r="AC45" s="205">
        <f t="shared" si="33"/>
        <v>0</v>
      </c>
      <c r="AD45" s="210">
        <f t="shared" si="34"/>
        <v>1.7701388888890506</v>
      </c>
      <c r="AE45" s="210">
        <f t="shared" si="35"/>
        <v>0</v>
      </c>
      <c r="AF45" s="210">
        <f t="shared" si="36"/>
        <v>1.7701388888890506</v>
      </c>
      <c r="AG45" s="210">
        <f t="shared" si="37"/>
        <v>0</v>
      </c>
    </row>
    <row r="46" spans="2:33" ht="15" customHeight="1" x14ac:dyDescent="0.3">
      <c r="B46" s="196" t="s">
        <v>7</v>
      </c>
      <c r="C46" s="197" t="s">
        <v>15</v>
      </c>
      <c r="D46" s="198" t="str">
        <f t="shared" si="19"/>
        <v>C</v>
      </c>
      <c r="E46" s="199">
        <v>43523.833333333336</v>
      </c>
      <c r="F46" s="200" t="s">
        <v>120</v>
      </c>
      <c r="G46" s="201">
        <v>1.5936600000000001</v>
      </c>
      <c r="H46" s="201">
        <v>1.5874999999999999</v>
      </c>
      <c r="I46" s="202">
        <f t="shared" si="20"/>
        <v>6.1600000000001653E-3</v>
      </c>
      <c r="J46" s="201">
        <v>1.65934</v>
      </c>
      <c r="K46" s="199">
        <v>43528.679166666669</v>
      </c>
      <c r="L46" s="201">
        <v>1.5975600000000001</v>
      </c>
      <c r="M46" s="203">
        <f t="shared" si="21"/>
        <v>3.8999999999999998E-3</v>
      </c>
      <c r="N46" s="204">
        <f t="shared" si="22"/>
        <v>0.63</v>
      </c>
      <c r="O46" s="205">
        <f t="shared" si="23"/>
        <v>0</v>
      </c>
      <c r="P46" s="206">
        <f t="shared" si="24"/>
        <v>0.63</v>
      </c>
      <c r="Q46" s="206">
        <f t="shared" si="25"/>
        <v>0</v>
      </c>
      <c r="R46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46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98580</v>
      </c>
      <c r="T46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100000</v>
      </c>
      <c r="U46" s="208">
        <f ca="1">IF(Tabla336106734819[[#This Row],[Equity]]&lt;Tabla336106734819[[#This Row],[Equity Peak]],(Tabla336106734819[[#This Row],[Equity Peak]]-Tabla336106734819[[#This Row],[Equity]])/Tabla336106734819[[#This Row],[Equity Peak]],"")</f>
        <v>1.4200000000000001E-2</v>
      </c>
      <c r="V46" s="209">
        <f t="shared" si="26"/>
        <v>0.63</v>
      </c>
      <c r="W46" s="209">
        <f t="shared" si="27"/>
        <v>0</v>
      </c>
      <c r="X46" s="209">
        <f t="shared" si="28"/>
        <v>0</v>
      </c>
      <c r="Y46" s="209">
        <f t="shared" si="29"/>
        <v>0</v>
      </c>
      <c r="Z46" s="209">
        <f t="shared" si="30"/>
        <v>0</v>
      </c>
      <c r="AA46" s="205">
        <f t="shared" si="31"/>
        <v>0</v>
      </c>
      <c r="AB46" s="209">
        <f t="shared" si="32"/>
        <v>0</v>
      </c>
      <c r="AC46" s="205">
        <f t="shared" si="33"/>
        <v>0</v>
      </c>
      <c r="AD46" s="210">
        <f t="shared" si="34"/>
        <v>4.8458333333328483</v>
      </c>
      <c r="AE46" s="210">
        <f t="shared" si="35"/>
        <v>4.8458333333328483</v>
      </c>
      <c r="AF46" s="210">
        <f t="shared" si="36"/>
        <v>0</v>
      </c>
      <c r="AG46" s="210">
        <f t="shared" si="37"/>
        <v>0</v>
      </c>
    </row>
    <row r="47" spans="2:33" ht="15" customHeight="1" x14ac:dyDescent="0.3">
      <c r="B47" s="196" t="s">
        <v>7</v>
      </c>
      <c r="C47" s="197" t="s">
        <v>13</v>
      </c>
      <c r="D47" s="198" t="str">
        <f t="shared" si="19"/>
        <v>C</v>
      </c>
      <c r="E47" s="199">
        <v>43521.333333333336</v>
      </c>
      <c r="F47" s="200" t="s">
        <v>120</v>
      </c>
      <c r="G47" s="201">
        <v>1.58602</v>
      </c>
      <c r="H47" s="201">
        <v>1.5955900000000001</v>
      </c>
      <c r="I47" s="202">
        <f t="shared" si="20"/>
        <v>9.5700000000000784E-3</v>
      </c>
      <c r="J47" s="201">
        <v>1.4839500000000001</v>
      </c>
      <c r="K47" s="199">
        <v>43522.434027777781</v>
      </c>
      <c r="L47" s="201">
        <v>1.58873</v>
      </c>
      <c r="M47" s="203">
        <f t="shared" si="21"/>
        <v>-2.7000000000000001E-3</v>
      </c>
      <c r="N47" s="204">
        <f t="shared" si="22"/>
        <v>-0.28000000000000003</v>
      </c>
      <c r="O47" s="205">
        <f t="shared" si="23"/>
        <v>0</v>
      </c>
      <c r="P47" s="206">
        <f t="shared" si="24"/>
        <v>0</v>
      </c>
      <c r="Q47" s="206">
        <f t="shared" si="25"/>
        <v>-0.28000000000000003</v>
      </c>
      <c r="R47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47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97950</v>
      </c>
      <c r="T47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100000</v>
      </c>
      <c r="U47" s="208">
        <f ca="1">IF(Tabla336106734819[[#This Row],[Equity]]&lt;Tabla336106734819[[#This Row],[Equity Peak]],(Tabla336106734819[[#This Row],[Equity Peak]]-Tabla336106734819[[#This Row],[Equity]])/Tabla336106734819[[#This Row],[Equity Peak]],"")</f>
        <v>2.0500000000000001E-2</v>
      </c>
      <c r="V47" s="209">
        <f t="shared" si="26"/>
        <v>-0.28000000000000003</v>
      </c>
      <c r="W47" s="209">
        <f t="shared" si="27"/>
        <v>0</v>
      </c>
      <c r="X47" s="209">
        <f t="shared" si="28"/>
        <v>0</v>
      </c>
      <c r="Y47" s="209">
        <f t="shared" si="29"/>
        <v>0</v>
      </c>
      <c r="Z47" s="209">
        <f t="shared" si="30"/>
        <v>0</v>
      </c>
      <c r="AA47" s="205">
        <f t="shared" si="31"/>
        <v>0</v>
      </c>
      <c r="AB47" s="209">
        <f t="shared" si="32"/>
        <v>0</v>
      </c>
      <c r="AC47" s="205">
        <f t="shared" si="33"/>
        <v>0</v>
      </c>
      <c r="AD47" s="210">
        <f t="shared" si="34"/>
        <v>1.1006944444452529</v>
      </c>
      <c r="AE47" s="210">
        <f t="shared" si="35"/>
        <v>0</v>
      </c>
      <c r="AF47" s="210">
        <f t="shared" si="36"/>
        <v>1.1006944444452529</v>
      </c>
      <c r="AG47" s="210">
        <f t="shared" si="37"/>
        <v>0</v>
      </c>
    </row>
    <row r="48" spans="2:33" ht="15" customHeight="1" x14ac:dyDescent="0.3">
      <c r="B48" s="196" t="s">
        <v>7</v>
      </c>
      <c r="C48" s="197" t="s">
        <v>15</v>
      </c>
      <c r="D48" s="198" t="str">
        <f t="shared" si="19"/>
        <v>C</v>
      </c>
      <c r="E48" s="199">
        <v>43517.5</v>
      </c>
      <c r="F48" s="200" t="s">
        <v>120</v>
      </c>
      <c r="G48" s="201">
        <v>1.5949599999999999</v>
      </c>
      <c r="H48" s="201">
        <v>1.5865</v>
      </c>
      <c r="I48" s="202">
        <f t="shared" si="20"/>
        <v>8.459999999999912E-3</v>
      </c>
      <c r="J48" s="201">
        <v>1.6852199999999999</v>
      </c>
      <c r="K48" s="199">
        <v>43518.602777777778</v>
      </c>
      <c r="L48" s="201">
        <v>1.59161</v>
      </c>
      <c r="M48" s="203">
        <f t="shared" si="21"/>
        <v>-3.3E-3</v>
      </c>
      <c r="N48" s="204">
        <f t="shared" si="22"/>
        <v>-0.39</v>
      </c>
      <c r="O48" s="205">
        <f t="shared" si="23"/>
        <v>0</v>
      </c>
      <c r="P48" s="206">
        <f t="shared" si="24"/>
        <v>0</v>
      </c>
      <c r="Q48" s="206">
        <f t="shared" si="25"/>
        <v>-0.39</v>
      </c>
      <c r="R48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48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98230</v>
      </c>
      <c r="T48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100000</v>
      </c>
      <c r="U48" s="208">
        <f ca="1">IF(Tabla336106734819[[#This Row],[Equity]]&lt;Tabla336106734819[[#This Row],[Equity Peak]],(Tabla336106734819[[#This Row],[Equity Peak]]-Tabla336106734819[[#This Row],[Equity]])/Tabla336106734819[[#This Row],[Equity Peak]],"")</f>
        <v>1.77E-2</v>
      </c>
      <c r="V48" s="209">
        <f t="shared" si="26"/>
        <v>-0.39</v>
      </c>
      <c r="W48" s="209">
        <f t="shared" si="27"/>
        <v>0</v>
      </c>
      <c r="X48" s="209">
        <f t="shared" si="28"/>
        <v>0</v>
      </c>
      <c r="Y48" s="209">
        <f t="shared" si="29"/>
        <v>0</v>
      </c>
      <c r="Z48" s="209">
        <f t="shared" si="30"/>
        <v>0</v>
      </c>
      <c r="AA48" s="205">
        <f t="shared" si="31"/>
        <v>0</v>
      </c>
      <c r="AB48" s="209">
        <f t="shared" si="32"/>
        <v>0</v>
      </c>
      <c r="AC48" s="205">
        <f t="shared" si="33"/>
        <v>0</v>
      </c>
      <c r="AD48" s="210">
        <f t="shared" si="34"/>
        <v>1.1027777777781012</v>
      </c>
      <c r="AE48" s="210">
        <f t="shared" si="35"/>
        <v>0</v>
      </c>
      <c r="AF48" s="210">
        <f t="shared" si="36"/>
        <v>1.1027777777781012</v>
      </c>
      <c r="AG48" s="210">
        <f t="shared" si="37"/>
        <v>0</v>
      </c>
    </row>
    <row r="49" spans="2:33" ht="15" customHeight="1" x14ac:dyDescent="0.3">
      <c r="B49" s="196" t="s">
        <v>7</v>
      </c>
      <c r="C49" s="197" t="s">
        <v>13</v>
      </c>
      <c r="D49" s="198" t="str">
        <f t="shared" si="19"/>
        <v>C</v>
      </c>
      <c r="E49" s="199">
        <v>43509.666666666664</v>
      </c>
      <c r="F49" s="200" t="s">
        <v>120</v>
      </c>
      <c r="G49" s="201">
        <v>1.58921</v>
      </c>
      <c r="H49" s="201">
        <v>1.5950500000000001</v>
      </c>
      <c r="I49" s="202">
        <f t="shared" si="20"/>
        <v>5.8400000000000674E-3</v>
      </c>
      <c r="J49" s="201">
        <v>1.52695</v>
      </c>
      <c r="K49" s="199">
        <v>43510.693055555559</v>
      </c>
      <c r="L49" s="201">
        <v>1.5897300000000001</v>
      </c>
      <c r="M49" s="203">
        <f t="shared" si="21"/>
        <v>-5.0000000000000001E-4</v>
      </c>
      <c r="N49" s="204">
        <f t="shared" si="22"/>
        <v>-0.09</v>
      </c>
      <c r="O49" s="205">
        <f t="shared" si="23"/>
        <v>0</v>
      </c>
      <c r="P49" s="206">
        <f t="shared" si="24"/>
        <v>0</v>
      </c>
      <c r="Q49" s="206">
        <f t="shared" si="25"/>
        <v>-0.09</v>
      </c>
      <c r="R49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49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98620</v>
      </c>
      <c r="T49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100000</v>
      </c>
      <c r="U49" s="208">
        <f ca="1">IF(Tabla336106734819[[#This Row],[Equity]]&lt;Tabla336106734819[[#This Row],[Equity Peak]],(Tabla336106734819[[#This Row],[Equity Peak]]-Tabla336106734819[[#This Row],[Equity]])/Tabla336106734819[[#This Row],[Equity Peak]],"")</f>
        <v>1.38E-2</v>
      </c>
      <c r="V49" s="209">
        <f t="shared" si="26"/>
        <v>-0.09</v>
      </c>
      <c r="W49" s="209">
        <f t="shared" si="27"/>
        <v>0</v>
      </c>
      <c r="X49" s="209">
        <f t="shared" si="28"/>
        <v>0</v>
      </c>
      <c r="Y49" s="209">
        <f t="shared" si="29"/>
        <v>0</v>
      </c>
      <c r="Z49" s="209">
        <f t="shared" si="30"/>
        <v>0</v>
      </c>
      <c r="AA49" s="205">
        <f t="shared" si="31"/>
        <v>0</v>
      </c>
      <c r="AB49" s="209">
        <f t="shared" si="32"/>
        <v>0</v>
      </c>
      <c r="AC49" s="205">
        <f t="shared" si="33"/>
        <v>0</v>
      </c>
      <c r="AD49" s="210">
        <f t="shared" si="34"/>
        <v>1.0263888888948713</v>
      </c>
      <c r="AE49" s="210">
        <f t="shared" si="35"/>
        <v>0</v>
      </c>
      <c r="AF49" s="210">
        <f t="shared" si="36"/>
        <v>1.0263888888948713</v>
      </c>
      <c r="AG49" s="210">
        <f t="shared" si="37"/>
        <v>0</v>
      </c>
    </row>
    <row r="50" spans="2:33" ht="15" customHeight="1" x14ac:dyDescent="0.3">
      <c r="B50" s="196" t="s">
        <v>7</v>
      </c>
      <c r="C50" s="197" t="s">
        <v>15</v>
      </c>
      <c r="D50" s="198" t="str">
        <f t="shared" si="19"/>
        <v>C</v>
      </c>
      <c r="E50" s="199">
        <v>43502.5</v>
      </c>
      <c r="F50" s="200" t="s">
        <v>120</v>
      </c>
      <c r="G50" s="201">
        <v>1.5960099999999999</v>
      </c>
      <c r="H50" s="201">
        <v>1.58734</v>
      </c>
      <c r="I50" s="202">
        <f t="shared" si="20"/>
        <v>8.6699999999999555E-3</v>
      </c>
      <c r="J50" s="201">
        <v>1.68849</v>
      </c>
      <c r="K50" s="199">
        <v>43507.054861111108</v>
      </c>
      <c r="L50" s="201">
        <v>1.59552</v>
      </c>
      <c r="M50" s="203">
        <f t="shared" si="21"/>
        <v>-5.0000000000000001E-4</v>
      </c>
      <c r="N50" s="204">
        <f t="shared" si="22"/>
        <v>-0.06</v>
      </c>
      <c r="O50" s="205">
        <f t="shared" si="23"/>
        <v>0</v>
      </c>
      <c r="P50" s="206">
        <f t="shared" si="24"/>
        <v>0</v>
      </c>
      <c r="Q50" s="206">
        <f t="shared" si="25"/>
        <v>-0.06</v>
      </c>
      <c r="R50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50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98710</v>
      </c>
      <c r="T50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100000</v>
      </c>
      <c r="U50" s="208">
        <f ca="1">IF(Tabla336106734819[[#This Row],[Equity]]&lt;Tabla336106734819[[#This Row],[Equity Peak]],(Tabla336106734819[[#This Row],[Equity Peak]]-Tabla336106734819[[#This Row],[Equity]])/Tabla336106734819[[#This Row],[Equity Peak]],"")</f>
        <v>1.29E-2</v>
      </c>
      <c r="V50" s="209">
        <f t="shared" si="26"/>
        <v>-0.06</v>
      </c>
      <c r="W50" s="209">
        <f t="shared" si="27"/>
        <v>0</v>
      </c>
      <c r="X50" s="209">
        <f t="shared" si="28"/>
        <v>0</v>
      </c>
      <c r="Y50" s="209">
        <f t="shared" si="29"/>
        <v>0</v>
      </c>
      <c r="Z50" s="209">
        <f t="shared" si="30"/>
        <v>0</v>
      </c>
      <c r="AA50" s="205">
        <f t="shared" si="31"/>
        <v>0</v>
      </c>
      <c r="AB50" s="209">
        <f t="shared" si="32"/>
        <v>0</v>
      </c>
      <c r="AC50" s="205">
        <f t="shared" si="33"/>
        <v>0</v>
      </c>
      <c r="AD50" s="210">
        <f t="shared" si="34"/>
        <v>4.554861111108039</v>
      </c>
      <c r="AE50" s="210">
        <f t="shared" si="35"/>
        <v>0</v>
      </c>
      <c r="AF50" s="210">
        <f t="shared" si="36"/>
        <v>4.554861111108039</v>
      </c>
      <c r="AG50" s="210">
        <f t="shared" si="37"/>
        <v>0</v>
      </c>
    </row>
    <row r="51" spans="2:33" ht="15" customHeight="1" x14ac:dyDescent="0.3">
      <c r="B51" s="196" t="s">
        <v>7</v>
      </c>
      <c r="C51" s="197" t="s">
        <v>13</v>
      </c>
      <c r="D51" s="198" t="str">
        <f t="shared" si="19"/>
        <v>C</v>
      </c>
      <c r="E51" s="199">
        <v>43495.333333333336</v>
      </c>
      <c r="F51" s="200" t="s">
        <v>120</v>
      </c>
      <c r="G51" s="201">
        <v>1.5896699999999999</v>
      </c>
      <c r="H51" s="201">
        <v>1.5957399999999999</v>
      </c>
      <c r="I51" s="202">
        <f t="shared" si="20"/>
        <v>6.0700000000000198E-3</v>
      </c>
      <c r="J51" s="201">
        <v>1.5249200000000001</v>
      </c>
      <c r="K51" s="199">
        <v>43500.075694444444</v>
      </c>
      <c r="L51" s="201">
        <v>1.5822700000000001</v>
      </c>
      <c r="M51" s="203">
        <f t="shared" si="21"/>
        <v>7.4000000000000003E-3</v>
      </c>
      <c r="N51" s="204">
        <f t="shared" si="22"/>
        <v>1.22</v>
      </c>
      <c r="O51" s="205">
        <f t="shared" si="23"/>
        <v>0</v>
      </c>
      <c r="P51" s="206">
        <f t="shared" si="24"/>
        <v>1.22</v>
      </c>
      <c r="Q51" s="206">
        <f t="shared" si="25"/>
        <v>0</v>
      </c>
      <c r="R51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No</v>
      </c>
      <c r="S51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98770</v>
      </c>
      <c r="T51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100000</v>
      </c>
      <c r="U51" s="208">
        <f ca="1">IF(Tabla336106734819[[#This Row],[Equity]]&lt;Tabla336106734819[[#This Row],[Equity Peak]],(Tabla336106734819[[#This Row],[Equity Peak]]-Tabla336106734819[[#This Row],[Equity]])/Tabla336106734819[[#This Row],[Equity Peak]],"")</f>
        <v>1.23E-2</v>
      </c>
      <c r="V51" s="209">
        <f t="shared" si="26"/>
        <v>1.22</v>
      </c>
      <c r="W51" s="209">
        <f t="shared" si="27"/>
        <v>0</v>
      </c>
      <c r="X51" s="209">
        <f t="shared" si="28"/>
        <v>0</v>
      </c>
      <c r="Y51" s="209">
        <f t="shared" si="29"/>
        <v>0</v>
      </c>
      <c r="Z51" s="209">
        <f t="shared" si="30"/>
        <v>0</v>
      </c>
      <c r="AA51" s="205">
        <f t="shared" si="31"/>
        <v>0</v>
      </c>
      <c r="AB51" s="209">
        <f t="shared" si="32"/>
        <v>0</v>
      </c>
      <c r="AC51" s="205">
        <f t="shared" si="33"/>
        <v>0</v>
      </c>
      <c r="AD51" s="210">
        <f t="shared" si="34"/>
        <v>4.742361111108039</v>
      </c>
      <c r="AE51" s="210">
        <f t="shared" si="35"/>
        <v>4.742361111108039</v>
      </c>
      <c r="AF51" s="210">
        <f t="shared" si="36"/>
        <v>0</v>
      </c>
      <c r="AG51" s="210">
        <f t="shared" si="37"/>
        <v>0</v>
      </c>
    </row>
    <row r="52" spans="2:33" ht="15" customHeight="1" x14ac:dyDescent="0.3">
      <c r="B52" s="196" t="s">
        <v>7</v>
      </c>
      <c r="C52" s="197" t="s">
        <v>15</v>
      </c>
      <c r="D52" s="198" t="str">
        <f t="shared" si="19"/>
        <v>C</v>
      </c>
      <c r="E52" s="199">
        <v>43494.166666666664</v>
      </c>
      <c r="F52" s="200" t="s">
        <v>120</v>
      </c>
      <c r="G52" s="201">
        <v>1.59693</v>
      </c>
      <c r="H52" s="201">
        <v>1.5910899999999999</v>
      </c>
      <c r="I52" s="202">
        <f t="shared" si="20"/>
        <v>5.8400000000000674E-3</v>
      </c>
      <c r="J52" s="201">
        <v>1.65926</v>
      </c>
      <c r="K52" s="199">
        <v>43495.10833333333</v>
      </c>
      <c r="L52" s="201">
        <v>1.5918099999999999</v>
      </c>
      <c r="M52" s="203">
        <f t="shared" si="21"/>
        <v>-5.1000000000000004E-3</v>
      </c>
      <c r="N52" s="204">
        <f t="shared" si="22"/>
        <v>-0.87</v>
      </c>
      <c r="O52" s="205">
        <f t="shared" si="23"/>
        <v>0</v>
      </c>
      <c r="P52" s="206">
        <f t="shared" si="24"/>
        <v>0</v>
      </c>
      <c r="Q52" s="206">
        <f t="shared" si="25"/>
        <v>-0.87</v>
      </c>
      <c r="R52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Yes</v>
      </c>
      <c r="S52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97550</v>
      </c>
      <c r="T52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100000</v>
      </c>
      <c r="U52" s="208">
        <f ca="1">IF(Tabla336106734819[[#This Row],[Equity]]&lt;Tabla336106734819[[#This Row],[Equity Peak]],(Tabla336106734819[[#This Row],[Equity Peak]]-Tabla336106734819[[#This Row],[Equity]])/Tabla336106734819[[#This Row],[Equity Peak]],"")</f>
        <v>2.4500000000000001E-2</v>
      </c>
      <c r="V52" s="209">
        <f t="shared" si="26"/>
        <v>-0.87</v>
      </c>
      <c r="W52" s="209">
        <f t="shared" si="27"/>
        <v>0</v>
      </c>
      <c r="X52" s="209">
        <f t="shared" si="28"/>
        <v>0</v>
      </c>
      <c r="Y52" s="209">
        <f t="shared" si="29"/>
        <v>0</v>
      </c>
      <c r="Z52" s="209">
        <f t="shared" si="30"/>
        <v>0</v>
      </c>
      <c r="AA52" s="205">
        <f t="shared" si="31"/>
        <v>0</v>
      </c>
      <c r="AB52" s="209">
        <f t="shared" si="32"/>
        <v>0</v>
      </c>
      <c r="AC52" s="205">
        <f t="shared" si="33"/>
        <v>0</v>
      </c>
      <c r="AD52" s="210">
        <f t="shared" si="34"/>
        <v>0.94166666666569654</v>
      </c>
      <c r="AE52" s="210">
        <f t="shared" si="35"/>
        <v>0</v>
      </c>
      <c r="AF52" s="210">
        <f t="shared" si="36"/>
        <v>0.94166666666569654</v>
      </c>
      <c r="AG52" s="210">
        <f t="shared" si="37"/>
        <v>0</v>
      </c>
    </row>
    <row r="53" spans="2:33" ht="15" customHeight="1" x14ac:dyDescent="0.3">
      <c r="B53" s="196" t="s">
        <v>7</v>
      </c>
      <c r="C53" s="197" t="s">
        <v>13</v>
      </c>
      <c r="D53" s="198" t="str">
        <f t="shared" si="19"/>
        <v>C</v>
      </c>
      <c r="E53" s="199">
        <v>43490.666666666664</v>
      </c>
      <c r="F53" s="200" t="s">
        <v>120</v>
      </c>
      <c r="G53" s="201">
        <v>1.59138</v>
      </c>
      <c r="H53" s="201">
        <v>1.5992999999999999</v>
      </c>
      <c r="I53" s="202">
        <f t="shared" si="20"/>
        <v>7.9199999999999271E-3</v>
      </c>
      <c r="J53" s="201">
        <v>1.50695</v>
      </c>
      <c r="K53" s="199">
        <v>43493.720138888886</v>
      </c>
      <c r="L53" s="201">
        <v>1.59379</v>
      </c>
      <c r="M53" s="203">
        <f t="shared" si="21"/>
        <v>-2.3999999999999998E-3</v>
      </c>
      <c r="N53" s="204">
        <f t="shared" si="22"/>
        <v>-0.3</v>
      </c>
      <c r="O53" s="205">
        <f t="shared" si="23"/>
        <v>0</v>
      </c>
      <c r="P53" s="206">
        <f t="shared" si="24"/>
        <v>0</v>
      </c>
      <c r="Q53" s="206">
        <f t="shared" si="25"/>
        <v>-0.3</v>
      </c>
      <c r="R53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Yes</v>
      </c>
      <c r="S53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98420</v>
      </c>
      <c r="T53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100000</v>
      </c>
      <c r="U53" s="208">
        <f ca="1">IF(Tabla336106734819[[#This Row],[Equity]]&lt;Tabla336106734819[[#This Row],[Equity Peak]],(Tabla336106734819[[#This Row],[Equity Peak]]-Tabla336106734819[[#This Row],[Equity]])/Tabla336106734819[[#This Row],[Equity Peak]],"")</f>
        <v>1.5800000000000002E-2</v>
      </c>
      <c r="V53" s="209">
        <f t="shared" si="26"/>
        <v>-0.3</v>
      </c>
      <c r="W53" s="209">
        <f t="shared" si="27"/>
        <v>0</v>
      </c>
      <c r="X53" s="209">
        <f t="shared" si="28"/>
        <v>0</v>
      </c>
      <c r="Y53" s="209">
        <f t="shared" si="29"/>
        <v>0</v>
      </c>
      <c r="Z53" s="209">
        <f t="shared" si="30"/>
        <v>0</v>
      </c>
      <c r="AA53" s="205">
        <f t="shared" si="31"/>
        <v>0</v>
      </c>
      <c r="AB53" s="209">
        <f t="shared" si="32"/>
        <v>0</v>
      </c>
      <c r="AC53" s="205">
        <f t="shared" si="33"/>
        <v>0</v>
      </c>
      <c r="AD53" s="210">
        <f t="shared" si="34"/>
        <v>3.0534722222218988</v>
      </c>
      <c r="AE53" s="210">
        <f t="shared" si="35"/>
        <v>0</v>
      </c>
      <c r="AF53" s="210">
        <f t="shared" si="36"/>
        <v>3.0534722222218988</v>
      </c>
      <c r="AG53" s="210">
        <f t="shared" si="37"/>
        <v>0</v>
      </c>
    </row>
    <row r="54" spans="2:33" ht="15" customHeight="1" x14ac:dyDescent="0.3">
      <c r="B54" s="196" t="s">
        <v>7</v>
      </c>
      <c r="C54" s="197" t="s">
        <v>15</v>
      </c>
      <c r="D54" s="198" t="str">
        <f t="shared" si="19"/>
        <v>C</v>
      </c>
      <c r="E54" s="199">
        <v>43489.333333333336</v>
      </c>
      <c r="F54" s="200" t="s">
        <v>120</v>
      </c>
      <c r="G54" s="201">
        <v>1.60229</v>
      </c>
      <c r="H54" s="201">
        <v>1.5953599999999999</v>
      </c>
      <c r="I54" s="202">
        <f t="shared" si="20"/>
        <v>6.9300000000001027E-3</v>
      </c>
      <c r="J54" s="201">
        <v>1.6761900000000001</v>
      </c>
      <c r="K54" s="199">
        <v>43489.605555555558</v>
      </c>
      <c r="L54" s="201">
        <v>1.5953599999999999</v>
      </c>
      <c r="M54" s="203">
        <f t="shared" si="21"/>
        <v>-6.8999999999999999E-3</v>
      </c>
      <c r="N54" s="204">
        <f t="shared" si="22"/>
        <v>-1</v>
      </c>
      <c r="O54" s="205">
        <f t="shared" si="23"/>
        <v>0</v>
      </c>
      <c r="P54" s="206">
        <f t="shared" si="24"/>
        <v>0</v>
      </c>
      <c r="Q54" s="206">
        <f t="shared" si="25"/>
        <v>-1</v>
      </c>
      <c r="R54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Yes</v>
      </c>
      <c r="S54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98720</v>
      </c>
      <c r="T54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100000</v>
      </c>
      <c r="U54" s="208">
        <f ca="1">IF(Tabla336106734819[[#This Row],[Equity]]&lt;Tabla336106734819[[#This Row],[Equity Peak]],(Tabla336106734819[[#This Row],[Equity Peak]]-Tabla336106734819[[#This Row],[Equity]])/Tabla336106734819[[#This Row],[Equity Peak]],"")</f>
        <v>1.2800000000000001E-2</v>
      </c>
      <c r="V54" s="209">
        <f t="shared" si="26"/>
        <v>-1</v>
      </c>
      <c r="W54" s="209">
        <f t="shared" si="27"/>
        <v>0</v>
      </c>
      <c r="X54" s="209">
        <f t="shared" si="28"/>
        <v>0</v>
      </c>
      <c r="Y54" s="209">
        <f t="shared" si="29"/>
        <v>0</v>
      </c>
      <c r="Z54" s="209">
        <f t="shared" si="30"/>
        <v>0</v>
      </c>
      <c r="AA54" s="205">
        <f t="shared" si="31"/>
        <v>0</v>
      </c>
      <c r="AB54" s="209">
        <f t="shared" si="32"/>
        <v>0</v>
      </c>
      <c r="AC54" s="205">
        <f t="shared" si="33"/>
        <v>0</v>
      </c>
      <c r="AD54" s="210">
        <f t="shared" si="34"/>
        <v>0.27222222222189885</v>
      </c>
      <c r="AE54" s="210">
        <f t="shared" si="35"/>
        <v>0</v>
      </c>
      <c r="AF54" s="210">
        <f t="shared" si="36"/>
        <v>0.27222222222189885</v>
      </c>
      <c r="AG54" s="210">
        <f t="shared" si="37"/>
        <v>0</v>
      </c>
    </row>
    <row r="55" spans="2:33" ht="15" customHeight="1" x14ac:dyDescent="0.3">
      <c r="B55" s="196" t="s">
        <v>7</v>
      </c>
      <c r="C55" s="197" t="s">
        <v>13</v>
      </c>
      <c r="D55" s="198" t="str">
        <f t="shared" si="19"/>
        <v>C</v>
      </c>
      <c r="E55" s="199">
        <v>43472.017361111109</v>
      </c>
      <c r="F55" s="200" t="s">
        <v>120</v>
      </c>
      <c r="G55" s="201">
        <v>1.6009500000000001</v>
      </c>
      <c r="H55" s="201">
        <v>1.6152</v>
      </c>
      <c r="I55" s="202">
        <f t="shared" si="20"/>
        <v>1.4249999999999874E-2</v>
      </c>
      <c r="J55" s="201">
        <v>1.4489799999999999</v>
      </c>
      <c r="K55" s="199">
        <v>43474.745138888888</v>
      </c>
      <c r="L55" s="201">
        <v>1.605</v>
      </c>
      <c r="M55" s="203">
        <f t="shared" si="21"/>
        <v>-4.0000000000000001E-3</v>
      </c>
      <c r="N55" s="204">
        <f t="shared" si="22"/>
        <v>-0.28000000000000003</v>
      </c>
      <c r="O55" s="205">
        <f t="shared" si="23"/>
        <v>0</v>
      </c>
      <c r="P55" s="206">
        <f t="shared" si="24"/>
        <v>0</v>
      </c>
      <c r="Q55" s="206">
        <f t="shared" si="25"/>
        <v>-0.28000000000000003</v>
      </c>
      <c r="R55" s="206" t="str">
        <f ca="1">IF(AND(OFFSET(Tabla336106734819[[#This Row],[Equity]],1,0)="",Tabla336106734819[[#This Row],[No. of Rs]]&lt;0),"Yes",IF(AND(OFFSET(Tabla336106734819[[#This Row],[Initial Losing Trade]],1,0)="Yes",Tabla336106734819[[#This Row],[No. of Rs]]&lt;0),"Yes","No"))</f>
        <v>Yes</v>
      </c>
      <c r="S55" s="207">
        <f ca="1">IF(OFFSET(Tabla336106734819[[#This Row],[Equity]],1,0)="",IF(Tabla336106734819[[#This Row],[No. of Rs]]="",$F$11,$F$11+($F$11*Tabla336106734819[[#This Row],[No. of Rs]]/100)),IF(Tabla336106734819[[#This Row],[No. of Rs]]="",OFFSET(Tabla336106734819[[#This Row],[Equity]],1,0),OFFSET(Tabla336106734819[[#This Row],[Equity]],1,0)+($F$11*Tabla336106734819[[#This Row],[No. of Rs]]/100)))</f>
        <v>99720</v>
      </c>
      <c r="T55" s="207">
        <f ca="1">IF(OFFSET(Tabla336106734819[[#This Row],[Equity Peak]],1,0)="",IF(Tabla336106734819[[#This Row],[Initial Losing Trade]]="Yes",$F$11,Tabla336106734819[[#This Row],[Equity]]),IF(OFFSET(Tabla336106734819[[#This Row],[Equity Peak]],1,0)&gt;Tabla336106734819[[#This Row],[Equity]],OFFSET(Tabla336106734819[[#This Row],[Equity Peak]],1,0),Tabla336106734819[[#This Row],[Equity]]))</f>
        <v>100000</v>
      </c>
      <c r="U55" s="208">
        <f ca="1">IF(Tabla336106734819[[#This Row],[Equity]]&lt;Tabla336106734819[[#This Row],[Equity Peak]],(Tabla336106734819[[#This Row],[Equity Peak]]-Tabla336106734819[[#This Row],[Equity]])/Tabla336106734819[[#This Row],[Equity Peak]],"")</f>
        <v>2.8E-3</v>
      </c>
      <c r="V55" s="209">
        <f t="shared" si="26"/>
        <v>-0.28000000000000003</v>
      </c>
      <c r="W55" s="209">
        <f t="shared" si="27"/>
        <v>0</v>
      </c>
      <c r="X55" s="209">
        <f t="shared" si="28"/>
        <v>0</v>
      </c>
      <c r="Y55" s="209">
        <f t="shared" si="29"/>
        <v>0</v>
      </c>
      <c r="Z55" s="209">
        <f t="shared" si="30"/>
        <v>0</v>
      </c>
      <c r="AA55" s="205">
        <f t="shared" si="31"/>
        <v>0</v>
      </c>
      <c r="AB55" s="209">
        <f t="shared" si="32"/>
        <v>0</v>
      </c>
      <c r="AC55" s="205">
        <f t="shared" si="33"/>
        <v>0</v>
      </c>
      <c r="AD55" s="210">
        <f t="shared" si="34"/>
        <v>2.7277777777781012</v>
      </c>
      <c r="AE55" s="210">
        <f t="shared" si="35"/>
        <v>0</v>
      </c>
      <c r="AF55" s="210">
        <f t="shared" si="36"/>
        <v>2.7277777777781012</v>
      </c>
      <c r="AG55" s="210">
        <f t="shared" si="37"/>
        <v>0</v>
      </c>
    </row>
  </sheetData>
  <sheetProtection algorithmName="SHA-512" hashValue="/CnIxiSvgWOt0kLPh2BQ5BV/ZEWbFTC80J24fLtVlSTYGcmiU9iA11qEqcoMRgyCDudI8epR/O+NayDZJOx21w==" saltValue="5SqGHKmJwkqwbQd6XJkPqA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797" priority="3" operator="equal">
      <formula>"OK"</formula>
    </cfRule>
    <cfRule type="cellIs" dxfId="796" priority="4" operator="equal">
      <formula>"warning"</formula>
    </cfRule>
  </conditionalFormatting>
  <conditionalFormatting sqref="F13">
    <cfRule type="cellIs" dxfId="795" priority="1" operator="equal">
      <formula>"OK"</formula>
    </cfRule>
    <cfRule type="cellIs" dxfId="794" priority="2" operator="equal">
      <formula>"Error!!"</formula>
    </cfRule>
  </conditionalFormatting>
  <conditionalFormatting sqref="E15:H15 K15:L15">
    <cfRule type="expression" dxfId="793" priority="5">
      <formula>+$D15=#REF!</formula>
    </cfRule>
    <cfRule type="expression" dxfId="792" priority="6">
      <formula>+$D15=#REF!</formula>
    </cfRule>
  </conditionalFormatting>
  <conditionalFormatting sqref="D15 K16:L16 D16:H55 J17:L55">
    <cfRule type="expression" dxfId="791" priority="7">
      <formula>+$D15=$AG$8</formula>
    </cfRule>
    <cfRule type="expression" dxfId="790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5:B16" xr:uid="{CACED4D6-3A4D-4FD6-8764-1FA24516C595}">
      <formula1>$AE$4:$AE$6</formula1>
    </dataValidation>
    <dataValidation type="list" allowBlank="1" showInputMessage="1" showErrorMessage="1" promptTitle="Trade Direction" prompt="Select from List" sqref="C15:C16" xr:uid="{67EC2409-49F2-4DCC-BAAD-68831F517FD9}">
      <formula1>$AG$4:$AG$5</formula1>
    </dataValidation>
    <dataValidation type="list" allowBlank="1" showInputMessage="1" showErrorMessage="1" promptTitle="Instrument Type" prompt="Select Type from List_x000a_" sqref="B17:B55" xr:uid="{1BC89FD7-AD55-4CBD-8578-A3E5B531A0FC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0B3AD-E300-442C-B436-3D7BD23C75F3}">
  <sheetPr codeName="Hoja21">
    <pageSetUpPr fitToPage="1"/>
  </sheetPr>
  <dimension ref="A1:AX22"/>
  <sheetViews>
    <sheetView showGridLines="0" showZeros="0" tabSelected="1" zoomScale="115" zoomScaleNormal="115" zoomScalePageLayoutView="99" workbookViewId="0">
      <pane ySplit="16" topLeftCell="A17" activePane="bottomLeft" state="frozen"/>
      <selection activeCell="E2" sqref="E2:N5"/>
      <selection pane="bottomLeft" activeCell="E2" sqref="E2:N5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123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COUNTA(Tabla336106734815[Inst])</f>
        <v>6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8.8100000000000023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8.8100000000000023</v>
      </c>
      <c r="W6" s="18"/>
      <c r="X6" s="17">
        <f>+X13</f>
        <v>0</v>
      </c>
      <c r="Y6" s="19"/>
      <c r="Z6" s="17">
        <f>+Z13</f>
        <v>0</v>
      </c>
      <c r="AA6" s="19"/>
      <c r="AB6" s="17">
        <f>+AB13</f>
        <v>0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COUNTIF(Tabla336106734815[No. of Rs],"&gt;0")</f>
        <v>4</v>
      </c>
      <c r="G7" s="24">
        <f>IFERROR((F7/$F$6),"")</f>
        <v>0.66666666666666663</v>
      </c>
      <c r="H7" s="78">
        <f>IFERROR((+P13/F7),"")</f>
        <v>2.6525000000000003</v>
      </c>
      <c r="I7" s="227">
        <f>H7/H9</f>
        <v>2.9472222222222224</v>
      </c>
      <c r="J7" s="227">
        <f>AVERAGE(Tabla336106734815[No. of Rs])</f>
        <v>1.4683333333333337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1</v>
      </c>
      <c r="W7" s="27"/>
      <c r="X7" s="26">
        <f>IFERROR((X6/N6),"")</f>
        <v>0</v>
      </c>
      <c r="Y7" s="28"/>
      <c r="Z7" s="26">
        <f>IFERROR((Z6/N6),"")</f>
        <v>0</v>
      </c>
      <c r="AA7" s="28"/>
      <c r="AB7" s="26">
        <f>IFERROR((AB6/N6),"")</f>
        <v>0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COUNTIF(Tabla336106734815[No. of Rs],"=0")</f>
        <v>0</v>
      </c>
      <c r="G8" s="24">
        <f>IFERROR((F8/$F$6),"")</f>
        <v>0</v>
      </c>
      <c r="H8" s="78"/>
      <c r="I8" s="228"/>
      <c r="J8" s="228"/>
      <c r="K8" s="163"/>
      <c r="L8" s="212" t="s">
        <v>112</v>
      </c>
      <c r="M8" s="213"/>
      <c r="N8" s="195">
        <f ca="1">OFFSET(Tabla336106734815[[#Headers],[Equity]],1,0)</f>
        <v>108810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COUNTIF(Tabla336106734815[No. of Rs],"&lt;0")</f>
        <v>2</v>
      </c>
      <c r="G9" s="32">
        <f>IFERROR((F9/$F$6),"")</f>
        <v>0.33333333333333331</v>
      </c>
      <c r="H9" s="79">
        <f>IFERROR((-Q13/F9),"")</f>
        <v>0.9</v>
      </c>
      <c r="I9" s="229"/>
      <c r="J9" s="229"/>
      <c r="K9" s="149"/>
      <c r="L9" s="230" t="s">
        <v>106</v>
      </c>
      <c r="M9" s="231"/>
      <c r="N9" s="125">
        <f ca="1">MAX(Tabla336106734815[Drawdown])</f>
        <v>9.9155703907323773E-3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 t="str">
        <f ca="1">OFFSET(Tabla336106734815[[#Headers],[Drawdown]],1,0)</f>
        <v/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COUNTIF(Tabla336106734815[Heat],"&lt;0")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IF(COUNTIFS(Tabla336106734815[O/C],"O")&lt;1,"None",COUNTIFS(Tabla336106734815[O/C],"O"))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SUM(Tabla336106734815[No. of Rs])</f>
        <v>8.8100000000000023</v>
      </c>
      <c r="O13" s="42">
        <f>SUM(Tabla336106734815[Heat])</f>
        <v>0</v>
      </c>
      <c r="P13" s="43">
        <f>SUM(Tabla336106734815[[ TR WIN]])</f>
        <v>10.610000000000001</v>
      </c>
      <c r="Q13" s="43">
        <f>SUM(Tabla336106734815[[ TR LOSS]])</f>
        <v>-1.8</v>
      </c>
      <c r="R13" s="114"/>
      <c r="S13" s="115"/>
      <c r="T13" s="115"/>
      <c r="U13" s="121"/>
      <c r="V13" s="44">
        <f>SUM(Tabla336106734815[Currency])</f>
        <v>8.8100000000000023</v>
      </c>
      <c r="W13" s="44">
        <f>SUM(Tabla336106734815[Heat3])</f>
        <v>0</v>
      </c>
      <c r="X13" s="44">
        <f>SUM(Tabla336106734815[Commodities])</f>
        <v>0</v>
      </c>
      <c r="Y13" s="44">
        <f>SUM(Tabla336106734815[Heat4])</f>
        <v>0</v>
      </c>
      <c r="Z13" s="44">
        <f>SUM(Tabla336106734815[Index])</f>
        <v>0</v>
      </c>
      <c r="AA13" s="44">
        <f>SUM(Tabla336106734815[Heat5])</f>
        <v>0</v>
      </c>
      <c r="AB13" s="44">
        <f>SUM(Tabla336106734815[Cryptocurrency])</f>
        <v>0</v>
      </c>
      <c r="AC13" s="44">
        <f>SUM(Tabla336106734815[Heat6])</f>
        <v>0</v>
      </c>
      <c r="AD13" s="75">
        <f>AVERAGEIF(Tabla336106734815[Length of 
Trade],"&lt;&gt;0")</f>
        <v>2.8773148148162968</v>
      </c>
      <c r="AE13" s="75">
        <f>AVERAGEIF(Tabla336106734815[Win],"&lt;&gt;0")</f>
        <v>2.6579861111131322</v>
      </c>
      <c r="AF13" s="75">
        <f>AVERAGEIF(Tabla336106734815[Loss],"&lt;&gt;0")</f>
        <v>3.3159722222226264</v>
      </c>
      <c r="AG13" s="76" t="e">
        <f>AVERAGEIF(Tabla336106734815[Breakeven],"&lt;&gt;0")</f>
        <v>#DIV/0!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2:33" ht="15" customHeight="1" x14ac:dyDescent="0.3">
      <c r="B17" s="196" t="s">
        <v>7</v>
      </c>
      <c r="C17" s="197" t="s">
        <v>13</v>
      </c>
      <c r="D17" s="198" t="str">
        <f t="shared" ref="D17:D22" si="0">IF(E17&lt;&gt;"",IF(K17&lt;&gt;"","C","O"),"")</f>
        <v>C</v>
      </c>
      <c r="E17" s="199">
        <v>43749.666666666664</v>
      </c>
      <c r="F17" s="200" t="s">
        <v>119</v>
      </c>
      <c r="G17" s="201">
        <v>0.87504000000000004</v>
      </c>
      <c r="H17" s="201">
        <v>0.88139000000000001</v>
      </c>
      <c r="I17" s="202">
        <f t="shared" ref="I17:I22" si="1">ABS(G17-H17)</f>
        <v>6.3499999999999668E-3</v>
      </c>
      <c r="J17" s="201">
        <v>0.85811000000000004</v>
      </c>
      <c r="K17" s="199">
        <v>43755.537499999999</v>
      </c>
      <c r="L17" s="201">
        <v>0.85811000000000004</v>
      </c>
      <c r="M17" s="203">
        <f t="shared" ref="M17:M22" si="2">ROUND(IF(C17="L",(L17-G17),(G17-L17)),4)</f>
        <v>1.6899999999999998E-2</v>
      </c>
      <c r="N17" s="204">
        <f t="shared" ref="N17:N22" si="3">IFERROR(ROUND((M17/I17),2),"")</f>
        <v>2.66</v>
      </c>
      <c r="O17" s="205">
        <f t="shared" ref="O17:O22" si="4">IF(D17="O",IF(N17&lt;0,N17,0),0)</f>
        <v>0</v>
      </c>
      <c r="P17" s="206">
        <f t="shared" ref="P17:P22" si="5">IF(N17&gt;= 0,N17,0)</f>
        <v>2.66</v>
      </c>
      <c r="Q17" s="206">
        <f t="shared" ref="Q17:Q22" si="6">IF(N17&lt;0,N17,0)</f>
        <v>0</v>
      </c>
      <c r="R17" s="206" t="str">
        <f ca="1">IF(AND(OFFSET(Tabla336106734815[[#This Row],[Equity]],1,0)="",Tabla336106734815[[#This Row],[No. of Rs]]&lt;0),"Yes",IF(AND(OFFSET(Tabla336106734815[[#This Row],[Initial Losing Trade]],1,0)="Yes",Tabla336106734815[[#This Row],[No. of Rs]]&lt;0),"Yes","No"))</f>
        <v>No</v>
      </c>
      <c r="S17" s="207">
        <f ca="1">IF(OFFSET(Tabla336106734815[[#This Row],[Equity]],1,0)="",IF(Tabla336106734815[[#This Row],[No. of Rs]]="",$F$11,$F$11+($F$11*Tabla336106734815[[#This Row],[No. of Rs]]/100)),IF(Tabla336106734815[[#This Row],[No. of Rs]]="",OFFSET(Tabla336106734815[[#This Row],[Equity]],1,0),OFFSET(Tabla336106734815[[#This Row],[Equity]],1,0)+($F$11*Tabla336106734815[[#This Row],[No. of Rs]]/100)))</f>
        <v>108810</v>
      </c>
      <c r="T17" s="207">
        <f ca="1">IF(OFFSET(Tabla336106734815[[#This Row],[Equity Peak]],1,0)="",IF(Tabla336106734815[[#This Row],[Initial Losing Trade]]="Yes",$F$11,Tabla336106734815[[#This Row],[Equity]]),IF(OFFSET(Tabla336106734815[[#This Row],[Equity Peak]],1,0)&gt;Tabla336106734815[[#This Row],[Equity]],OFFSET(Tabla336106734815[[#This Row],[Equity Peak]],1,0),Tabla336106734815[[#This Row],[Equity]]))</f>
        <v>108810</v>
      </c>
      <c r="U17" s="208" t="str">
        <f ca="1">IF(Tabla336106734815[[#This Row],[Equity]]&lt;Tabla336106734815[[#This Row],[Equity Peak]],(Tabla336106734815[[#This Row],[Equity Peak]]-Tabla336106734815[[#This Row],[Equity]])/Tabla336106734815[[#This Row],[Equity Peak]],"")</f>
        <v/>
      </c>
      <c r="V17" s="209">
        <f t="shared" ref="V17:V22" si="7">IF(B17="FX",N17,0)</f>
        <v>2.66</v>
      </c>
      <c r="W17" s="209">
        <f t="shared" ref="W17:W22" si="8">IF(D17="O",IF(V17&lt;0,V17,0),0)</f>
        <v>0</v>
      </c>
      <c r="X17" s="209">
        <f t="shared" ref="X17:X22" si="9">IF(B17="COM",N17,0)</f>
        <v>0</v>
      </c>
      <c r="Y17" s="209">
        <f t="shared" ref="Y17:Y22" si="10">IF(D17="O",IF(X17&lt;0,X17,0),0)</f>
        <v>0</v>
      </c>
      <c r="Z17" s="209">
        <f t="shared" ref="Z17:Z22" si="11">IF(B17="IND",N17,0)</f>
        <v>0</v>
      </c>
      <c r="AA17" s="205">
        <f t="shared" ref="AA17:AA22" si="12">IF(D17="O",IF(Z17&lt;0,Z17,0),0)</f>
        <v>0</v>
      </c>
      <c r="AB17" s="209">
        <f t="shared" ref="AB17:AB22" si="13">IF(B17="CRYPTO",N17,0)</f>
        <v>0</v>
      </c>
      <c r="AC17" s="205">
        <f t="shared" ref="AC17:AC22" si="14">IF(D17="O",IF(AB17&lt;0,AB17,0),0)</f>
        <v>0</v>
      </c>
      <c r="AD17" s="210">
        <f t="shared" ref="AD17:AD22" si="15">IF(K17&lt;&gt;"",K17-E17,0)</f>
        <v>5.8708333333343035</v>
      </c>
      <c r="AE17" s="210">
        <f t="shared" ref="AE17:AE22" si="16">IF(N17&gt;0,AD17,0)</f>
        <v>5.8708333333343035</v>
      </c>
      <c r="AF17" s="210">
        <f t="shared" ref="AF17:AF22" si="17">IF(N17&lt;0,AD17,0)</f>
        <v>0</v>
      </c>
      <c r="AG17" s="210">
        <f t="shared" ref="AG17:AG22" si="18">IF(N17=0,AD17,0)</f>
        <v>0</v>
      </c>
    </row>
    <row r="18" spans="2:33" ht="15" customHeight="1" x14ac:dyDescent="0.3">
      <c r="B18" s="196" t="s">
        <v>7</v>
      </c>
      <c r="C18" s="197" t="s">
        <v>15</v>
      </c>
      <c r="D18" s="198" t="str">
        <f t="shared" si="0"/>
        <v>C</v>
      </c>
      <c r="E18" s="199">
        <v>43675.666666666664</v>
      </c>
      <c r="F18" s="200" t="s">
        <v>119</v>
      </c>
      <c r="G18" s="201">
        <v>0.90839000000000003</v>
      </c>
      <c r="H18" s="201">
        <v>0.90490000000000004</v>
      </c>
      <c r="I18" s="202">
        <f t="shared" si="1"/>
        <v>3.4899999999999931E-3</v>
      </c>
      <c r="J18" s="201">
        <v>0.91769000000000001</v>
      </c>
      <c r="K18" s="199">
        <v>43676.270138888889</v>
      </c>
      <c r="L18" s="201">
        <v>0.91769000000000001</v>
      </c>
      <c r="M18" s="203">
        <f t="shared" si="2"/>
        <v>9.2999999999999992E-3</v>
      </c>
      <c r="N18" s="204">
        <f t="shared" si="3"/>
        <v>2.66</v>
      </c>
      <c r="O18" s="205">
        <f t="shared" si="4"/>
        <v>0</v>
      </c>
      <c r="P18" s="206">
        <f t="shared" si="5"/>
        <v>2.66</v>
      </c>
      <c r="Q18" s="206">
        <f t="shared" si="6"/>
        <v>0</v>
      </c>
      <c r="R18" s="206" t="str">
        <f ca="1">IF(AND(OFFSET(Tabla336106734815[[#This Row],[Equity]],1,0)="",Tabla336106734815[[#This Row],[No. of Rs]]&lt;0),"Yes",IF(AND(OFFSET(Tabla336106734815[[#This Row],[Initial Losing Trade]],1,0)="Yes",Tabla336106734815[[#This Row],[No. of Rs]]&lt;0),"Yes","No"))</f>
        <v>No</v>
      </c>
      <c r="S18" s="207">
        <f ca="1">IF(OFFSET(Tabla336106734815[[#This Row],[Equity]],1,0)="",IF(Tabla336106734815[[#This Row],[No. of Rs]]="",$F$11,$F$11+($F$11*Tabla336106734815[[#This Row],[No. of Rs]]/100)),IF(Tabla336106734815[[#This Row],[No. of Rs]]="",OFFSET(Tabla336106734815[[#This Row],[Equity]],1,0),OFFSET(Tabla336106734815[[#This Row],[Equity]],1,0)+($F$11*Tabla336106734815[[#This Row],[No. of Rs]]/100)))</f>
        <v>106150</v>
      </c>
      <c r="T18" s="207">
        <f ca="1">IF(OFFSET(Tabla336106734815[[#This Row],[Equity Peak]],1,0)="",IF(Tabla336106734815[[#This Row],[Initial Losing Trade]]="Yes",$F$11,Tabla336106734815[[#This Row],[Equity]]),IF(OFFSET(Tabla336106734815[[#This Row],[Equity Peak]],1,0)&gt;Tabla336106734815[[#This Row],[Equity]],OFFSET(Tabla336106734815[[#This Row],[Equity Peak]],1,0),Tabla336106734815[[#This Row],[Equity]]))</f>
        <v>106150</v>
      </c>
      <c r="U18" s="208" t="str">
        <f ca="1">IF(Tabla336106734815[[#This Row],[Equity]]&lt;Tabla336106734815[[#This Row],[Equity Peak]],(Tabla336106734815[[#This Row],[Equity Peak]]-Tabla336106734815[[#This Row],[Equity]])/Tabla336106734815[[#This Row],[Equity Peak]],"")</f>
        <v/>
      </c>
      <c r="V18" s="209">
        <f t="shared" si="7"/>
        <v>2.66</v>
      </c>
      <c r="W18" s="209">
        <f t="shared" si="8"/>
        <v>0</v>
      </c>
      <c r="X18" s="209">
        <f t="shared" si="9"/>
        <v>0</v>
      </c>
      <c r="Y18" s="209">
        <f t="shared" si="10"/>
        <v>0</v>
      </c>
      <c r="Z18" s="209">
        <f t="shared" si="11"/>
        <v>0</v>
      </c>
      <c r="AA18" s="205">
        <f t="shared" si="12"/>
        <v>0</v>
      </c>
      <c r="AB18" s="209">
        <f t="shared" si="13"/>
        <v>0</v>
      </c>
      <c r="AC18" s="205">
        <f t="shared" si="14"/>
        <v>0</v>
      </c>
      <c r="AD18" s="210">
        <f t="shared" si="15"/>
        <v>0.60347222222480923</v>
      </c>
      <c r="AE18" s="210">
        <f t="shared" si="16"/>
        <v>0.60347222222480923</v>
      </c>
      <c r="AF18" s="210">
        <f t="shared" si="17"/>
        <v>0</v>
      </c>
      <c r="AG18" s="210">
        <f t="shared" si="18"/>
        <v>0</v>
      </c>
    </row>
    <row r="19" spans="2:33" ht="15" customHeight="1" x14ac:dyDescent="0.3">
      <c r="B19" s="196" t="s">
        <v>7</v>
      </c>
      <c r="C19" s="197" t="s">
        <v>13</v>
      </c>
      <c r="D19" s="198" t="str">
        <f t="shared" si="0"/>
        <v>C</v>
      </c>
      <c r="E19" s="199">
        <v>43586.166666666664</v>
      </c>
      <c r="F19" s="200" t="s">
        <v>119</v>
      </c>
      <c r="G19" s="201">
        <v>0.86007</v>
      </c>
      <c r="H19" s="201">
        <v>0.86199999999999999</v>
      </c>
      <c r="I19" s="202">
        <f t="shared" si="1"/>
        <v>1.9299999999999873E-3</v>
      </c>
      <c r="J19" s="201">
        <v>0.85492000000000001</v>
      </c>
      <c r="K19" s="199">
        <v>43588.72152777778</v>
      </c>
      <c r="L19" s="201">
        <v>0.85492000000000001</v>
      </c>
      <c r="M19" s="203">
        <f t="shared" si="2"/>
        <v>5.1000000000000004E-3</v>
      </c>
      <c r="N19" s="204">
        <f t="shared" si="3"/>
        <v>2.64</v>
      </c>
      <c r="O19" s="205">
        <f t="shared" si="4"/>
        <v>0</v>
      </c>
      <c r="P19" s="206">
        <f t="shared" si="5"/>
        <v>2.64</v>
      </c>
      <c r="Q19" s="206">
        <f t="shared" si="6"/>
        <v>0</v>
      </c>
      <c r="R19" s="206" t="str">
        <f ca="1">IF(AND(OFFSET(Tabla336106734815[[#This Row],[Equity]],1,0)="",Tabla336106734815[[#This Row],[No. of Rs]]&lt;0),"Yes",IF(AND(OFFSET(Tabla336106734815[[#This Row],[Initial Losing Trade]],1,0)="Yes",Tabla336106734815[[#This Row],[No. of Rs]]&lt;0),"Yes","No"))</f>
        <v>No</v>
      </c>
      <c r="S19" s="207">
        <f ca="1">IF(OFFSET(Tabla336106734815[[#This Row],[Equity]],1,0)="",IF(Tabla336106734815[[#This Row],[No. of Rs]]="",$F$11,$F$11+($F$11*Tabla336106734815[[#This Row],[No. of Rs]]/100)),IF(Tabla336106734815[[#This Row],[No. of Rs]]="",OFFSET(Tabla336106734815[[#This Row],[Equity]],1,0),OFFSET(Tabla336106734815[[#This Row],[Equity]],1,0)+($F$11*Tabla336106734815[[#This Row],[No. of Rs]]/100)))</f>
        <v>103490</v>
      </c>
      <c r="T19" s="207">
        <f ca="1">IF(OFFSET(Tabla336106734815[[#This Row],[Equity Peak]],1,0)="",IF(Tabla336106734815[[#This Row],[Initial Losing Trade]]="Yes",$F$11,Tabla336106734815[[#This Row],[Equity]]),IF(OFFSET(Tabla336106734815[[#This Row],[Equity Peak]],1,0)&gt;Tabla336106734815[[#This Row],[Equity]],OFFSET(Tabla336106734815[[#This Row],[Equity Peak]],1,0),Tabla336106734815[[#This Row],[Equity]]))</f>
        <v>103490</v>
      </c>
      <c r="U19" s="208" t="str">
        <f ca="1">IF(Tabla336106734815[[#This Row],[Equity]]&lt;Tabla336106734815[[#This Row],[Equity Peak]],(Tabla336106734815[[#This Row],[Equity Peak]]-Tabla336106734815[[#This Row],[Equity]])/Tabla336106734815[[#This Row],[Equity Peak]],"")</f>
        <v/>
      </c>
      <c r="V19" s="209">
        <f t="shared" si="7"/>
        <v>2.64</v>
      </c>
      <c r="W19" s="209">
        <f t="shared" si="8"/>
        <v>0</v>
      </c>
      <c r="X19" s="209">
        <f t="shared" si="9"/>
        <v>0</v>
      </c>
      <c r="Y19" s="209">
        <f t="shared" si="10"/>
        <v>0</v>
      </c>
      <c r="Z19" s="209">
        <f t="shared" si="11"/>
        <v>0</v>
      </c>
      <c r="AA19" s="205">
        <f t="shared" si="12"/>
        <v>0</v>
      </c>
      <c r="AB19" s="209">
        <f t="shared" si="13"/>
        <v>0</v>
      </c>
      <c r="AC19" s="205">
        <f t="shared" si="14"/>
        <v>0</v>
      </c>
      <c r="AD19" s="210">
        <f t="shared" si="15"/>
        <v>2.554861111115315</v>
      </c>
      <c r="AE19" s="210">
        <f t="shared" si="16"/>
        <v>2.554861111115315</v>
      </c>
      <c r="AF19" s="210">
        <f t="shared" si="17"/>
        <v>0</v>
      </c>
      <c r="AG19" s="210">
        <f t="shared" si="18"/>
        <v>0</v>
      </c>
    </row>
    <row r="20" spans="2:33" ht="15" customHeight="1" x14ac:dyDescent="0.3">
      <c r="B20" s="196" t="s">
        <v>7</v>
      </c>
      <c r="C20" s="197" t="s">
        <v>13</v>
      </c>
      <c r="D20" s="198" t="str">
        <f t="shared" si="0"/>
        <v>C</v>
      </c>
      <c r="E20" s="199">
        <v>43549.333333333336</v>
      </c>
      <c r="F20" s="200" t="s">
        <v>119</v>
      </c>
      <c r="G20" s="201">
        <v>0.85650000000000004</v>
      </c>
      <c r="H20" s="201">
        <v>0.86155000000000004</v>
      </c>
      <c r="I20" s="202">
        <f t="shared" si="1"/>
        <v>5.0499999999999989E-3</v>
      </c>
      <c r="J20" s="201">
        <v>0.84302999999999995</v>
      </c>
      <c r="K20" s="199">
        <v>43553.413888888892</v>
      </c>
      <c r="L20" s="201">
        <v>0.86155000000000004</v>
      </c>
      <c r="M20" s="203">
        <f t="shared" si="2"/>
        <v>-5.1000000000000004E-3</v>
      </c>
      <c r="N20" s="204">
        <f t="shared" si="3"/>
        <v>-1.01</v>
      </c>
      <c r="O20" s="205">
        <f t="shared" si="4"/>
        <v>0</v>
      </c>
      <c r="P20" s="206">
        <f t="shared" si="5"/>
        <v>0</v>
      </c>
      <c r="Q20" s="206">
        <f t="shared" si="6"/>
        <v>-1.01</v>
      </c>
      <c r="R20" s="206" t="str">
        <f ca="1">IF(AND(OFFSET(Tabla336106734815[[#This Row],[Equity]],1,0)="",Tabla336106734815[[#This Row],[No. of Rs]]&lt;0),"Yes",IF(AND(OFFSET(Tabla336106734815[[#This Row],[Initial Losing Trade]],1,0)="Yes",Tabla336106734815[[#This Row],[No. of Rs]]&lt;0),"Yes","No"))</f>
        <v>No</v>
      </c>
      <c r="S20" s="207">
        <f ca="1">IF(OFFSET(Tabla336106734815[[#This Row],[Equity]],1,0)="",IF(Tabla336106734815[[#This Row],[No. of Rs]]="",$F$11,$F$11+($F$11*Tabla336106734815[[#This Row],[No. of Rs]]/100)),IF(Tabla336106734815[[#This Row],[No. of Rs]]="",OFFSET(Tabla336106734815[[#This Row],[Equity]],1,0),OFFSET(Tabla336106734815[[#This Row],[Equity]],1,0)+($F$11*Tabla336106734815[[#This Row],[No. of Rs]]/100)))</f>
        <v>100850</v>
      </c>
      <c r="T20" s="207">
        <f ca="1">IF(OFFSET(Tabla336106734815[[#This Row],[Equity Peak]],1,0)="",IF(Tabla336106734815[[#This Row],[Initial Losing Trade]]="Yes",$F$11,Tabla336106734815[[#This Row],[Equity]]),IF(OFFSET(Tabla336106734815[[#This Row],[Equity Peak]],1,0)&gt;Tabla336106734815[[#This Row],[Equity]],OFFSET(Tabla336106734815[[#This Row],[Equity Peak]],1,0),Tabla336106734815[[#This Row],[Equity]]))</f>
        <v>101860</v>
      </c>
      <c r="U20" s="208">
        <f ca="1">IF(Tabla336106734815[[#This Row],[Equity]]&lt;Tabla336106734815[[#This Row],[Equity Peak]],(Tabla336106734815[[#This Row],[Equity Peak]]-Tabla336106734815[[#This Row],[Equity]])/Tabla336106734815[[#This Row],[Equity Peak]],"")</f>
        <v>9.9155703907323773E-3</v>
      </c>
      <c r="V20" s="209">
        <f t="shared" si="7"/>
        <v>-1.01</v>
      </c>
      <c r="W20" s="209">
        <f t="shared" si="8"/>
        <v>0</v>
      </c>
      <c r="X20" s="209">
        <f t="shared" si="9"/>
        <v>0</v>
      </c>
      <c r="Y20" s="209">
        <f t="shared" si="10"/>
        <v>0</v>
      </c>
      <c r="Z20" s="209">
        <f t="shared" si="11"/>
        <v>0</v>
      </c>
      <c r="AA20" s="205">
        <f t="shared" si="12"/>
        <v>0</v>
      </c>
      <c r="AB20" s="209">
        <f t="shared" si="13"/>
        <v>0</v>
      </c>
      <c r="AC20" s="205">
        <f t="shared" si="14"/>
        <v>0</v>
      </c>
      <c r="AD20" s="210">
        <f t="shared" si="15"/>
        <v>4.0805555555562023</v>
      </c>
      <c r="AE20" s="210">
        <f t="shared" si="16"/>
        <v>0</v>
      </c>
      <c r="AF20" s="210">
        <f t="shared" si="17"/>
        <v>4.0805555555562023</v>
      </c>
      <c r="AG20" s="210">
        <f t="shared" si="18"/>
        <v>0</v>
      </c>
    </row>
    <row r="21" spans="2:33" ht="15" customHeight="1" x14ac:dyDescent="0.3">
      <c r="B21" s="196" t="s">
        <v>7</v>
      </c>
      <c r="C21" s="197" t="s">
        <v>13</v>
      </c>
      <c r="D21" s="198" t="str">
        <f t="shared" si="0"/>
        <v>C</v>
      </c>
      <c r="E21" s="199">
        <v>43514.333333333336</v>
      </c>
      <c r="F21" s="200" t="s">
        <v>119</v>
      </c>
      <c r="G21" s="201">
        <v>0.87605</v>
      </c>
      <c r="H21" s="201">
        <v>0.87914000000000003</v>
      </c>
      <c r="I21" s="202">
        <f t="shared" si="1"/>
        <v>3.0900000000000372E-3</v>
      </c>
      <c r="J21" s="201">
        <v>0.86780999999999997</v>
      </c>
      <c r="K21" s="199">
        <v>43515.936111111114</v>
      </c>
      <c r="L21" s="201">
        <v>0.86780999999999997</v>
      </c>
      <c r="M21" s="203">
        <f t="shared" si="2"/>
        <v>8.2000000000000007E-3</v>
      </c>
      <c r="N21" s="204">
        <f t="shared" si="3"/>
        <v>2.65</v>
      </c>
      <c r="O21" s="205">
        <f t="shared" si="4"/>
        <v>0</v>
      </c>
      <c r="P21" s="206">
        <f t="shared" si="5"/>
        <v>2.65</v>
      </c>
      <c r="Q21" s="206">
        <f t="shared" si="6"/>
        <v>0</v>
      </c>
      <c r="R21" s="206" t="str">
        <f ca="1">IF(AND(OFFSET(Tabla336106734815[[#This Row],[Equity]],1,0)="",Tabla336106734815[[#This Row],[No. of Rs]]&lt;0),"Yes",IF(AND(OFFSET(Tabla336106734815[[#This Row],[Initial Losing Trade]],1,0)="Yes",Tabla336106734815[[#This Row],[No. of Rs]]&lt;0),"Yes","No"))</f>
        <v>No</v>
      </c>
      <c r="S21" s="207">
        <f ca="1">IF(OFFSET(Tabla336106734815[[#This Row],[Equity]],1,0)="",IF(Tabla336106734815[[#This Row],[No. of Rs]]="",$F$11,$F$11+($F$11*Tabla336106734815[[#This Row],[No. of Rs]]/100)),IF(Tabla336106734815[[#This Row],[No. of Rs]]="",OFFSET(Tabla336106734815[[#This Row],[Equity]],1,0),OFFSET(Tabla336106734815[[#This Row],[Equity]],1,0)+($F$11*Tabla336106734815[[#This Row],[No. of Rs]]/100)))</f>
        <v>101860</v>
      </c>
      <c r="T21" s="207">
        <f ca="1">IF(OFFSET(Tabla336106734815[[#This Row],[Equity Peak]],1,0)="",IF(Tabla336106734815[[#This Row],[Initial Losing Trade]]="Yes",$F$11,Tabla336106734815[[#This Row],[Equity]]),IF(OFFSET(Tabla336106734815[[#This Row],[Equity Peak]],1,0)&gt;Tabla336106734815[[#This Row],[Equity]],OFFSET(Tabla336106734815[[#This Row],[Equity Peak]],1,0),Tabla336106734815[[#This Row],[Equity]]))</f>
        <v>101860</v>
      </c>
      <c r="U21" s="208" t="str">
        <f ca="1">IF(Tabla336106734815[[#This Row],[Equity]]&lt;Tabla336106734815[[#This Row],[Equity Peak]],(Tabla336106734815[[#This Row],[Equity Peak]]-Tabla336106734815[[#This Row],[Equity]])/Tabla336106734815[[#This Row],[Equity Peak]],"")</f>
        <v/>
      </c>
      <c r="V21" s="209">
        <f t="shared" si="7"/>
        <v>2.65</v>
      </c>
      <c r="W21" s="209">
        <f t="shared" si="8"/>
        <v>0</v>
      </c>
      <c r="X21" s="209">
        <f t="shared" si="9"/>
        <v>0</v>
      </c>
      <c r="Y21" s="209">
        <f t="shared" si="10"/>
        <v>0</v>
      </c>
      <c r="Z21" s="209">
        <f t="shared" si="11"/>
        <v>0</v>
      </c>
      <c r="AA21" s="205">
        <f t="shared" si="12"/>
        <v>0</v>
      </c>
      <c r="AB21" s="209">
        <f t="shared" si="13"/>
        <v>0</v>
      </c>
      <c r="AC21" s="205">
        <f t="shared" si="14"/>
        <v>0</v>
      </c>
      <c r="AD21" s="210">
        <f t="shared" si="15"/>
        <v>1.6027777777781012</v>
      </c>
      <c r="AE21" s="210">
        <f t="shared" si="16"/>
        <v>1.6027777777781012</v>
      </c>
      <c r="AF21" s="210">
        <f t="shared" si="17"/>
        <v>0</v>
      </c>
      <c r="AG21" s="210">
        <f t="shared" si="18"/>
        <v>0</v>
      </c>
    </row>
    <row r="22" spans="2:33" ht="15" customHeight="1" x14ac:dyDescent="0.3">
      <c r="B22" s="196" t="s">
        <v>7</v>
      </c>
      <c r="C22" s="197" t="s">
        <v>15</v>
      </c>
      <c r="D22" s="198" t="str">
        <f t="shared" si="0"/>
        <v>C</v>
      </c>
      <c r="E22" s="199">
        <v>43474.166666666664</v>
      </c>
      <c r="F22" s="200" t="s">
        <v>119</v>
      </c>
      <c r="G22" s="201">
        <v>0.89949000000000001</v>
      </c>
      <c r="H22" s="201">
        <v>0.89659</v>
      </c>
      <c r="I22" s="202">
        <f t="shared" si="1"/>
        <v>2.9000000000000137E-3</v>
      </c>
      <c r="J22" s="201">
        <v>0.90720999999999996</v>
      </c>
      <c r="K22" s="199">
        <v>43476.718055555553</v>
      </c>
      <c r="L22" s="201">
        <v>0.89717000000000002</v>
      </c>
      <c r="M22" s="203">
        <f t="shared" si="2"/>
        <v>-2.3E-3</v>
      </c>
      <c r="N22" s="204">
        <f t="shared" si="3"/>
        <v>-0.79</v>
      </c>
      <c r="O22" s="205">
        <f t="shared" si="4"/>
        <v>0</v>
      </c>
      <c r="P22" s="206">
        <f t="shared" si="5"/>
        <v>0</v>
      </c>
      <c r="Q22" s="206">
        <f t="shared" si="6"/>
        <v>-0.79</v>
      </c>
      <c r="R22" s="206" t="str">
        <f ca="1">IF(AND(OFFSET(Tabla336106734815[[#This Row],[Equity]],1,0)="",Tabla336106734815[[#This Row],[No. of Rs]]&lt;0),"Yes",IF(AND(OFFSET(Tabla336106734815[[#This Row],[Initial Losing Trade]],1,0)="Yes",Tabla336106734815[[#This Row],[No. of Rs]]&lt;0),"Yes","No"))</f>
        <v>Yes</v>
      </c>
      <c r="S22" s="207">
        <f ca="1">IF(OFFSET(Tabla336106734815[[#This Row],[Equity]],1,0)="",IF(Tabla336106734815[[#This Row],[No. of Rs]]="",$F$11,$F$11+($F$11*Tabla336106734815[[#This Row],[No. of Rs]]/100)),IF(Tabla336106734815[[#This Row],[No. of Rs]]="",OFFSET(Tabla336106734815[[#This Row],[Equity]],1,0),OFFSET(Tabla336106734815[[#This Row],[Equity]],1,0)+($F$11*Tabla336106734815[[#This Row],[No. of Rs]]/100)))</f>
        <v>99210</v>
      </c>
      <c r="T22" s="207">
        <f ca="1">IF(OFFSET(Tabla336106734815[[#This Row],[Equity Peak]],1,0)="",IF(Tabla336106734815[[#This Row],[Initial Losing Trade]]="Yes",$F$11,Tabla336106734815[[#This Row],[Equity]]),IF(OFFSET(Tabla336106734815[[#This Row],[Equity Peak]],1,0)&gt;Tabla336106734815[[#This Row],[Equity]],OFFSET(Tabla336106734815[[#This Row],[Equity Peak]],1,0),Tabla336106734815[[#This Row],[Equity]]))</f>
        <v>100000</v>
      </c>
      <c r="U22" s="208">
        <f ca="1">IF(Tabla336106734815[[#This Row],[Equity]]&lt;Tabla336106734815[[#This Row],[Equity Peak]],(Tabla336106734815[[#This Row],[Equity Peak]]-Tabla336106734815[[#This Row],[Equity]])/Tabla336106734815[[#This Row],[Equity Peak]],"")</f>
        <v>7.9000000000000008E-3</v>
      </c>
      <c r="V22" s="209">
        <f t="shared" si="7"/>
        <v>-0.79</v>
      </c>
      <c r="W22" s="209">
        <f t="shared" si="8"/>
        <v>0</v>
      </c>
      <c r="X22" s="209">
        <f t="shared" si="9"/>
        <v>0</v>
      </c>
      <c r="Y22" s="209">
        <f t="shared" si="10"/>
        <v>0</v>
      </c>
      <c r="Z22" s="209">
        <f t="shared" si="11"/>
        <v>0</v>
      </c>
      <c r="AA22" s="205">
        <f t="shared" si="12"/>
        <v>0</v>
      </c>
      <c r="AB22" s="209">
        <f t="shared" si="13"/>
        <v>0</v>
      </c>
      <c r="AC22" s="205">
        <f t="shared" si="14"/>
        <v>0</v>
      </c>
      <c r="AD22" s="210">
        <f t="shared" si="15"/>
        <v>2.5513888888890506</v>
      </c>
      <c r="AE22" s="210">
        <f t="shared" si="16"/>
        <v>0</v>
      </c>
      <c r="AF22" s="210">
        <f t="shared" si="17"/>
        <v>2.5513888888890506</v>
      </c>
      <c r="AG22" s="210">
        <f t="shared" si="18"/>
        <v>0</v>
      </c>
    </row>
  </sheetData>
  <sheetProtection algorithmName="SHA-512" hashValue="dMQC8foNJMp7tD0Pz4oOnVCLvvvsil/qRV+2kAg+fabHCXBBP63TCeZ0wWQUxxJeEG6/2Wi3NVWOXZ0akyYvjw==" saltValue="yLnnq1MppnBK+e7UR+/zFQ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755" priority="3" operator="equal">
      <formula>"OK"</formula>
    </cfRule>
    <cfRule type="cellIs" dxfId="754" priority="4" operator="equal">
      <formula>"warning"</formula>
    </cfRule>
  </conditionalFormatting>
  <conditionalFormatting sqref="F13">
    <cfRule type="cellIs" dxfId="753" priority="1" operator="equal">
      <formula>"OK"</formula>
    </cfRule>
    <cfRule type="cellIs" dxfId="752" priority="2" operator="equal">
      <formula>"Error!!"</formula>
    </cfRule>
  </conditionalFormatting>
  <conditionalFormatting sqref="E15:H15 K15:L15">
    <cfRule type="expression" dxfId="751" priority="5">
      <formula>+$D15=#REF!</formula>
    </cfRule>
    <cfRule type="expression" dxfId="750" priority="6">
      <formula>+$D15=#REF!</formula>
    </cfRule>
  </conditionalFormatting>
  <conditionalFormatting sqref="D15 K16:L16 D16:H22 J17:L22">
    <cfRule type="expression" dxfId="749" priority="7">
      <formula>+$D15=$AG$8</formula>
    </cfRule>
    <cfRule type="expression" dxfId="748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5:B16" xr:uid="{AA57D058-F62F-4B47-83E2-42C0EE52DCD8}">
      <formula1>$AE$4:$AE$6</formula1>
    </dataValidation>
    <dataValidation type="list" allowBlank="1" showInputMessage="1" showErrorMessage="1" promptTitle="Trade Direction" prompt="Select from List" sqref="C15:C16" xr:uid="{0AD16FF2-E36F-46EE-9496-CB794E598F75}">
      <formula1>$AG$4:$AG$5</formula1>
    </dataValidation>
    <dataValidation type="list" allowBlank="1" showInputMessage="1" showErrorMessage="1" promptTitle="Instrument Type" prompt="Select Type from List_x000a_" sqref="B17:B22" xr:uid="{2B7E2824-5C88-4F1D-8D44-5D2BC41AB996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9B7A9-7552-4CBE-B4ED-D4D70AF3DA60}">
  <sheetPr codeName="Hoja22">
    <pageSetUpPr fitToPage="1"/>
  </sheetPr>
  <dimension ref="A1:AX57"/>
  <sheetViews>
    <sheetView showGridLines="0" showZeros="0" tabSelected="1" zoomScale="115" zoomScaleNormal="115" zoomScalePageLayoutView="99" workbookViewId="0">
      <pane ySplit="16" topLeftCell="A17" activePane="bottomLeft" state="frozen"/>
      <selection activeCell="E2" sqref="E2:N5"/>
      <selection pane="bottomLeft" activeCell="E2" sqref="E2:N5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123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COUNTA(Tabla336106734816[Inst])</f>
        <v>41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4.0399999999999983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4.0399999999999983</v>
      </c>
      <c r="W6" s="18"/>
      <c r="X6" s="17">
        <f>+X13</f>
        <v>0</v>
      </c>
      <c r="Y6" s="19"/>
      <c r="Z6" s="17">
        <f>+Z13</f>
        <v>0</v>
      </c>
      <c r="AA6" s="19"/>
      <c r="AB6" s="17">
        <f>+AB13</f>
        <v>0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COUNTIF(Tabla336106734816[No. of Rs],"&gt;0")</f>
        <v>14</v>
      </c>
      <c r="G7" s="24">
        <f>IFERROR((F7/$F$6),"")</f>
        <v>0.34146341463414637</v>
      </c>
      <c r="H7" s="78">
        <f>IFERROR((+P13/F7),"")</f>
        <v>1.2757142857142854</v>
      </c>
      <c r="I7" s="227">
        <f>H7/H9</f>
        <v>2.4923506305561296</v>
      </c>
      <c r="J7" s="227">
        <f>AVERAGE(Tabla336106734816[No. of Rs])</f>
        <v>9.8536585365853621E-2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1</v>
      </c>
      <c r="W7" s="27"/>
      <c r="X7" s="26">
        <f>IFERROR((X6/N6),"")</f>
        <v>0</v>
      </c>
      <c r="Y7" s="28"/>
      <c r="Z7" s="26">
        <f>IFERROR((Z6/N6),"")</f>
        <v>0</v>
      </c>
      <c r="AA7" s="28"/>
      <c r="AB7" s="26">
        <f>IFERROR((AB6/N6),"")</f>
        <v>0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COUNTIF(Tabla336106734816[No. of Rs],"=0")</f>
        <v>0</v>
      </c>
      <c r="G8" s="24">
        <f>IFERROR((F8/$F$6),"")</f>
        <v>0</v>
      </c>
      <c r="H8" s="78"/>
      <c r="I8" s="228"/>
      <c r="J8" s="228"/>
      <c r="K8" s="163"/>
      <c r="L8" s="212" t="s">
        <v>112</v>
      </c>
      <c r="M8" s="213"/>
      <c r="N8" s="195">
        <f ca="1">OFFSET(Tabla336106734816[[#Headers],[Equity]],1,0)</f>
        <v>104040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COUNTIF(Tabla336106734816[No. of Rs],"&lt;0")</f>
        <v>27</v>
      </c>
      <c r="G9" s="32">
        <f>IFERROR((F9/$F$6),"")</f>
        <v>0.65853658536585369</v>
      </c>
      <c r="H9" s="79">
        <f>IFERROR((-Q13/F9),"")</f>
        <v>0.51185185185185178</v>
      </c>
      <c r="I9" s="229"/>
      <c r="J9" s="229"/>
      <c r="K9" s="149"/>
      <c r="L9" s="230" t="s">
        <v>106</v>
      </c>
      <c r="M9" s="231"/>
      <c r="N9" s="125">
        <f ca="1">MAX(Tabla336106734816[Drawdown])</f>
        <v>4.9299999999999997E-2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 t="str">
        <f ca="1">OFFSET(Tabla336106734816[[#Headers],[Drawdown]],1,0)</f>
        <v/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COUNTIF(Tabla336106734816[Heat],"&lt;0")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IF(COUNTIFS(Tabla336106734816[O/C],"O")&lt;1,"None",COUNTIFS(Tabla336106734816[O/C],"O"))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SUM(Tabla336106734816[No. of Rs])</f>
        <v>4.0399999999999983</v>
      </c>
      <c r="O13" s="42">
        <f>SUM(Tabla336106734816[Heat])</f>
        <v>0</v>
      </c>
      <c r="P13" s="43">
        <f>SUM(Tabla336106734816[[ TR WIN]])</f>
        <v>17.859999999999996</v>
      </c>
      <c r="Q13" s="43">
        <f>SUM(Tabla336106734816[[ TR LOSS]])</f>
        <v>-13.819999999999999</v>
      </c>
      <c r="R13" s="114"/>
      <c r="S13" s="115"/>
      <c r="T13" s="115"/>
      <c r="U13" s="121"/>
      <c r="V13" s="44">
        <f>SUM(Tabla336106734816[Currency])</f>
        <v>4.0399999999999983</v>
      </c>
      <c r="W13" s="44">
        <f>SUM(Tabla336106734816[Heat3])</f>
        <v>0</v>
      </c>
      <c r="X13" s="44">
        <f>SUM(Tabla336106734816[Commodities])</f>
        <v>0</v>
      </c>
      <c r="Y13" s="44">
        <f>SUM(Tabla336106734816[Heat4])</f>
        <v>0</v>
      </c>
      <c r="Z13" s="44">
        <f>SUM(Tabla336106734816[Index])</f>
        <v>0</v>
      </c>
      <c r="AA13" s="44">
        <f>SUM(Tabla336106734816[Heat5])</f>
        <v>0</v>
      </c>
      <c r="AB13" s="44">
        <f>SUM(Tabla336106734816[Cryptocurrency])</f>
        <v>0</v>
      </c>
      <c r="AC13" s="44">
        <f>SUM(Tabla336106734816[Heat6])</f>
        <v>0</v>
      </c>
      <c r="AD13" s="75">
        <f>AVERAGEIF(Tabla336106734816[Length of 
Trade],"&lt;&gt;0")</f>
        <v>3.8596883468839578</v>
      </c>
      <c r="AE13" s="75">
        <f>AVERAGEIF(Tabla336106734816[Win],"&lt;&gt;0")</f>
        <v>6.7300595238100085</v>
      </c>
      <c r="AF13" s="75">
        <f>AVERAGEIF(Tabla336106734816[Loss],"&lt;&gt;0")</f>
        <v>2.3713477366260056</v>
      </c>
      <c r="AG13" s="76" t="e">
        <f>AVERAGEIF(Tabla336106734816[Breakeven],"&lt;&gt;0")</f>
        <v>#DIV/0!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2:33" ht="15" customHeight="1" x14ac:dyDescent="0.3">
      <c r="B17" s="196" t="s">
        <v>7</v>
      </c>
      <c r="C17" s="197" t="s">
        <v>15</v>
      </c>
      <c r="D17" s="198" t="str">
        <f t="shared" ref="D17:D45" si="0">IF(E17&lt;&gt;"",IF(K17&lt;&gt;"","C","O"),"")</f>
        <v>C</v>
      </c>
      <c r="E17" s="199">
        <v>43809.833333333336</v>
      </c>
      <c r="F17" s="200" t="s">
        <v>118</v>
      </c>
      <c r="G17" s="201">
        <v>120.566</v>
      </c>
      <c r="H17" s="201">
        <v>120.05500000000001</v>
      </c>
      <c r="I17" s="202">
        <f t="shared" ref="I17:I45" si="1">ABS(G17-H17)</f>
        <v>0.51099999999999568</v>
      </c>
      <c r="J17" s="201">
        <v>122.61199999999999</v>
      </c>
      <c r="K17" s="199">
        <v>43812.511805555558</v>
      </c>
      <c r="L17" s="201">
        <v>122.61199999999999</v>
      </c>
      <c r="M17" s="203">
        <f t="shared" ref="M17:M45" si="2">ROUND(IF(C17="L",(L17-G17),(G17-L17)),4)</f>
        <v>2.0459999999999998</v>
      </c>
      <c r="N17" s="204">
        <f t="shared" ref="N17:N45" si="3">IFERROR(ROUND((M17/I17),2),"")</f>
        <v>4</v>
      </c>
      <c r="O17" s="205">
        <f t="shared" ref="O17:O45" si="4">IF(D17="O",IF(N17&lt;0,N17,0),0)</f>
        <v>0</v>
      </c>
      <c r="P17" s="206">
        <f t="shared" ref="P17:P45" si="5">IF(N17&gt;= 0,N17,0)</f>
        <v>4</v>
      </c>
      <c r="Q17" s="206">
        <f t="shared" ref="Q17:Q45" si="6">IF(N17&lt;0,N17,0)</f>
        <v>0</v>
      </c>
      <c r="R17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17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104040</v>
      </c>
      <c r="T17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104040</v>
      </c>
      <c r="U17" s="208" t="str">
        <f ca="1">IF(Tabla336106734816[[#This Row],[Equity]]&lt;Tabla336106734816[[#This Row],[Equity Peak]],(Tabla336106734816[[#This Row],[Equity Peak]]-Tabla336106734816[[#This Row],[Equity]])/Tabla336106734816[[#This Row],[Equity Peak]],"")</f>
        <v/>
      </c>
      <c r="V17" s="209">
        <f t="shared" ref="V17:V45" si="7">IF(B17="FX",N17,0)</f>
        <v>4</v>
      </c>
      <c r="W17" s="209">
        <f t="shared" ref="W17:W45" si="8">IF(D17="O",IF(V17&lt;0,V17,0),0)</f>
        <v>0</v>
      </c>
      <c r="X17" s="209">
        <f t="shared" ref="X17:X45" si="9">IF(B17="COM",N17,0)</f>
        <v>0</v>
      </c>
      <c r="Y17" s="209">
        <f t="shared" ref="Y17:Y45" si="10">IF(D17="O",IF(X17&lt;0,X17,0),0)</f>
        <v>0</v>
      </c>
      <c r="Z17" s="209">
        <f t="shared" ref="Z17:Z45" si="11">IF(B17="IND",N17,0)</f>
        <v>0</v>
      </c>
      <c r="AA17" s="205">
        <f t="shared" ref="AA17:AA45" si="12">IF(D17="O",IF(Z17&lt;0,Z17,0),0)</f>
        <v>0</v>
      </c>
      <c r="AB17" s="209">
        <f t="shared" ref="AB17:AB45" si="13">IF(B17="CRYPTO",N17,0)</f>
        <v>0</v>
      </c>
      <c r="AC17" s="205">
        <f t="shared" ref="AC17:AC45" si="14">IF(D17="O",IF(AB17&lt;0,AB17,0),0)</f>
        <v>0</v>
      </c>
      <c r="AD17" s="210">
        <f t="shared" ref="AD17:AD45" si="15">IF(K17&lt;&gt;"",K17-E17,0)</f>
        <v>2.6784722222218988</v>
      </c>
      <c r="AE17" s="210">
        <f t="shared" ref="AE17:AE45" si="16">IF(N17&gt;0,AD17,0)</f>
        <v>2.6784722222218988</v>
      </c>
      <c r="AF17" s="210">
        <f t="shared" ref="AF17:AF45" si="17">IF(N17&lt;0,AD17,0)</f>
        <v>0</v>
      </c>
      <c r="AG17" s="210">
        <f t="shared" ref="AG17:AG45" si="18">IF(N17=0,AD17,0)</f>
        <v>0</v>
      </c>
    </row>
    <row r="18" spans="2:33" ht="15" customHeight="1" x14ac:dyDescent="0.3">
      <c r="B18" s="196" t="s">
        <v>7</v>
      </c>
      <c r="C18" s="197" t="s">
        <v>13</v>
      </c>
      <c r="D18" s="198" t="str">
        <f t="shared" si="0"/>
        <v>C</v>
      </c>
      <c r="E18" s="199">
        <v>43808.017361111109</v>
      </c>
      <c r="F18" s="200" t="s">
        <v>118</v>
      </c>
      <c r="G18" s="201">
        <v>120.154</v>
      </c>
      <c r="H18" s="201">
        <v>120.72499999999999</v>
      </c>
      <c r="I18" s="202">
        <f t="shared" si="1"/>
        <v>0.57099999999999795</v>
      </c>
      <c r="J18" s="201">
        <v>117.87</v>
      </c>
      <c r="K18" s="199">
        <v>43809.772916666669</v>
      </c>
      <c r="L18" s="201">
        <v>120.599</v>
      </c>
      <c r="M18" s="203">
        <f t="shared" si="2"/>
        <v>-0.44500000000000001</v>
      </c>
      <c r="N18" s="204">
        <f t="shared" si="3"/>
        <v>-0.78</v>
      </c>
      <c r="O18" s="205">
        <f t="shared" si="4"/>
        <v>0</v>
      </c>
      <c r="P18" s="206">
        <f t="shared" si="5"/>
        <v>0</v>
      </c>
      <c r="Q18" s="206">
        <f t="shared" si="6"/>
        <v>-0.78</v>
      </c>
      <c r="R18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18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100040</v>
      </c>
      <c r="T18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101620</v>
      </c>
      <c r="U18" s="208">
        <f ca="1">IF(Tabla336106734816[[#This Row],[Equity]]&lt;Tabla336106734816[[#This Row],[Equity Peak]],(Tabla336106734816[[#This Row],[Equity Peak]]-Tabla336106734816[[#This Row],[Equity]])/Tabla336106734816[[#This Row],[Equity Peak]],"")</f>
        <v>1.5548120448730565E-2</v>
      </c>
      <c r="V18" s="209">
        <f t="shared" si="7"/>
        <v>-0.78</v>
      </c>
      <c r="W18" s="209">
        <f t="shared" si="8"/>
        <v>0</v>
      </c>
      <c r="X18" s="209">
        <f t="shared" si="9"/>
        <v>0</v>
      </c>
      <c r="Y18" s="209">
        <f t="shared" si="10"/>
        <v>0</v>
      </c>
      <c r="Z18" s="209">
        <f t="shared" si="11"/>
        <v>0</v>
      </c>
      <c r="AA18" s="205">
        <f t="shared" si="12"/>
        <v>0</v>
      </c>
      <c r="AB18" s="209">
        <f t="shared" si="13"/>
        <v>0</v>
      </c>
      <c r="AC18" s="205">
        <f t="shared" si="14"/>
        <v>0</v>
      </c>
      <c r="AD18" s="210">
        <f t="shared" si="15"/>
        <v>1.7555555555591127</v>
      </c>
      <c r="AE18" s="210">
        <f t="shared" si="16"/>
        <v>0</v>
      </c>
      <c r="AF18" s="210">
        <f t="shared" si="17"/>
        <v>1.7555555555591127</v>
      </c>
      <c r="AG18" s="210">
        <f t="shared" si="18"/>
        <v>0</v>
      </c>
    </row>
    <row r="19" spans="2:33" ht="15" customHeight="1" x14ac:dyDescent="0.3">
      <c r="B19" s="196" t="s">
        <v>7</v>
      </c>
      <c r="C19" s="197" t="s">
        <v>15</v>
      </c>
      <c r="D19" s="198" t="str">
        <f t="shared" si="0"/>
        <v>C</v>
      </c>
      <c r="E19" s="199">
        <v>43796.333333333336</v>
      </c>
      <c r="F19" s="200" t="s">
        <v>118</v>
      </c>
      <c r="G19" s="201">
        <v>120.185</v>
      </c>
      <c r="H19" s="201">
        <v>119.742</v>
      </c>
      <c r="I19" s="202">
        <f t="shared" si="1"/>
        <v>0.44299999999999784</v>
      </c>
      <c r="J19" s="201">
        <v>121.956</v>
      </c>
      <c r="K19" s="199">
        <v>43801.536805555559</v>
      </c>
      <c r="L19" s="201">
        <v>120.542</v>
      </c>
      <c r="M19" s="203">
        <f t="shared" si="2"/>
        <v>0.35699999999999998</v>
      </c>
      <c r="N19" s="204">
        <f t="shared" si="3"/>
        <v>0.81</v>
      </c>
      <c r="O19" s="205">
        <f t="shared" si="4"/>
        <v>0</v>
      </c>
      <c r="P19" s="206">
        <f t="shared" si="5"/>
        <v>0.81</v>
      </c>
      <c r="Q19" s="206">
        <f t="shared" si="6"/>
        <v>0</v>
      </c>
      <c r="R19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19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100820</v>
      </c>
      <c r="T19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101620</v>
      </c>
      <c r="U19" s="208">
        <f ca="1">IF(Tabla336106734816[[#This Row],[Equity]]&lt;Tabla336106734816[[#This Row],[Equity Peak]],(Tabla336106734816[[#This Row],[Equity Peak]]-Tabla336106734816[[#This Row],[Equity]])/Tabla336106734816[[#This Row],[Equity Peak]],"")</f>
        <v>7.8724660499901594E-3</v>
      </c>
      <c r="V19" s="209">
        <f t="shared" si="7"/>
        <v>0.81</v>
      </c>
      <c r="W19" s="209">
        <f t="shared" si="8"/>
        <v>0</v>
      </c>
      <c r="X19" s="209">
        <f t="shared" si="9"/>
        <v>0</v>
      </c>
      <c r="Y19" s="209">
        <f t="shared" si="10"/>
        <v>0</v>
      </c>
      <c r="Z19" s="209">
        <f t="shared" si="11"/>
        <v>0</v>
      </c>
      <c r="AA19" s="205">
        <f t="shared" si="12"/>
        <v>0</v>
      </c>
      <c r="AB19" s="209">
        <f t="shared" si="13"/>
        <v>0</v>
      </c>
      <c r="AC19" s="205">
        <f t="shared" si="14"/>
        <v>0</v>
      </c>
      <c r="AD19" s="210">
        <f t="shared" si="15"/>
        <v>5.203472222223354</v>
      </c>
      <c r="AE19" s="210">
        <f t="shared" si="16"/>
        <v>5.203472222223354</v>
      </c>
      <c r="AF19" s="210">
        <f t="shared" si="17"/>
        <v>0</v>
      </c>
      <c r="AG19" s="210">
        <f t="shared" si="18"/>
        <v>0</v>
      </c>
    </row>
    <row r="20" spans="2:33" ht="15" customHeight="1" x14ac:dyDescent="0.3">
      <c r="B20" s="196" t="s">
        <v>7</v>
      </c>
      <c r="C20" s="197" t="s">
        <v>13</v>
      </c>
      <c r="D20" s="198" t="str">
        <f t="shared" si="0"/>
        <v>C</v>
      </c>
      <c r="E20" s="199">
        <v>43790.833333333336</v>
      </c>
      <c r="F20" s="200" t="s">
        <v>118</v>
      </c>
      <c r="G20" s="201">
        <v>120.149</v>
      </c>
      <c r="H20" s="201">
        <v>120.803</v>
      </c>
      <c r="I20" s="202">
        <f t="shared" si="1"/>
        <v>0.65399999999999636</v>
      </c>
      <c r="J20" s="201">
        <v>117.53400000000001</v>
      </c>
      <c r="K20" s="199">
        <v>43796.333333333336</v>
      </c>
      <c r="L20" s="201">
        <v>120.185</v>
      </c>
      <c r="M20" s="203">
        <f t="shared" si="2"/>
        <v>-3.5999999999999997E-2</v>
      </c>
      <c r="N20" s="204">
        <f t="shared" si="3"/>
        <v>-0.06</v>
      </c>
      <c r="O20" s="205">
        <f t="shared" si="4"/>
        <v>0</v>
      </c>
      <c r="P20" s="206">
        <f t="shared" si="5"/>
        <v>0</v>
      </c>
      <c r="Q20" s="206">
        <f t="shared" si="6"/>
        <v>-0.06</v>
      </c>
      <c r="R20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20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100010</v>
      </c>
      <c r="T20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101620</v>
      </c>
      <c r="U20" s="208">
        <f ca="1">IF(Tabla336106734816[[#This Row],[Equity]]&lt;Tabla336106734816[[#This Row],[Equity Peak]],(Tabla336106734816[[#This Row],[Equity Peak]]-Tabla336106734816[[#This Row],[Equity]])/Tabla336106734816[[#This Row],[Equity Peak]],"")</f>
        <v>1.5843337925605196E-2</v>
      </c>
      <c r="V20" s="209">
        <f t="shared" si="7"/>
        <v>-0.06</v>
      </c>
      <c r="W20" s="209">
        <f t="shared" si="8"/>
        <v>0</v>
      </c>
      <c r="X20" s="209">
        <f t="shared" si="9"/>
        <v>0</v>
      </c>
      <c r="Y20" s="209">
        <f t="shared" si="10"/>
        <v>0</v>
      </c>
      <c r="Z20" s="209">
        <f t="shared" si="11"/>
        <v>0</v>
      </c>
      <c r="AA20" s="205">
        <f t="shared" si="12"/>
        <v>0</v>
      </c>
      <c r="AB20" s="209">
        <f t="shared" si="13"/>
        <v>0</v>
      </c>
      <c r="AC20" s="205">
        <f t="shared" si="14"/>
        <v>0</v>
      </c>
      <c r="AD20" s="210">
        <f t="shared" si="15"/>
        <v>5.5</v>
      </c>
      <c r="AE20" s="210">
        <f t="shared" si="16"/>
        <v>0</v>
      </c>
      <c r="AF20" s="210">
        <f t="shared" si="17"/>
        <v>5.5</v>
      </c>
      <c r="AG20" s="210">
        <f t="shared" si="18"/>
        <v>0</v>
      </c>
    </row>
    <row r="21" spans="2:33" ht="15" customHeight="1" x14ac:dyDescent="0.3">
      <c r="B21" s="196" t="s">
        <v>7</v>
      </c>
      <c r="C21" s="197" t="s">
        <v>15</v>
      </c>
      <c r="D21" s="198" t="str">
        <f t="shared" si="0"/>
        <v>C</v>
      </c>
      <c r="E21" s="199">
        <v>43790.5</v>
      </c>
      <c r="F21" s="200" t="s">
        <v>118</v>
      </c>
      <c r="G21" s="201">
        <v>120.33</v>
      </c>
      <c r="H21" s="201">
        <v>119.72799999999999</v>
      </c>
      <c r="I21" s="202">
        <f t="shared" si="1"/>
        <v>0.60200000000000387</v>
      </c>
      <c r="J21" s="201">
        <v>122.739</v>
      </c>
      <c r="K21" s="199">
        <v>43790.833333333336</v>
      </c>
      <c r="L21" s="201">
        <v>120.149</v>
      </c>
      <c r="M21" s="203">
        <f t="shared" si="2"/>
        <v>-0.18099999999999999</v>
      </c>
      <c r="N21" s="204">
        <f t="shared" si="3"/>
        <v>-0.3</v>
      </c>
      <c r="O21" s="205">
        <f t="shared" si="4"/>
        <v>0</v>
      </c>
      <c r="P21" s="206">
        <f t="shared" si="5"/>
        <v>0</v>
      </c>
      <c r="Q21" s="206">
        <f t="shared" si="6"/>
        <v>-0.3</v>
      </c>
      <c r="R21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21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100070</v>
      </c>
      <c r="T21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101620</v>
      </c>
      <c r="U21" s="208">
        <f ca="1">IF(Tabla336106734816[[#This Row],[Equity]]&lt;Tabla336106734816[[#This Row],[Equity Peak]],(Tabla336106734816[[#This Row],[Equity Peak]]-Tabla336106734816[[#This Row],[Equity]])/Tabla336106734816[[#This Row],[Equity Peak]],"")</f>
        <v>1.5252902971855933E-2</v>
      </c>
      <c r="V21" s="209">
        <f t="shared" si="7"/>
        <v>-0.3</v>
      </c>
      <c r="W21" s="209">
        <f t="shared" si="8"/>
        <v>0</v>
      </c>
      <c r="X21" s="209">
        <f t="shared" si="9"/>
        <v>0</v>
      </c>
      <c r="Y21" s="209">
        <f t="shared" si="10"/>
        <v>0</v>
      </c>
      <c r="Z21" s="209">
        <f t="shared" si="11"/>
        <v>0</v>
      </c>
      <c r="AA21" s="205">
        <f t="shared" si="12"/>
        <v>0</v>
      </c>
      <c r="AB21" s="209">
        <f t="shared" si="13"/>
        <v>0</v>
      </c>
      <c r="AC21" s="205">
        <f t="shared" si="14"/>
        <v>0</v>
      </c>
      <c r="AD21" s="210">
        <f t="shared" si="15"/>
        <v>0.33333333333575865</v>
      </c>
      <c r="AE21" s="210">
        <f t="shared" si="16"/>
        <v>0</v>
      </c>
      <c r="AF21" s="210">
        <f t="shared" si="17"/>
        <v>0.33333333333575865</v>
      </c>
      <c r="AG21" s="210">
        <f t="shared" si="18"/>
        <v>0</v>
      </c>
    </row>
    <row r="22" spans="2:33" ht="15" customHeight="1" x14ac:dyDescent="0.3">
      <c r="B22" s="196" t="s">
        <v>7</v>
      </c>
      <c r="C22" s="197" t="s">
        <v>13</v>
      </c>
      <c r="D22" s="198" t="str">
        <f t="shared" si="0"/>
        <v>C</v>
      </c>
      <c r="E22" s="199">
        <v>43789.333333333336</v>
      </c>
      <c r="F22" s="200" t="s">
        <v>118</v>
      </c>
      <c r="G22" s="201">
        <v>120.178</v>
      </c>
      <c r="H22" s="201">
        <v>120.745</v>
      </c>
      <c r="I22" s="202">
        <f t="shared" si="1"/>
        <v>0.56700000000000728</v>
      </c>
      <c r="J22" s="201">
        <v>117.90900000000001</v>
      </c>
      <c r="K22" s="199">
        <v>43790.5</v>
      </c>
      <c r="L22" s="201">
        <v>120.33</v>
      </c>
      <c r="M22" s="203">
        <f t="shared" si="2"/>
        <v>-0.152</v>
      </c>
      <c r="N22" s="204">
        <f t="shared" si="3"/>
        <v>-0.27</v>
      </c>
      <c r="O22" s="205">
        <f t="shared" si="4"/>
        <v>0</v>
      </c>
      <c r="P22" s="206">
        <f t="shared" si="5"/>
        <v>0</v>
      </c>
      <c r="Q22" s="206">
        <f t="shared" si="6"/>
        <v>-0.27</v>
      </c>
      <c r="R22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22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100370</v>
      </c>
      <c r="T22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101620</v>
      </c>
      <c r="U22" s="208">
        <f ca="1">IF(Tabla336106734816[[#This Row],[Equity]]&lt;Tabla336106734816[[#This Row],[Equity Peak]],(Tabla336106734816[[#This Row],[Equity Peak]]-Tabla336106734816[[#This Row],[Equity]])/Tabla336106734816[[#This Row],[Equity Peak]],"")</f>
        <v>1.2300728203109623E-2</v>
      </c>
      <c r="V22" s="209">
        <f t="shared" si="7"/>
        <v>-0.27</v>
      </c>
      <c r="W22" s="209">
        <f t="shared" si="8"/>
        <v>0</v>
      </c>
      <c r="X22" s="209">
        <f t="shared" si="9"/>
        <v>0</v>
      </c>
      <c r="Y22" s="209">
        <f t="shared" si="10"/>
        <v>0</v>
      </c>
      <c r="Z22" s="209">
        <f t="shared" si="11"/>
        <v>0</v>
      </c>
      <c r="AA22" s="205">
        <f t="shared" si="12"/>
        <v>0</v>
      </c>
      <c r="AB22" s="209">
        <f t="shared" si="13"/>
        <v>0</v>
      </c>
      <c r="AC22" s="205">
        <f t="shared" si="14"/>
        <v>0</v>
      </c>
      <c r="AD22" s="210">
        <f t="shared" si="15"/>
        <v>1.1666666666642413</v>
      </c>
      <c r="AE22" s="210">
        <f t="shared" si="16"/>
        <v>0</v>
      </c>
      <c r="AF22" s="210">
        <f t="shared" si="17"/>
        <v>1.1666666666642413</v>
      </c>
      <c r="AG22" s="210">
        <f t="shared" si="18"/>
        <v>0</v>
      </c>
    </row>
    <row r="23" spans="2:33" ht="15" customHeight="1" x14ac:dyDescent="0.3">
      <c r="B23" s="196" t="s">
        <v>7</v>
      </c>
      <c r="C23" s="197" t="s">
        <v>15</v>
      </c>
      <c r="D23" s="198" t="str">
        <f t="shared" si="0"/>
        <v>C</v>
      </c>
      <c r="E23" s="199">
        <v>43787.333333333336</v>
      </c>
      <c r="F23" s="200" t="s">
        <v>118</v>
      </c>
      <c r="G23" s="201">
        <v>120.377</v>
      </c>
      <c r="H23" s="201">
        <v>119.81100000000001</v>
      </c>
      <c r="I23" s="202">
        <f t="shared" si="1"/>
        <v>0.56599999999998829</v>
      </c>
      <c r="J23" s="201">
        <v>122.643</v>
      </c>
      <c r="K23" s="199">
        <v>43789.109722222223</v>
      </c>
      <c r="L23" s="201">
        <v>119.99</v>
      </c>
      <c r="M23" s="203">
        <f t="shared" si="2"/>
        <v>-0.38700000000000001</v>
      </c>
      <c r="N23" s="204">
        <f t="shared" si="3"/>
        <v>-0.68</v>
      </c>
      <c r="O23" s="205">
        <f t="shared" si="4"/>
        <v>0</v>
      </c>
      <c r="P23" s="206">
        <f t="shared" si="5"/>
        <v>0</v>
      </c>
      <c r="Q23" s="206">
        <f t="shared" si="6"/>
        <v>-0.68</v>
      </c>
      <c r="R23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23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100640</v>
      </c>
      <c r="T23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101620</v>
      </c>
      <c r="U23" s="208">
        <f ca="1">IF(Tabla336106734816[[#This Row],[Equity]]&lt;Tabla336106734816[[#This Row],[Equity Peak]],(Tabla336106734816[[#This Row],[Equity Peak]]-Tabla336106734816[[#This Row],[Equity]])/Tabla336106734816[[#This Row],[Equity Peak]],"")</f>
        <v>9.6437709112379456E-3</v>
      </c>
      <c r="V23" s="209">
        <f t="shared" si="7"/>
        <v>-0.68</v>
      </c>
      <c r="W23" s="209">
        <f t="shared" si="8"/>
        <v>0</v>
      </c>
      <c r="X23" s="209">
        <f t="shared" si="9"/>
        <v>0</v>
      </c>
      <c r="Y23" s="209">
        <f t="shared" si="10"/>
        <v>0</v>
      </c>
      <c r="Z23" s="209">
        <f t="shared" si="11"/>
        <v>0</v>
      </c>
      <c r="AA23" s="205">
        <f t="shared" si="12"/>
        <v>0</v>
      </c>
      <c r="AB23" s="209">
        <f t="shared" si="13"/>
        <v>0</v>
      </c>
      <c r="AC23" s="205">
        <f t="shared" si="14"/>
        <v>0</v>
      </c>
      <c r="AD23" s="210">
        <f t="shared" si="15"/>
        <v>1.7763888888875954</v>
      </c>
      <c r="AE23" s="210">
        <f t="shared" si="16"/>
        <v>0</v>
      </c>
      <c r="AF23" s="210">
        <f t="shared" si="17"/>
        <v>1.7763888888875954</v>
      </c>
      <c r="AG23" s="210">
        <f t="shared" si="18"/>
        <v>0</v>
      </c>
    </row>
    <row r="24" spans="2:33" ht="15" customHeight="1" x14ac:dyDescent="0.3">
      <c r="B24" s="196" t="s">
        <v>7</v>
      </c>
      <c r="C24" s="197" t="s">
        <v>13</v>
      </c>
      <c r="D24" s="198" t="str">
        <f t="shared" si="0"/>
        <v>C</v>
      </c>
      <c r="E24" s="199">
        <v>43781.833333333336</v>
      </c>
      <c r="F24" s="200" t="s">
        <v>118</v>
      </c>
      <c r="G24" s="201">
        <v>120.11499999999999</v>
      </c>
      <c r="H24" s="201">
        <v>120.629</v>
      </c>
      <c r="I24" s="202">
        <f t="shared" si="1"/>
        <v>0.51400000000001</v>
      </c>
      <c r="J24" s="201">
        <v>118.057</v>
      </c>
      <c r="K24" s="199">
        <v>43784.552777777775</v>
      </c>
      <c r="L24" s="201">
        <v>119.845</v>
      </c>
      <c r="M24" s="203">
        <f t="shared" si="2"/>
        <v>0.27</v>
      </c>
      <c r="N24" s="204">
        <f t="shared" si="3"/>
        <v>0.53</v>
      </c>
      <c r="O24" s="205">
        <f t="shared" si="4"/>
        <v>0</v>
      </c>
      <c r="P24" s="206">
        <f t="shared" si="5"/>
        <v>0.53</v>
      </c>
      <c r="Q24" s="206">
        <f t="shared" si="6"/>
        <v>0</v>
      </c>
      <c r="R24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24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101320</v>
      </c>
      <c r="T24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101620</v>
      </c>
      <c r="U24" s="208">
        <f ca="1">IF(Tabla336106734816[[#This Row],[Equity]]&lt;Tabla336106734816[[#This Row],[Equity Peak]],(Tabla336106734816[[#This Row],[Equity Peak]]-Tabla336106734816[[#This Row],[Equity]])/Tabla336106734816[[#This Row],[Equity Peak]],"")</f>
        <v>2.9521747687463098E-3</v>
      </c>
      <c r="V24" s="209">
        <f t="shared" si="7"/>
        <v>0.53</v>
      </c>
      <c r="W24" s="209">
        <f t="shared" si="8"/>
        <v>0</v>
      </c>
      <c r="X24" s="209">
        <f t="shared" si="9"/>
        <v>0</v>
      </c>
      <c r="Y24" s="209">
        <f t="shared" si="10"/>
        <v>0</v>
      </c>
      <c r="Z24" s="209">
        <f t="shared" si="11"/>
        <v>0</v>
      </c>
      <c r="AA24" s="205">
        <f t="shared" si="12"/>
        <v>0</v>
      </c>
      <c r="AB24" s="209">
        <f t="shared" si="13"/>
        <v>0</v>
      </c>
      <c r="AC24" s="205">
        <f t="shared" si="14"/>
        <v>0</v>
      </c>
      <c r="AD24" s="210">
        <f t="shared" si="15"/>
        <v>2.7194444444394321</v>
      </c>
      <c r="AE24" s="210">
        <f t="shared" si="16"/>
        <v>2.7194444444394321</v>
      </c>
      <c r="AF24" s="210">
        <f t="shared" si="17"/>
        <v>0</v>
      </c>
      <c r="AG24" s="210">
        <f t="shared" si="18"/>
        <v>0</v>
      </c>
    </row>
    <row r="25" spans="2:33" ht="15" customHeight="1" x14ac:dyDescent="0.3">
      <c r="B25" s="196" t="s">
        <v>7</v>
      </c>
      <c r="C25" s="197" t="s">
        <v>15</v>
      </c>
      <c r="D25" s="198" t="str">
        <f t="shared" si="0"/>
        <v>C</v>
      </c>
      <c r="E25" s="199">
        <v>43781.166666666664</v>
      </c>
      <c r="F25" s="200" t="s">
        <v>118</v>
      </c>
      <c r="G25" s="201">
        <v>120.375</v>
      </c>
      <c r="H25" s="201">
        <v>119.886</v>
      </c>
      <c r="I25" s="202">
        <f t="shared" si="1"/>
        <v>0.48900000000000432</v>
      </c>
      <c r="J25" s="201">
        <v>122.33199999999999</v>
      </c>
      <c r="K25" s="199">
        <v>43781.833333333336</v>
      </c>
      <c r="L25" s="201">
        <v>120.11499999999999</v>
      </c>
      <c r="M25" s="203">
        <f t="shared" si="2"/>
        <v>-0.26</v>
      </c>
      <c r="N25" s="204">
        <f t="shared" si="3"/>
        <v>-0.53</v>
      </c>
      <c r="O25" s="205">
        <f t="shared" si="4"/>
        <v>0</v>
      </c>
      <c r="P25" s="206">
        <f t="shared" si="5"/>
        <v>0</v>
      </c>
      <c r="Q25" s="206">
        <f t="shared" si="6"/>
        <v>-0.53</v>
      </c>
      <c r="R25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25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100790</v>
      </c>
      <c r="T25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101620</v>
      </c>
      <c r="U25" s="208">
        <f ca="1">IF(Tabla336106734816[[#This Row],[Equity]]&lt;Tabla336106734816[[#This Row],[Equity Peak]],(Tabla336106734816[[#This Row],[Equity Peak]]-Tabla336106734816[[#This Row],[Equity]])/Tabla336106734816[[#This Row],[Equity Peak]],"")</f>
        <v>8.1676835268647899E-3</v>
      </c>
      <c r="V25" s="209">
        <f t="shared" si="7"/>
        <v>-0.53</v>
      </c>
      <c r="W25" s="209">
        <f t="shared" si="8"/>
        <v>0</v>
      </c>
      <c r="X25" s="209">
        <f t="shared" si="9"/>
        <v>0</v>
      </c>
      <c r="Y25" s="209">
        <f t="shared" si="10"/>
        <v>0</v>
      </c>
      <c r="Z25" s="209">
        <f t="shared" si="11"/>
        <v>0</v>
      </c>
      <c r="AA25" s="205">
        <f t="shared" si="12"/>
        <v>0</v>
      </c>
      <c r="AB25" s="209">
        <f t="shared" si="13"/>
        <v>0</v>
      </c>
      <c r="AC25" s="205">
        <f t="shared" si="14"/>
        <v>0</v>
      </c>
      <c r="AD25" s="210">
        <f t="shared" si="15"/>
        <v>0.66666666667151731</v>
      </c>
      <c r="AE25" s="210">
        <f t="shared" si="16"/>
        <v>0</v>
      </c>
      <c r="AF25" s="210">
        <f t="shared" si="17"/>
        <v>0.66666666667151731</v>
      </c>
      <c r="AG25" s="210">
        <f t="shared" si="18"/>
        <v>0</v>
      </c>
    </row>
    <row r="26" spans="2:33" ht="15" customHeight="1" x14ac:dyDescent="0.3">
      <c r="B26" s="196" t="s">
        <v>7</v>
      </c>
      <c r="C26" s="197" t="s">
        <v>13</v>
      </c>
      <c r="D26" s="198" t="str">
        <f t="shared" si="0"/>
        <v>C</v>
      </c>
      <c r="E26" s="199">
        <v>43780.5</v>
      </c>
      <c r="F26" s="200" t="s">
        <v>118</v>
      </c>
      <c r="G26" s="201">
        <v>120.184</v>
      </c>
      <c r="H26" s="201">
        <v>120.821</v>
      </c>
      <c r="I26" s="202">
        <f t="shared" si="1"/>
        <v>0.63700000000000045</v>
      </c>
      <c r="J26" s="201">
        <v>117.63800000000001</v>
      </c>
      <c r="K26" s="199">
        <v>43781.166666666664</v>
      </c>
      <c r="L26" s="201">
        <v>120.375</v>
      </c>
      <c r="M26" s="203">
        <f t="shared" si="2"/>
        <v>-0.191</v>
      </c>
      <c r="N26" s="204">
        <f t="shared" si="3"/>
        <v>-0.3</v>
      </c>
      <c r="O26" s="205">
        <f t="shared" si="4"/>
        <v>0</v>
      </c>
      <c r="P26" s="206">
        <f t="shared" si="5"/>
        <v>0</v>
      </c>
      <c r="Q26" s="206">
        <f t="shared" si="6"/>
        <v>-0.3</v>
      </c>
      <c r="R26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26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101320</v>
      </c>
      <c r="T26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101620</v>
      </c>
      <c r="U26" s="208">
        <f ca="1">IF(Tabla336106734816[[#This Row],[Equity]]&lt;Tabla336106734816[[#This Row],[Equity Peak]],(Tabla336106734816[[#This Row],[Equity Peak]]-Tabla336106734816[[#This Row],[Equity]])/Tabla336106734816[[#This Row],[Equity Peak]],"")</f>
        <v>2.9521747687463098E-3</v>
      </c>
      <c r="V26" s="209">
        <f t="shared" si="7"/>
        <v>-0.3</v>
      </c>
      <c r="W26" s="209">
        <f t="shared" si="8"/>
        <v>0</v>
      </c>
      <c r="X26" s="209">
        <f t="shared" si="9"/>
        <v>0</v>
      </c>
      <c r="Y26" s="209">
        <f t="shared" si="10"/>
        <v>0</v>
      </c>
      <c r="Z26" s="209">
        <f t="shared" si="11"/>
        <v>0</v>
      </c>
      <c r="AA26" s="205">
        <f t="shared" si="12"/>
        <v>0</v>
      </c>
      <c r="AB26" s="209">
        <f t="shared" si="13"/>
        <v>0</v>
      </c>
      <c r="AC26" s="205">
        <f t="shared" si="14"/>
        <v>0</v>
      </c>
      <c r="AD26" s="210">
        <f t="shared" si="15"/>
        <v>0.66666666666424135</v>
      </c>
      <c r="AE26" s="210">
        <f t="shared" si="16"/>
        <v>0</v>
      </c>
      <c r="AF26" s="210">
        <f t="shared" si="17"/>
        <v>0.66666666666424135</v>
      </c>
      <c r="AG26" s="210">
        <f t="shared" si="18"/>
        <v>0</v>
      </c>
    </row>
    <row r="27" spans="2:33" ht="15" customHeight="1" x14ac:dyDescent="0.3">
      <c r="B27" s="196" t="s">
        <v>7</v>
      </c>
      <c r="C27" s="197" t="s">
        <v>15</v>
      </c>
      <c r="D27" s="198" t="str">
        <f t="shared" si="0"/>
        <v>C</v>
      </c>
      <c r="E27" s="199">
        <v>43748.5</v>
      </c>
      <c r="F27" s="200" t="s">
        <v>118</v>
      </c>
      <c r="G27" s="201">
        <v>118.34699999999999</v>
      </c>
      <c r="H27" s="201">
        <v>117.538</v>
      </c>
      <c r="I27" s="202">
        <f t="shared" si="1"/>
        <v>0.8089999999999975</v>
      </c>
      <c r="J27" s="201">
        <v>121.58499999999999</v>
      </c>
      <c r="K27" s="199">
        <v>43760.61041666667</v>
      </c>
      <c r="L27" s="201">
        <v>120.748</v>
      </c>
      <c r="M27" s="203">
        <f t="shared" si="2"/>
        <v>2.4009999999999998</v>
      </c>
      <c r="N27" s="204">
        <f t="shared" si="3"/>
        <v>2.97</v>
      </c>
      <c r="O27" s="205">
        <f t="shared" si="4"/>
        <v>0</v>
      </c>
      <c r="P27" s="206">
        <f t="shared" si="5"/>
        <v>2.97</v>
      </c>
      <c r="Q27" s="206">
        <f t="shared" si="6"/>
        <v>0</v>
      </c>
      <c r="R27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27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101620</v>
      </c>
      <c r="T27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101620</v>
      </c>
      <c r="U27" s="208" t="str">
        <f ca="1">IF(Tabla336106734816[[#This Row],[Equity]]&lt;Tabla336106734816[[#This Row],[Equity Peak]],(Tabla336106734816[[#This Row],[Equity Peak]]-Tabla336106734816[[#This Row],[Equity]])/Tabla336106734816[[#This Row],[Equity Peak]],"")</f>
        <v/>
      </c>
      <c r="V27" s="209">
        <f t="shared" si="7"/>
        <v>2.97</v>
      </c>
      <c r="W27" s="209">
        <f t="shared" si="8"/>
        <v>0</v>
      </c>
      <c r="X27" s="209">
        <f t="shared" si="9"/>
        <v>0</v>
      </c>
      <c r="Y27" s="209">
        <f t="shared" si="10"/>
        <v>0</v>
      </c>
      <c r="Z27" s="209">
        <f t="shared" si="11"/>
        <v>0</v>
      </c>
      <c r="AA27" s="205">
        <f t="shared" si="12"/>
        <v>0</v>
      </c>
      <c r="AB27" s="209">
        <f t="shared" si="13"/>
        <v>0</v>
      </c>
      <c r="AC27" s="205">
        <f t="shared" si="14"/>
        <v>0</v>
      </c>
      <c r="AD27" s="210">
        <f t="shared" si="15"/>
        <v>12.110416666670062</v>
      </c>
      <c r="AE27" s="210">
        <f t="shared" si="16"/>
        <v>12.110416666670062</v>
      </c>
      <c r="AF27" s="210">
        <f t="shared" si="17"/>
        <v>0</v>
      </c>
      <c r="AG27" s="210">
        <f t="shared" si="18"/>
        <v>0</v>
      </c>
    </row>
    <row r="28" spans="2:33" ht="15" customHeight="1" x14ac:dyDescent="0.3">
      <c r="B28" s="196" t="s">
        <v>7</v>
      </c>
      <c r="C28" s="197" t="s">
        <v>13</v>
      </c>
      <c r="D28" s="198" t="str">
        <f t="shared" si="0"/>
        <v>C</v>
      </c>
      <c r="E28" s="199">
        <v>43731.5</v>
      </c>
      <c r="F28" s="200" t="s">
        <v>118</v>
      </c>
      <c r="G28" s="201">
        <v>117.851</v>
      </c>
      <c r="H28" s="201">
        <v>118.66500000000001</v>
      </c>
      <c r="I28" s="202">
        <f t="shared" si="1"/>
        <v>0.81400000000000716</v>
      </c>
      <c r="J28" s="201">
        <v>114.593</v>
      </c>
      <c r="K28" s="199">
        <v>43735.601388888892</v>
      </c>
      <c r="L28" s="201">
        <v>118.19499999999999</v>
      </c>
      <c r="M28" s="203">
        <f t="shared" si="2"/>
        <v>-0.34399999999999997</v>
      </c>
      <c r="N28" s="204">
        <f t="shared" si="3"/>
        <v>-0.42</v>
      </c>
      <c r="O28" s="205">
        <f t="shared" si="4"/>
        <v>0</v>
      </c>
      <c r="P28" s="206">
        <f t="shared" si="5"/>
        <v>0</v>
      </c>
      <c r="Q28" s="206">
        <f t="shared" si="6"/>
        <v>-0.42</v>
      </c>
      <c r="R28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28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98650</v>
      </c>
      <c r="T28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100000</v>
      </c>
      <c r="U28" s="208">
        <f ca="1">IF(Tabla336106734816[[#This Row],[Equity]]&lt;Tabla336106734816[[#This Row],[Equity Peak]],(Tabla336106734816[[#This Row],[Equity Peak]]-Tabla336106734816[[#This Row],[Equity]])/Tabla336106734816[[#This Row],[Equity Peak]],"")</f>
        <v>1.35E-2</v>
      </c>
      <c r="V28" s="209">
        <f t="shared" si="7"/>
        <v>-0.42</v>
      </c>
      <c r="W28" s="209">
        <f t="shared" si="8"/>
        <v>0</v>
      </c>
      <c r="X28" s="209">
        <f t="shared" si="9"/>
        <v>0</v>
      </c>
      <c r="Y28" s="209">
        <f t="shared" si="10"/>
        <v>0</v>
      </c>
      <c r="Z28" s="209">
        <f t="shared" si="11"/>
        <v>0</v>
      </c>
      <c r="AA28" s="205">
        <f t="shared" si="12"/>
        <v>0</v>
      </c>
      <c r="AB28" s="209">
        <f t="shared" si="13"/>
        <v>0</v>
      </c>
      <c r="AC28" s="205">
        <f t="shared" si="14"/>
        <v>0</v>
      </c>
      <c r="AD28" s="210">
        <f t="shared" si="15"/>
        <v>4.101388888891961</v>
      </c>
      <c r="AE28" s="210">
        <f t="shared" si="16"/>
        <v>0</v>
      </c>
      <c r="AF28" s="210">
        <f t="shared" si="17"/>
        <v>4.101388888891961</v>
      </c>
      <c r="AG28" s="210">
        <f t="shared" si="18"/>
        <v>0</v>
      </c>
    </row>
    <row r="29" spans="2:33" ht="15" customHeight="1" x14ac:dyDescent="0.3">
      <c r="B29" s="196" t="s">
        <v>7</v>
      </c>
      <c r="C29" s="197" t="s">
        <v>15</v>
      </c>
      <c r="D29" s="198" t="str">
        <f t="shared" si="0"/>
        <v>C</v>
      </c>
      <c r="E29" s="199">
        <v>43714.166666666664</v>
      </c>
      <c r="F29" s="200" t="s">
        <v>118</v>
      </c>
      <c r="G29" s="201">
        <v>118.075</v>
      </c>
      <c r="H29" s="201">
        <v>117.258</v>
      </c>
      <c r="I29" s="202">
        <f t="shared" si="1"/>
        <v>0.81700000000000728</v>
      </c>
      <c r="J29" s="201">
        <v>121.34399999999999</v>
      </c>
      <c r="K29" s="199">
        <v>43719.579861111109</v>
      </c>
      <c r="L29" s="201">
        <v>118.56100000000001</v>
      </c>
      <c r="M29" s="203">
        <f t="shared" si="2"/>
        <v>0.48599999999999999</v>
      </c>
      <c r="N29" s="204">
        <f t="shared" si="3"/>
        <v>0.59</v>
      </c>
      <c r="O29" s="205">
        <f t="shared" si="4"/>
        <v>0</v>
      </c>
      <c r="P29" s="206">
        <f t="shared" si="5"/>
        <v>0.59</v>
      </c>
      <c r="Q29" s="206">
        <f t="shared" si="6"/>
        <v>0</v>
      </c>
      <c r="R29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29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99070</v>
      </c>
      <c r="T29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100000</v>
      </c>
      <c r="U29" s="208">
        <f ca="1">IF(Tabla336106734816[[#This Row],[Equity]]&lt;Tabla336106734816[[#This Row],[Equity Peak]],(Tabla336106734816[[#This Row],[Equity Peak]]-Tabla336106734816[[#This Row],[Equity]])/Tabla336106734816[[#This Row],[Equity Peak]],"")</f>
        <v>9.2999999999999992E-3</v>
      </c>
      <c r="V29" s="209">
        <f t="shared" si="7"/>
        <v>0.59</v>
      </c>
      <c r="W29" s="209">
        <f t="shared" si="8"/>
        <v>0</v>
      </c>
      <c r="X29" s="209">
        <f t="shared" si="9"/>
        <v>0</v>
      </c>
      <c r="Y29" s="209">
        <f t="shared" si="10"/>
        <v>0</v>
      </c>
      <c r="Z29" s="209">
        <f t="shared" si="11"/>
        <v>0</v>
      </c>
      <c r="AA29" s="205">
        <f t="shared" si="12"/>
        <v>0</v>
      </c>
      <c r="AB29" s="209">
        <f t="shared" si="13"/>
        <v>0</v>
      </c>
      <c r="AC29" s="205">
        <f t="shared" si="14"/>
        <v>0</v>
      </c>
      <c r="AD29" s="210">
        <f t="shared" si="15"/>
        <v>5.4131944444452529</v>
      </c>
      <c r="AE29" s="210">
        <f t="shared" si="16"/>
        <v>5.4131944444452529</v>
      </c>
      <c r="AF29" s="210">
        <f t="shared" si="17"/>
        <v>0</v>
      </c>
      <c r="AG29" s="210">
        <f t="shared" si="18"/>
        <v>0</v>
      </c>
    </row>
    <row r="30" spans="2:33" ht="15" customHeight="1" x14ac:dyDescent="0.3">
      <c r="B30" s="196" t="s">
        <v>7</v>
      </c>
      <c r="C30" s="197" t="s">
        <v>13</v>
      </c>
      <c r="D30" s="198" t="str">
        <f t="shared" si="0"/>
        <v>C</v>
      </c>
      <c r="E30" s="199">
        <v>43678.666666666664</v>
      </c>
      <c r="F30" s="200" t="s">
        <v>118</v>
      </c>
      <c r="G30" s="201">
        <v>119.831</v>
      </c>
      <c r="H30" s="201">
        <v>120.504</v>
      </c>
      <c r="I30" s="202">
        <f t="shared" si="1"/>
        <v>0.67300000000000182</v>
      </c>
      <c r="J30" s="201">
        <v>117.14</v>
      </c>
      <c r="K30" s="199">
        <v>43682.777083333334</v>
      </c>
      <c r="L30" s="201">
        <v>118.85299999999999</v>
      </c>
      <c r="M30" s="203">
        <f t="shared" si="2"/>
        <v>0.97799999999999998</v>
      </c>
      <c r="N30" s="204">
        <f t="shared" si="3"/>
        <v>1.45</v>
      </c>
      <c r="O30" s="205">
        <f t="shared" si="4"/>
        <v>0</v>
      </c>
      <c r="P30" s="206">
        <f t="shared" si="5"/>
        <v>1.45</v>
      </c>
      <c r="Q30" s="206">
        <f t="shared" si="6"/>
        <v>0</v>
      </c>
      <c r="R30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30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98480</v>
      </c>
      <c r="T30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100000</v>
      </c>
      <c r="U30" s="208">
        <f ca="1">IF(Tabla336106734816[[#This Row],[Equity]]&lt;Tabla336106734816[[#This Row],[Equity Peak]],(Tabla336106734816[[#This Row],[Equity Peak]]-Tabla336106734816[[#This Row],[Equity]])/Tabla336106734816[[#This Row],[Equity Peak]],"")</f>
        <v>1.52E-2</v>
      </c>
      <c r="V30" s="209">
        <f t="shared" si="7"/>
        <v>1.45</v>
      </c>
      <c r="W30" s="209">
        <f t="shared" si="8"/>
        <v>0</v>
      </c>
      <c r="X30" s="209">
        <f t="shared" si="9"/>
        <v>0</v>
      </c>
      <c r="Y30" s="209">
        <f t="shared" si="10"/>
        <v>0</v>
      </c>
      <c r="Z30" s="209">
        <f t="shared" si="11"/>
        <v>0</v>
      </c>
      <c r="AA30" s="205">
        <f t="shared" si="12"/>
        <v>0</v>
      </c>
      <c r="AB30" s="209">
        <f t="shared" si="13"/>
        <v>0</v>
      </c>
      <c r="AC30" s="205">
        <f t="shared" si="14"/>
        <v>0</v>
      </c>
      <c r="AD30" s="210">
        <f t="shared" si="15"/>
        <v>4.1104166666700621</v>
      </c>
      <c r="AE30" s="210">
        <f t="shared" si="16"/>
        <v>4.1104166666700621</v>
      </c>
      <c r="AF30" s="210">
        <f t="shared" si="17"/>
        <v>0</v>
      </c>
      <c r="AG30" s="210">
        <f t="shared" si="18"/>
        <v>0</v>
      </c>
    </row>
    <row r="31" spans="2:33" ht="15" customHeight="1" x14ac:dyDescent="0.3">
      <c r="B31" s="196" t="s">
        <v>7</v>
      </c>
      <c r="C31" s="197" t="s">
        <v>13</v>
      </c>
      <c r="D31" s="198" t="str">
        <f t="shared" si="0"/>
        <v>C</v>
      </c>
      <c r="E31" s="199">
        <v>43658.666666666664</v>
      </c>
      <c r="F31" s="200" t="s">
        <v>118</v>
      </c>
      <c r="G31" s="201">
        <v>121.761</v>
      </c>
      <c r="H31" s="201">
        <v>122.32</v>
      </c>
      <c r="I31" s="202">
        <f t="shared" si="1"/>
        <v>0.5589999999999975</v>
      </c>
      <c r="J31" s="201">
        <v>119.52500000000001</v>
      </c>
      <c r="K31" s="199">
        <v>43671.606249999997</v>
      </c>
      <c r="L31" s="201">
        <v>120.66500000000001</v>
      </c>
      <c r="M31" s="203">
        <f t="shared" si="2"/>
        <v>1.0960000000000001</v>
      </c>
      <c r="N31" s="204">
        <f t="shared" si="3"/>
        <v>1.96</v>
      </c>
      <c r="O31" s="205">
        <f t="shared" si="4"/>
        <v>0</v>
      </c>
      <c r="P31" s="206">
        <f t="shared" si="5"/>
        <v>1.96</v>
      </c>
      <c r="Q31" s="206">
        <f t="shared" si="6"/>
        <v>0</v>
      </c>
      <c r="R31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31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97030</v>
      </c>
      <c r="T31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100000</v>
      </c>
      <c r="U31" s="208">
        <f ca="1">IF(Tabla336106734816[[#This Row],[Equity]]&lt;Tabla336106734816[[#This Row],[Equity Peak]],(Tabla336106734816[[#This Row],[Equity Peak]]-Tabla336106734816[[#This Row],[Equity]])/Tabla336106734816[[#This Row],[Equity Peak]],"")</f>
        <v>2.9700000000000001E-2</v>
      </c>
      <c r="V31" s="209">
        <f t="shared" si="7"/>
        <v>1.96</v>
      </c>
      <c r="W31" s="209">
        <f t="shared" si="8"/>
        <v>0</v>
      </c>
      <c r="X31" s="209">
        <f t="shared" si="9"/>
        <v>0</v>
      </c>
      <c r="Y31" s="209">
        <f t="shared" si="10"/>
        <v>0</v>
      </c>
      <c r="Z31" s="209">
        <f t="shared" si="11"/>
        <v>0</v>
      </c>
      <c r="AA31" s="205">
        <f t="shared" si="12"/>
        <v>0</v>
      </c>
      <c r="AB31" s="209">
        <f t="shared" si="13"/>
        <v>0</v>
      </c>
      <c r="AC31" s="205">
        <f t="shared" si="14"/>
        <v>0</v>
      </c>
      <c r="AD31" s="210">
        <f t="shared" si="15"/>
        <v>12.939583333332848</v>
      </c>
      <c r="AE31" s="210">
        <f t="shared" si="16"/>
        <v>12.939583333332848</v>
      </c>
      <c r="AF31" s="210">
        <f t="shared" si="17"/>
        <v>0</v>
      </c>
      <c r="AG31" s="210">
        <f t="shared" si="18"/>
        <v>0</v>
      </c>
    </row>
    <row r="32" spans="2:33" ht="15" customHeight="1" x14ac:dyDescent="0.3">
      <c r="B32" s="196" t="s">
        <v>7</v>
      </c>
      <c r="C32" s="197" t="s">
        <v>15</v>
      </c>
      <c r="D32" s="198" t="str">
        <f t="shared" si="0"/>
        <v>C</v>
      </c>
      <c r="E32" s="199">
        <v>43658.166666666664</v>
      </c>
      <c r="F32" s="200" t="s">
        <v>118</v>
      </c>
      <c r="G32" s="201">
        <v>122.193</v>
      </c>
      <c r="H32" s="201">
        <v>121.70399999999999</v>
      </c>
      <c r="I32" s="202">
        <f t="shared" si="1"/>
        <v>0.48900000000000432</v>
      </c>
      <c r="J32" s="201">
        <v>124.149</v>
      </c>
      <c r="K32" s="199">
        <v>43658.609722222223</v>
      </c>
      <c r="L32" s="201">
        <v>121.70399999999999</v>
      </c>
      <c r="M32" s="203">
        <f t="shared" si="2"/>
        <v>-0.48899999999999999</v>
      </c>
      <c r="N32" s="204">
        <f t="shared" si="3"/>
        <v>-1</v>
      </c>
      <c r="O32" s="205">
        <f t="shared" si="4"/>
        <v>0</v>
      </c>
      <c r="P32" s="206">
        <f t="shared" si="5"/>
        <v>0</v>
      </c>
      <c r="Q32" s="206">
        <f t="shared" si="6"/>
        <v>-1</v>
      </c>
      <c r="R32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32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95070</v>
      </c>
      <c r="T32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100000</v>
      </c>
      <c r="U32" s="208">
        <f ca="1">IF(Tabla336106734816[[#This Row],[Equity]]&lt;Tabla336106734816[[#This Row],[Equity Peak]],(Tabla336106734816[[#This Row],[Equity Peak]]-Tabla336106734816[[#This Row],[Equity]])/Tabla336106734816[[#This Row],[Equity Peak]],"")</f>
        <v>4.9299999999999997E-2</v>
      </c>
      <c r="V32" s="209">
        <f t="shared" si="7"/>
        <v>-1</v>
      </c>
      <c r="W32" s="209">
        <f t="shared" si="8"/>
        <v>0</v>
      </c>
      <c r="X32" s="209">
        <f t="shared" si="9"/>
        <v>0</v>
      </c>
      <c r="Y32" s="209">
        <f t="shared" si="10"/>
        <v>0</v>
      </c>
      <c r="Z32" s="209">
        <f t="shared" si="11"/>
        <v>0</v>
      </c>
      <c r="AA32" s="205">
        <f t="shared" si="12"/>
        <v>0</v>
      </c>
      <c r="AB32" s="209">
        <f t="shared" si="13"/>
        <v>0</v>
      </c>
      <c r="AC32" s="205">
        <f t="shared" si="14"/>
        <v>0</v>
      </c>
      <c r="AD32" s="210">
        <f t="shared" si="15"/>
        <v>0.44305555555911269</v>
      </c>
      <c r="AE32" s="210">
        <f t="shared" si="16"/>
        <v>0</v>
      </c>
      <c r="AF32" s="210">
        <f t="shared" si="17"/>
        <v>0.44305555555911269</v>
      </c>
      <c r="AG32" s="210">
        <f t="shared" si="18"/>
        <v>0</v>
      </c>
    </row>
    <row r="33" spans="2:33" ht="15" customHeight="1" x14ac:dyDescent="0.3">
      <c r="B33" s="196" t="s">
        <v>7</v>
      </c>
      <c r="C33" s="197" t="s">
        <v>13</v>
      </c>
      <c r="D33" s="198" t="str">
        <f t="shared" si="0"/>
        <v>C</v>
      </c>
      <c r="E33" s="199">
        <v>43657.017361111109</v>
      </c>
      <c r="F33" s="200" t="s">
        <v>118</v>
      </c>
      <c r="G33" s="201">
        <v>122.05</v>
      </c>
      <c r="H33" s="201">
        <v>122.48699999999999</v>
      </c>
      <c r="I33" s="202">
        <f t="shared" si="1"/>
        <v>0.43699999999999761</v>
      </c>
      <c r="J33" s="201">
        <v>120.301</v>
      </c>
      <c r="K33" s="199">
        <v>43658.166666666664</v>
      </c>
      <c r="L33" s="201">
        <v>122.193</v>
      </c>
      <c r="M33" s="203">
        <f t="shared" si="2"/>
        <v>-0.14299999999999999</v>
      </c>
      <c r="N33" s="204">
        <f t="shared" si="3"/>
        <v>-0.33</v>
      </c>
      <c r="O33" s="205">
        <f t="shared" si="4"/>
        <v>0</v>
      </c>
      <c r="P33" s="206">
        <f t="shared" si="5"/>
        <v>0</v>
      </c>
      <c r="Q33" s="206">
        <f t="shared" si="6"/>
        <v>-0.33</v>
      </c>
      <c r="R33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33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96070</v>
      </c>
      <c r="T33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100000</v>
      </c>
      <c r="U33" s="208">
        <f ca="1">IF(Tabla336106734816[[#This Row],[Equity]]&lt;Tabla336106734816[[#This Row],[Equity Peak]],(Tabla336106734816[[#This Row],[Equity Peak]]-Tabla336106734816[[#This Row],[Equity]])/Tabla336106734816[[#This Row],[Equity Peak]],"")</f>
        <v>3.9300000000000002E-2</v>
      </c>
      <c r="V33" s="209">
        <f t="shared" si="7"/>
        <v>-0.33</v>
      </c>
      <c r="W33" s="209">
        <f t="shared" si="8"/>
        <v>0</v>
      </c>
      <c r="X33" s="209">
        <f t="shared" si="9"/>
        <v>0</v>
      </c>
      <c r="Y33" s="209">
        <f t="shared" si="10"/>
        <v>0</v>
      </c>
      <c r="Z33" s="209">
        <f t="shared" si="11"/>
        <v>0</v>
      </c>
      <c r="AA33" s="205">
        <f t="shared" si="12"/>
        <v>0</v>
      </c>
      <c r="AB33" s="209">
        <f t="shared" si="13"/>
        <v>0</v>
      </c>
      <c r="AC33" s="205">
        <f t="shared" si="14"/>
        <v>0</v>
      </c>
      <c r="AD33" s="210">
        <f t="shared" si="15"/>
        <v>1.1493055555547471</v>
      </c>
      <c r="AE33" s="210">
        <f t="shared" si="16"/>
        <v>0</v>
      </c>
      <c r="AF33" s="210">
        <f t="shared" si="17"/>
        <v>1.1493055555547471</v>
      </c>
      <c r="AG33" s="210">
        <f t="shared" si="18"/>
        <v>0</v>
      </c>
    </row>
    <row r="34" spans="2:33" ht="15" customHeight="1" x14ac:dyDescent="0.3">
      <c r="B34" s="196" t="s">
        <v>7</v>
      </c>
      <c r="C34" s="197" t="s">
        <v>15</v>
      </c>
      <c r="D34" s="198" t="str">
        <f t="shared" si="0"/>
        <v>C</v>
      </c>
      <c r="E34" s="199">
        <v>43656.5</v>
      </c>
      <c r="F34" s="200" t="s">
        <v>118</v>
      </c>
      <c r="G34" s="201">
        <v>122.3</v>
      </c>
      <c r="H34" s="201">
        <v>121.842</v>
      </c>
      <c r="I34" s="202">
        <f t="shared" si="1"/>
        <v>0.45799999999999841</v>
      </c>
      <c r="J34" s="201">
        <v>124.13200000000001</v>
      </c>
      <c r="K34" s="199">
        <v>43657.017361111109</v>
      </c>
      <c r="L34" s="201">
        <v>122.05</v>
      </c>
      <c r="M34" s="203">
        <f t="shared" si="2"/>
        <v>-0.25</v>
      </c>
      <c r="N34" s="204">
        <f t="shared" si="3"/>
        <v>-0.55000000000000004</v>
      </c>
      <c r="O34" s="205">
        <f t="shared" si="4"/>
        <v>0</v>
      </c>
      <c r="P34" s="206">
        <f t="shared" si="5"/>
        <v>0</v>
      </c>
      <c r="Q34" s="206">
        <f t="shared" si="6"/>
        <v>-0.55000000000000004</v>
      </c>
      <c r="R34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34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96400</v>
      </c>
      <c r="T34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100000</v>
      </c>
      <c r="U34" s="208">
        <f ca="1">IF(Tabla336106734816[[#This Row],[Equity]]&lt;Tabla336106734816[[#This Row],[Equity Peak]],(Tabla336106734816[[#This Row],[Equity Peak]]-Tabla336106734816[[#This Row],[Equity]])/Tabla336106734816[[#This Row],[Equity Peak]],"")</f>
        <v>3.5999999999999997E-2</v>
      </c>
      <c r="V34" s="209">
        <f t="shared" si="7"/>
        <v>-0.55000000000000004</v>
      </c>
      <c r="W34" s="209">
        <f t="shared" si="8"/>
        <v>0</v>
      </c>
      <c r="X34" s="209">
        <f t="shared" si="9"/>
        <v>0</v>
      </c>
      <c r="Y34" s="209">
        <f t="shared" si="10"/>
        <v>0</v>
      </c>
      <c r="Z34" s="209">
        <f t="shared" si="11"/>
        <v>0</v>
      </c>
      <c r="AA34" s="205">
        <f t="shared" si="12"/>
        <v>0</v>
      </c>
      <c r="AB34" s="209">
        <f t="shared" si="13"/>
        <v>0</v>
      </c>
      <c r="AC34" s="205">
        <f t="shared" si="14"/>
        <v>0</v>
      </c>
      <c r="AD34" s="210">
        <f t="shared" si="15"/>
        <v>0.51736111110949423</v>
      </c>
      <c r="AE34" s="210">
        <f t="shared" si="16"/>
        <v>0</v>
      </c>
      <c r="AF34" s="210">
        <f t="shared" si="17"/>
        <v>0.51736111110949423</v>
      </c>
      <c r="AG34" s="210">
        <f t="shared" si="18"/>
        <v>0</v>
      </c>
    </row>
    <row r="35" spans="2:33" ht="15" customHeight="1" x14ac:dyDescent="0.3">
      <c r="B35" s="196" t="s">
        <v>7</v>
      </c>
      <c r="C35" s="197" t="s">
        <v>13</v>
      </c>
      <c r="D35" s="198" t="str">
        <f t="shared" si="0"/>
        <v>C</v>
      </c>
      <c r="E35" s="199">
        <v>43648.833333333336</v>
      </c>
      <c r="F35" s="200" t="s">
        <v>118</v>
      </c>
      <c r="G35" s="201">
        <v>121.97</v>
      </c>
      <c r="H35" s="201">
        <v>122.788</v>
      </c>
      <c r="I35" s="202">
        <f t="shared" si="1"/>
        <v>0.81799999999999784</v>
      </c>
      <c r="J35" s="201">
        <v>118.7</v>
      </c>
      <c r="K35" s="199">
        <v>43655.073611111111</v>
      </c>
      <c r="L35" s="201">
        <v>122.01300000000001</v>
      </c>
      <c r="M35" s="203">
        <f t="shared" si="2"/>
        <v>-4.2999999999999997E-2</v>
      </c>
      <c r="N35" s="204">
        <f t="shared" si="3"/>
        <v>-0.05</v>
      </c>
      <c r="O35" s="205">
        <f t="shared" si="4"/>
        <v>0</v>
      </c>
      <c r="P35" s="206">
        <f t="shared" si="5"/>
        <v>0</v>
      </c>
      <c r="Q35" s="206">
        <f t="shared" si="6"/>
        <v>-0.05</v>
      </c>
      <c r="R35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35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96950</v>
      </c>
      <c r="T35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100000</v>
      </c>
      <c r="U35" s="208">
        <f ca="1">IF(Tabla336106734816[[#This Row],[Equity]]&lt;Tabla336106734816[[#This Row],[Equity Peak]],(Tabla336106734816[[#This Row],[Equity Peak]]-Tabla336106734816[[#This Row],[Equity]])/Tabla336106734816[[#This Row],[Equity Peak]],"")</f>
        <v>3.0499999999999999E-2</v>
      </c>
      <c r="V35" s="209">
        <f t="shared" si="7"/>
        <v>-0.05</v>
      </c>
      <c r="W35" s="209">
        <f t="shared" si="8"/>
        <v>0</v>
      </c>
      <c r="X35" s="209">
        <f t="shared" si="9"/>
        <v>0</v>
      </c>
      <c r="Y35" s="209">
        <f t="shared" si="10"/>
        <v>0</v>
      </c>
      <c r="Z35" s="209">
        <f t="shared" si="11"/>
        <v>0</v>
      </c>
      <c r="AA35" s="205">
        <f t="shared" si="12"/>
        <v>0</v>
      </c>
      <c r="AB35" s="209">
        <f t="shared" si="13"/>
        <v>0</v>
      </c>
      <c r="AC35" s="205">
        <f t="shared" si="14"/>
        <v>0</v>
      </c>
      <c r="AD35" s="210">
        <f t="shared" si="15"/>
        <v>6.2402777777751908</v>
      </c>
      <c r="AE35" s="210">
        <f t="shared" si="16"/>
        <v>0</v>
      </c>
      <c r="AF35" s="210">
        <f t="shared" si="17"/>
        <v>6.2402777777751908</v>
      </c>
      <c r="AG35" s="210">
        <f t="shared" si="18"/>
        <v>0</v>
      </c>
    </row>
    <row r="36" spans="2:33" ht="15" customHeight="1" x14ac:dyDescent="0.3">
      <c r="B36" s="196" t="s">
        <v>7</v>
      </c>
      <c r="C36" s="197" t="s">
        <v>15</v>
      </c>
      <c r="D36" s="198" t="str">
        <f t="shared" si="0"/>
        <v>C</v>
      </c>
      <c r="E36" s="199">
        <v>43642.833333333336</v>
      </c>
      <c r="F36" s="200" t="s">
        <v>118</v>
      </c>
      <c r="G36" s="201">
        <v>122.562</v>
      </c>
      <c r="H36" s="201">
        <v>121.86499999999999</v>
      </c>
      <c r="I36" s="202">
        <f t="shared" si="1"/>
        <v>0.69700000000000273</v>
      </c>
      <c r="J36" s="201">
        <v>125.351</v>
      </c>
      <c r="K36" s="199">
        <v>43648.101388888892</v>
      </c>
      <c r="L36" s="201">
        <v>122.23699999999999</v>
      </c>
      <c r="M36" s="203">
        <f t="shared" si="2"/>
        <v>-0.32500000000000001</v>
      </c>
      <c r="N36" s="204">
        <f t="shared" si="3"/>
        <v>-0.47</v>
      </c>
      <c r="O36" s="205">
        <f t="shared" si="4"/>
        <v>0</v>
      </c>
      <c r="P36" s="206">
        <f t="shared" si="5"/>
        <v>0</v>
      </c>
      <c r="Q36" s="206">
        <f t="shared" si="6"/>
        <v>-0.47</v>
      </c>
      <c r="R36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36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97000</v>
      </c>
      <c r="T36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100000</v>
      </c>
      <c r="U36" s="208">
        <f ca="1">IF(Tabla336106734816[[#This Row],[Equity]]&lt;Tabla336106734816[[#This Row],[Equity Peak]],(Tabla336106734816[[#This Row],[Equity Peak]]-Tabla336106734816[[#This Row],[Equity]])/Tabla336106734816[[#This Row],[Equity Peak]],"")</f>
        <v>0.03</v>
      </c>
      <c r="V36" s="209">
        <f t="shared" si="7"/>
        <v>-0.47</v>
      </c>
      <c r="W36" s="209">
        <f t="shared" si="8"/>
        <v>0</v>
      </c>
      <c r="X36" s="209">
        <f t="shared" si="9"/>
        <v>0</v>
      </c>
      <c r="Y36" s="209">
        <f t="shared" si="10"/>
        <v>0</v>
      </c>
      <c r="Z36" s="209">
        <f t="shared" si="11"/>
        <v>0</v>
      </c>
      <c r="AA36" s="205">
        <f t="shared" si="12"/>
        <v>0</v>
      </c>
      <c r="AB36" s="209">
        <f t="shared" si="13"/>
        <v>0</v>
      </c>
      <c r="AC36" s="205">
        <f t="shared" si="14"/>
        <v>0</v>
      </c>
      <c r="AD36" s="210">
        <f t="shared" si="15"/>
        <v>5.2680555555562023</v>
      </c>
      <c r="AE36" s="210">
        <f t="shared" si="16"/>
        <v>0</v>
      </c>
      <c r="AF36" s="210">
        <f t="shared" si="17"/>
        <v>5.2680555555562023</v>
      </c>
      <c r="AG36" s="210">
        <f t="shared" si="18"/>
        <v>0</v>
      </c>
    </row>
    <row r="37" spans="2:33" ht="15" customHeight="1" x14ac:dyDescent="0.3">
      <c r="B37" s="196" t="s">
        <v>7</v>
      </c>
      <c r="C37" s="197" t="s">
        <v>13</v>
      </c>
      <c r="D37" s="198" t="str">
        <f t="shared" si="0"/>
        <v>C</v>
      </c>
      <c r="E37" s="199">
        <v>43641.333333333336</v>
      </c>
      <c r="F37" s="200" t="s">
        <v>118</v>
      </c>
      <c r="G37" s="201">
        <v>121.878</v>
      </c>
      <c r="H37" s="201">
        <v>122.59</v>
      </c>
      <c r="I37" s="202">
        <f t="shared" si="1"/>
        <v>0.7120000000000033</v>
      </c>
      <c r="J37" s="201">
        <v>119.029</v>
      </c>
      <c r="K37" s="199">
        <v>43642.61041666667</v>
      </c>
      <c r="L37" s="201">
        <v>122.467</v>
      </c>
      <c r="M37" s="203">
        <f t="shared" si="2"/>
        <v>-0.58899999999999997</v>
      </c>
      <c r="N37" s="204">
        <f t="shared" si="3"/>
        <v>-0.83</v>
      </c>
      <c r="O37" s="205">
        <f t="shared" si="4"/>
        <v>0</v>
      </c>
      <c r="P37" s="206">
        <f t="shared" si="5"/>
        <v>0</v>
      </c>
      <c r="Q37" s="206">
        <f t="shared" si="6"/>
        <v>-0.83</v>
      </c>
      <c r="R37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37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97470</v>
      </c>
      <c r="T37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100000</v>
      </c>
      <c r="U37" s="208">
        <f ca="1">IF(Tabla336106734816[[#This Row],[Equity]]&lt;Tabla336106734816[[#This Row],[Equity Peak]],(Tabla336106734816[[#This Row],[Equity Peak]]-Tabla336106734816[[#This Row],[Equity]])/Tabla336106734816[[#This Row],[Equity Peak]],"")</f>
        <v>2.53E-2</v>
      </c>
      <c r="V37" s="209">
        <f t="shared" si="7"/>
        <v>-0.83</v>
      </c>
      <c r="W37" s="209">
        <f t="shared" si="8"/>
        <v>0</v>
      </c>
      <c r="X37" s="209">
        <f t="shared" si="9"/>
        <v>0</v>
      </c>
      <c r="Y37" s="209">
        <f t="shared" si="10"/>
        <v>0</v>
      </c>
      <c r="Z37" s="209">
        <f t="shared" si="11"/>
        <v>0</v>
      </c>
      <c r="AA37" s="205">
        <f t="shared" si="12"/>
        <v>0</v>
      </c>
      <c r="AB37" s="209">
        <f t="shared" si="13"/>
        <v>0</v>
      </c>
      <c r="AC37" s="205">
        <f t="shared" si="14"/>
        <v>0</v>
      </c>
      <c r="AD37" s="210">
        <f t="shared" si="15"/>
        <v>1.2770833333343035</v>
      </c>
      <c r="AE37" s="210">
        <f t="shared" si="16"/>
        <v>0</v>
      </c>
      <c r="AF37" s="210">
        <f t="shared" si="17"/>
        <v>1.2770833333343035</v>
      </c>
      <c r="AG37" s="210">
        <f t="shared" si="18"/>
        <v>0</v>
      </c>
    </row>
    <row r="38" spans="2:33" ht="15" customHeight="1" x14ac:dyDescent="0.3">
      <c r="B38" s="196" t="s">
        <v>7</v>
      </c>
      <c r="C38" s="197" t="s">
        <v>15</v>
      </c>
      <c r="D38" s="198" t="str">
        <f t="shared" si="0"/>
        <v>C</v>
      </c>
      <c r="E38" s="199">
        <v>43640.666666666664</v>
      </c>
      <c r="F38" s="200" t="s">
        <v>118</v>
      </c>
      <c r="G38" s="201">
        <v>122.346</v>
      </c>
      <c r="H38" s="201">
        <v>121.524</v>
      </c>
      <c r="I38" s="202">
        <f t="shared" si="1"/>
        <v>0.82200000000000273</v>
      </c>
      <c r="J38" s="201">
        <v>125.634</v>
      </c>
      <c r="K38" s="199">
        <v>43641.333333333336</v>
      </c>
      <c r="L38" s="201">
        <v>121.878</v>
      </c>
      <c r="M38" s="203">
        <f t="shared" si="2"/>
        <v>-0.46800000000000003</v>
      </c>
      <c r="N38" s="204">
        <f t="shared" si="3"/>
        <v>-0.56999999999999995</v>
      </c>
      <c r="O38" s="205">
        <f t="shared" si="4"/>
        <v>0</v>
      </c>
      <c r="P38" s="206">
        <f t="shared" si="5"/>
        <v>0</v>
      </c>
      <c r="Q38" s="206">
        <f t="shared" si="6"/>
        <v>-0.56999999999999995</v>
      </c>
      <c r="R38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38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98300</v>
      </c>
      <c r="T38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100000</v>
      </c>
      <c r="U38" s="208">
        <f ca="1">IF(Tabla336106734816[[#This Row],[Equity]]&lt;Tabla336106734816[[#This Row],[Equity Peak]],(Tabla336106734816[[#This Row],[Equity Peak]]-Tabla336106734816[[#This Row],[Equity]])/Tabla336106734816[[#This Row],[Equity Peak]],"")</f>
        <v>1.7000000000000001E-2</v>
      </c>
      <c r="V38" s="209">
        <f t="shared" si="7"/>
        <v>-0.56999999999999995</v>
      </c>
      <c r="W38" s="209">
        <f t="shared" si="8"/>
        <v>0</v>
      </c>
      <c r="X38" s="209">
        <f t="shared" si="9"/>
        <v>0</v>
      </c>
      <c r="Y38" s="209">
        <f t="shared" si="10"/>
        <v>0</v>
      </c>
      <c r="Z38" s="209">
        <f t="shared" si="11"/>
        <v>0</v>
      </c>
      <c r="AA38" s="205">
        <f t="shared" si="12"/>
        <v>0</v>
      </c>
      <c r="AB38" s="209">
        <f t="shared" si="13"/>
        <v>0</v>
      </c>
      <c r="AC38" s="205">
        <f t="shared" si="14"/>
        <v>0</v>
      </c>
      <c r="AD38" s="210">
        <f t="shared" si="15"/>
        <v>0.66666666667151731</v>
      </c>
      <c r="AE38" s="210">
        <f t="shared" si="16"/>
        <v>0</v>
      </c>
      <c r="AF38" s="210">
        <f t="shared" si="17"/>
        <v>0.66666666667151731</v>
      </c>
      <c r="AG38" s="210">
        <f t="shared" si="18"/>
        <v>0</v>
      </c>
    </row>
    <row r="39" spans="2:33" ht="15" customHeight="1" x14ac:dyDescent="0.3">
      <c r="B39" s="196" t="s">
        <v>7</v>
      </c>
      <c r="C39" s="197" t="s">
        <v>13</v>
      </c>
      <c r="D39" s="198" t="str">
        <f t="shared" si="0"/>
        <v>C</v>
      </c>
      <c r="E39" s="199">
        <v>43629.166666666664</v>
      </c>
      <c r="F39" s="200" t="s">
        <v>118</v>
      </c>
      <c r="G39" s="201">
        <v>122.492</v>
      </c>
      <c r="H39" s="201">
        <v>123.004</v>
      </c>
      <c r="I39" s="202">
        <f t="shared" si="1"/>
        <v>0.51200000000000045</v>
      </c>
      <c r="J39" s="201">
        <v>120.443</v>
      </c>
      <c r="K39" s="199">
        <v>43633.609027777777</v>
      </c>
      <c r="L39" s="201">
        <v>122.096</v>
      </c>
      <c r="M39" s="203">
        <f t="shared" si="2"/>
        <v>0.39600000000000002</v>
      </c>
      <c r="N39" s="204">
        <f t="shared" si="3"/>
        <v>0.77</v>
      </c>
      <c r="O39" s="205">
        <f t="shared" si="4"/>
        <v>0</v>
      </c>
      <c r="P39" s="206">
        <f t="shared" si="5"/>
        <v>0.77</v>
      </c>
      <c r="Q39" s="206">
        <f t="shared" si="6"/>
        <v>0</v>
      </c>
      <c r="R39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39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98870</v>
      </c>
      <c r="T39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100000</v>
      </c>
      <c r="U39" s="208">
        <f ca="1">IF(Tabla336106734816[[#This Row],[Equity]]&lt;Tabla336106734816[[#This Row],[Equity Peak]],(Tabla336106734816[[#This Row],[Equity Peak]]-Tabla336106734816[[#This Row],[Equity]])/Tabla336106734816[[#This Row],[Equity Peak]],"")</f>
        <v>1.1299999999999999E-2</v>
      </c>
      <c r="V39" s="209">
        <f t="shared" si="7"/>
        <v>0.77</v>
      </c>
      <c r="W39" s="209">
        <f t="shared" si="8"/>
        <v>0</v>
      </c>
      <c r="X39" s="209">
        <f t="shared" si="9"/>
        <v>0</v>
      </c>
      <c r="Y39" s="209">
        <f t="shared" si="10"/>
        <v>0</v>
      </c>
      <c r="Z39" s="209">
        <f t="shared" si="11"/>
        <v>0</v>
      </c>
      <c r="AA39" s="205">
        <f t="shared" si="12"/>
        <v>0</v>
      </c>
      <c r="AB39" s="209">
        <f t="shared" si="13"/>
        <v>0</v>
      </c>
      <c r="AC39" s="205">
        <f t="shared" si="14"/>
        <v>0</v>
      </c>
      <c r="AD39" s="210">
        <f t="shared" si="15"/>
        <v>4.4423611111124046</v>
      </c>
      <c r="AE39" s="210">
        <f t="shared" si="16"/>
        <v>4.4423611111124046</v>
      </c>
      <c r="AF39" s="210">
        <f t="shared" si="17"/>
        <v>0</v>
      </c>
      <c r="AG39" s="210">
        <f t="shared" si="18"/>
        <v>0</v>
      </c>
    </row>
    <row r="40" spans="2:33" ht="15" customHeight="1" x14ac:dyDescent="0.3">
      <c r="B40" s="196" t="s">
        <v>7</v>
      </c>
      <c r="C40" s="197" t="s">
        <v>15</v>
      </c>
      <c r="D40" s="198" t="str">
        <f t="shared" si="0"/>
        <v>C</v>
      </c>
      <c r="E40" s="199">
        <v>43626.333333333336</v>
      </c>
      <c r="F40" s="200" t="s">
        <v>118</v>
      </c>
      <c r="G40" s="201">
        <v>122.88200000000001</v>
      </c>
      <c r="H40" s="201">
        <v>122.105</v>
      </c>
      <c r="I40" s="202">
        <f t="shared" si="1"/>
        <v>0.77700000000000102</v>
      </c>
      <c r="J40" s="201">
        <v>125.99</v>
      </c>
      <c r="K40" s="199">
        <v>43628.938888888886</v>
      </c>
      <c r="L40" s="201">
        <v>122.443</v>
      </c>
      <c r="M40" s="203">
        <f t="shared" si="2"/>
        <v>-0.439</v>
      </c>
      <c r="N40" s="204">
        <f t="shared" si="3"/>
        <v>-0.56000000000000005</v>
      </c>
      <c r="O40" s="205">
        <f t="shared" si="4"/>
        <v>0</v>
      </c>
      <c r="P40" s="206">
        <f t="shared" si="5"/>
        <v>0</v>
      </c>
      <c r="Q40" s="206">
        <f t="shared" si="6"/>
        <v>-0.56000000000000005</v>
      </c>
      <c r="R40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40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98100</v>
      </c>
      <c r="T40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100000</v>
      </c>
      <c r="U40" s="208">
        <f ca="1">IF(Tabla336106734816[[#This Row],[Equity]]&lt;Tabla336106734816[[#This Row],[Equity Peak]],(Tabla336106734816[[#This Row],[Equity Peak]]-Tabla336106734816[[#This Row],[Equity]])/Tabla336106734816[[#This Row],[Equity Peak]],"")</f>
        <v>1.9E-2</v>
      </c>
      <c r="V40" s="209">
        <f t="shared" si="7"/>
        <v>-0.56000000000000005</v>
      </c>
      <c r="W40" s="209">
        <f t="shared" si="8"/>
        <v>0</v>
      </c>
      <c r="X40" s="209">
        <f t="shared" si="9"/>
        <v>0</v>
      </c>
      <c r="Y40" s="209">
        <f t="shared" si="10"/>
        <v>0</v>
      </c>
      <c r="Z40" s="209">
        <f t="shared" si="11"/>
        <v>0</v>
      </c>
      <c r="AA40" s="205">
        <f t="shared" si="12"/>
        <v>0</v>
      </c>
      <c r="AB40" s="209">
        <f t="shared" si="13"/>
        <v>0</v>
      </c>
      <c r="AC40" s="205">
        <f t="shared" si="14"/>
        <v>0</v>
      </c>
      <c r="AD40" s="210">
        <f t="shared" si="15"/>
        <v>2.6055555555503815</v>
      </c>
      <c r="AE40" s="210">
        <f t="shared" si="16"/>
        <v>0</v>
      </c>
      <c r="AF40" s="210">
        <f t="shared" si="17"/>
        <v>2.6055555555503815</v>
      </c>
      <c r="AG40" s="210">
        <f t="shared" si="18"/>
        <v>0</v>
      </c>
    </row>
    <row r="41" spans="2:33" ht="15" customHeight="1" x14ac:dyDescent="0.3">
      <c r="B41" s="196" t="s">
        <v>7</v>
      </c>
      <c r="C41" s="197" t="s">
        <v>13</v>
      </c>
      <c r="D41" s="198" t="str">
        <f t="shared" si="0"/>
        <v>C</v>
      </c>
      <c r="E41" s="199">
        <v>43614.017361111109</v>
      </c>
      <c r="F41" s="200" t="s">
        <v>118</v>
      </c>
      <c r="G41" s="201">
        <v>121.947</v>
      </c>
      <c r="H41" s="201">
        <v>122.538</v>
      </c>
      <c r="I41" s="202">
        <f t="shared" si="1"/>
        <v>0.59099999999999397</v>
      </c>
      <c r="J41" s="201">
        <v>119.581</v>
      </c>
      <c r="K41" s="199">
        <v>43619.743750000001</v>
      </c>
      <c r="L41" s="201">
        <v>121.40300000000001</v>
      </c>
      <c r="M41" s="203">
        <f t="shared" si="2"/>
        <v>0.54400000000000004</v>
      </c>
      <c r="N41" s="204">
        <f t="shared" si="3"/>
        <v>0.92</v>
      </c>
      <c r="O41" s="205">
        <f t="shared" si="4"/>
        <v>0</v>
      </c>
      <c r="P41" s="206">
        <f t="shared" si="5"/>
        <v>0.92</v>
      </c>
      <c r="Q41" s="206">
        <f t="shared" si="6"/>
        <v>0</v>
      </c>
      <c r="R41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41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98660</v>
      </c>
      <c r="T41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100000</v>
      </c>
      <c r="U41" s="208">
        <f ca="1">IF(Tabla336106734816[[#This Row],[Equity]]&lt;Tabla336106734816[[#This Row],[Equity Peak]],(Tabla336106734816[[#This Row],[Equity Peak]]-Tabla336106734816[[#This Row],[Equity]])/Tabla336106734816[[#This Row],[Equity Peak]],"")</f>
        <v>1.34E-2</v>
      </c>
      <c r="V41" s="209">
        <f t="shared" si="7"/>
        <v>0.92</v>
      </c>
      <c r="W41" s="209">
        <f t="shared" si="8"/>
        <v>0</v>
      </c>
      <c r="X41" s="209">
        <f t="shared" si="9"/>
        <v>0</v>
      </c>
      <c r="Y41" s="209">
        <f t="shared" si="10"/>
        <v>0</v>
      </c>
      <c r="Z41" s="209">
        <f t="shared" si="11"/>
        <v>0</v>
      </c>
      <c r="AA41" s="205">
        <f t="shared" si="12"/>
        <v>0</v>
      </c>
      <c r="AB41" s="209">
        <f t="shared" si="13"/>
        <v>0</v>
      </c>
      <c r="AC41" s="205">
        <f t="shared" si="14"/>
        <v>0</v>
      </c>
      <c r="AD41" s="210">
        <f t="shared" si="15"/>
        <v>5.726388888891961</v>
      </c>
      <c r="AE41" s="210">
        <f t="shared" si="16"/>
        <v>5.726388888891961</v>
      </c>
      <c r="AF41" s="210">
        <f t="shared" si="17"/>
        <v>0</v>
      </c>
      <c r="AG41" s="210">
        <f t="shared" si="18"/>
        <v>0</v>
      </c>
    </row>
    <row r="42" spans="2:33" ht="15" customHeight="1" x14ac:dyDescent="0.3">
      <c r="B42" s="196" t="s">
        <v>7</v>
      </c>
      <c r="C42" s="197" t="s">
        <v>13</v>
      </c>
      <c r="D42" s="198" t="str">
        <f t="shared" si="0"/>
        <v>C</v>
      </c>
      <c r="E42" s="199">
        <v>43578.833333333336</v>
      </c>
      <c r="F42" s="200" t="s">
        <v>118</v>
      </c>
      <c r="G42" s="201">
        <v>125.36</v>
      </c>
      <c r="H42" s="201">
        <v>125.85</v>
      </c>
      <c r="I42" s="202">
        <f t="shared" si="1"/>
        <v>0.48999999999999488</v>
      </c>
      <c r="J42" s="201">
        <v>123.399</v>
      </c>
      <c r="K42" s="199">
        <v>43584.739583333336</v>
      </c>
      <c r="L42" s="201">
        <v>124.928</v>
      </c>
      <c r="M42" s="203">
        <f t="shared" si="2"/>
        <v>0.432</v>
      </c>
      <c r="N42" s="204">
        <f t="shared" si="3"/>
        <v>0.88</v>
      </c>
      <c r="O42" s="205">
        <f t="shared" si="4"/>
        <v>0</v>
      </c>
      <c r="P42" s="206">
        <f t="shared" si="5"/>
        <v>0.88</v>
      </c>
      <c r="Q42" s="206">
        <f t="shared" si="6"/>
        <v>0</v>
      </c>
      <c r="R42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42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97740</v>
      </c>
      <c r="T42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100000</v>
      </c>
      <c r="U42" s="208">
        <f ca="1">IF(Tabla336106734816[[#This Row],[Equity]]&lt;Tabla336106734816[[#This Row],[Equity Peak]],(Tabla336106734816[[#This Row],[Equity Peak]]-Tabla336106734816[[#This Row],[Equity]])/Tabla336106734816[[#This Row],[Equity Peak]],"")</f>
        <v>2.2599999999999999E-2</v>
      </c>
      <c r="V42" s="209">
        <f t="shared" si="7"/>
        <v>0.88</v>
      </c>
      <c r="W42" s="209">
        <f t="shared" si="8"/>
        <v>0</v>
      </c>
      <c r="X42" s="209">
        <f t="shared" si="9"/>
        <v>0</v>
      </c>
      <c r="Y42" s="209">
        <f t="shared" si="10"/>
        <v>0</v>
      </c>
      <c r="Z42" s="209">
        <f t="shared" si="11"/>
        <v>0</v>
      </c>
      <c r="AA42" s="205">
        <f t="shared" si="12"/>
        <v>0</v>
      </c>
      <c r="AB42" s="209">
        <f t="shared" si="13"/>
        <v>0</v>
      </c>
      <c r="AC42" s="205">
        <f t="shared" si="14"/>
        <v>0</v>
      </c>
      <c r="AD42" s="210">
        <f t="shared" si="15"/>
        <v>5.90625</v>
      </c>
      <c r="AE42" s="210">
        <f t="shared" si="16"/>
        <v>5.90625</v>
      </c>
      <c r="AF42" s="210">
        <f t="shared" si="17"/>
        <v>0</v>
      </c>
      <c r="AG42" s="210">
        <f t="shared" si="18"/>
        <v>0</v>
      </c>
    </row>
    <row r="43" spans="2:33" ht="15" customHeight="1" x14ac:dyDescent="0.3">
      <c r="B43" s="196" t="s">
        <v>7</v>
      </c>
      <c r="C43" s="197" t="s">
        <v>15</v>
      </c>
      <c r="D43" s="198" t="str">
        <f t="shared" si="0"/>
        <v>C</v>
      </c>
      <c r="E43" s="199">
        <v>43566.5</v>
      </c>
      <c r="F43" s="200" t="s">
        <v>118</v>
      </c>
      <c r="G43" s="201">
        <v>125.33199999999999</v>
      </c>
      <c r="H43" s="201">
        <v>124.78100000000001</v>
      </c>
      <c r="I43" s="202">
        <f t="shared" si="1"/>
        <v>0.55099999999998772</v>
      </c>
      <c r="J43" s="201">
        <v>127.538</v>
      </c>
      <c r="K43" s="199">
        <v>43573.386111111111</v>
      </c>
      <c r="L43" s="201">
        <v>126.25</v>
      </c>
      <c r="M43" s="203">
        <f t="shared" si="2"/>
        <v>0.91800000000000004</v>
      </c>
      <c r="N43" s="204">
        <f t="shared" si="3"/>
        <v>1.67</v>
      </c>
      <c r="O43" s="205">
        <f t="shared" si="4"/>
        <v>0</v>
      </c>
      <c r="P43" s="206">
        <f t="shared" si="5"/>
        <v>1.67</v>
      </c>
      <c r="Q43" s="206">
        <f t="shared" si="6"/>
        <v>0</v>
      </c>
      <c r="R43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43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96860</v>
      </c>
      <c r="T43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100000</v>
      </c>
      <c r="U43" s="208">
        <f ca="1">IF(Tabla336106734816[[#This Row],[Equity]]&lt;Tabla336106734816[[#This Row],[Equity Peak]],(Tabla336106734816[[#This Row],[Equity Peak]]-Tabla336106734816[[#This Row],[Equity]])/Tabla336106734816[[#This Row],[Equity Peak]],"")</f>
        <v>3.1399999999999997E-2</v>
      </c>
      <c r="V43" s="209">
        <f t="shared" si="7"/>
        <v>1.67</v>
      </c>
      <c r="W43" s="209">
        <f t="shared" si="8"/>
        <v>0</v>
      </c>
      <c r="X43" s="209">
        <f t="shared" si="9"/>
        <v>0</v>
      </c>
      <c r="Y43" s="209">
        <f t="shared" si="10"/>
        <v>0</v>
      </c>
      <c r="Z43" s="209">
        <f t="shared" si="11"/>
        <v>0</v>
      </c>
      <c r="AA43" s="205">
        <f t="shared" si="12"/>
        <v>0</v>
      </c>
      <c r="AB43" s="209">
        <f t="shared" si="13"/>
        <v>0</v>
      </c>
      <c r="AC43" s="205">
        <f t="shared" si="14"/>
        <v>0</v>
      </c>
      <c r="AD43" s="210">
        <f t="shared" si="15"/>
        <v>6.8861111111109494</v>
      </c>
      <c r="AE43" s="210">
        <f t="shared" si="16"/>
        <v>6.8861111111109494</v>
      </c>
      <c r="AF43" s="210">
        <f t="shared" si="17"/>
        <v>0</v>
      </c>
      <c r="AG43" s="210">
        <f t="shared" si="18"/>
        <v>0</v>
      </c>
    </row>
    <row r="44" spans="2:33" ht="15" customHeight="1" x14ac:dyDescent="0.3">
      <c r="B44" s="196" t="s">
        <v>7</v>
      </c>
      <c r="C44" s="197" t="s">
        <v>13</v>
      </c>
      <c r="D44" s="198" t="str">
        <f t="shared" si="0"/>
        <v>C</v>
      </c>
      <c r="E44" s="199">
        <v>43565.333333333336</v>
      </c>
      <c r="F44" s="200" t="s">
        <v>118</v>
      </c>
      <c r="G44" s="201">
        <v>125.139</v>
      </c>
      <c r="H44" s="201">
        <v>125.65600000000001</v>
      </c>
      <c r="I44" s="202">
        <f t="shared" si="1"/>
        <v>0.51700000000001012</v>
      </c>
      <c r="J44" s="201">
        <v>123.071</v>
      </c>
      <c r="K44" s="199">
        <v>43566.5</v>
      </c>
      <c r="L44" s="201">
        <v>125.33199999999999</v>
      </c>
      <c r="M44" s="203">
        <f t="shared" si="2"/>
        <v>-0.193</v>
      </c>
      <c r="N44" s="204">
        <f t="shared" si="3"/>
        <v>-0.37</v>
      </c>
      <c r="O44" s="205">
        <f t="shared" si="4"/>
        <v>0</v>
      </c>
      <c r="P44" s="206">
        <f t="shared" si="5"/>
        <v>0</v>
      </c>
      <c r="Q44" s="206">
        <f t="shared" si="6"/>
        <v>-0.37</v>
      </c>
      <c r="R44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44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95190</v>
      </c>
      <c r="T44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100000</v>
      </c>
      <c r="U44" s="208">
        <f ca="1">IF(Tabla336106734816[[#This Row],[Equity]]&lt;Tabla336106734816[[#This Row],[Equity Peak]],(Tabla336106734816[[#This Row],[Equity Peak]]-Tabla336106734816[[#This Row],[Equity]])/Tabla336106734816[[#This Row],[Equity Peak]],"")</f>
        <v>4.8099999999999997E-2</v>
      </c>
      <c r="V44" s="209">
        <f t="shared" si="7"/>
        <v>-0.37</v>
      </c>
      <c r="W44" s="209">
        <f t="shared" si="8"/>
        <v>0</v>
      </c>
      <c r="X44" s="209">
        <f t="shared" si="9"/>
        <v>0</v>
      </c>
      <c r="Y44" s="209">
        <f t="shared" si="10"/>
        <v>0</v>
      </c>
      <c r="Z44" s="209">
        <f t="shared" si="11"/>
        <v>0</v>
      </c>
      <c r="AA44" s="205">
        <f t="shared" si="12"/>
        <v>0</v>
      </c>
      <c r="AB44" s="209">
        <f t="shared" si="13"/>
        <v>0</v>
      </c>
      <c r="AC44" s="205">
        <f t="shared" si="14"/>
        <v>0</v>
      </c>
      <c r="AD44" s="210">
        <f t="shared" si="15"/>
        <v>1.1666666666642413</v>
      </c>
      <c r="AE44" s="210">
        <f t="shared" si="16"/>
        <v>0</v>
      </c>
      <c r="AF44" s="210">
        <f t="shared" si="17"/>
        <v>1.1666666666642413</v>
      </c>
      <c r="AG44" s="210">
        <f t="shared" si="18"/>
        <v>0</v>
      </c>
    </row>
    <row r="45" spans="2:33" ht="15" customHeight="1" x14ac:dyDescent="0.3">
      <c r="B45" s="196" t="s">
        <v>7</v>
      </c>
      <c r="C45" s="197" t="s">
        <v>15</v>
      </c>
      <c r="D45" s="198" t="str">
        <f t="shared" si="0"/>
        <v>C</v>
      </c>
      <c r="E45" s="199">
        <v>43563.666666666664</v>
      </c>
      <c r="F45" s="200" t="s">
        <v>118</v>
      </c>
      <c r="G45" s="201">
        <v>125.414</v>
      </c>
      <c r="H45" s="201">
        <v>124.89</v>
      </c>
      <c r="I45" s="202">
        <f t="shared" si="1"/>
        <v>0.52400000000000091</v>
      </c>
      <c r="J45" s="201">
        <v>127.51</v>
      </c>
      <c r="K45" s="199">
        <v>43565.268055555556</v>
      </c>
      <c r="L45" s="201">
        <v>125.09</v>
      </c>
      <c r="M45" s="203">
        <f t="shared" si="2"/>
        <v>-0.32400000000000001</v>
      </c>
      <c r="N45" s="204">
        <f t="shared" si="3"/>
        <v>-0.62</v>
      </c>
      <c r="O45" s="205">
        <f t="shared" si="4"/>
        <v>0</v>
      </c>
      <c r="P45" s="206">
        <f t="shared" si="5"/>
        <v>0</v>
      </c>
      <c r="Q45" s="206">
        <f t="shared" si="6"/>
        <v>-0.62</v>
      </c>
      <c r="R45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45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95560</v>
      </c>
      <c r="T45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100000</v>
      </c>
      <c r="U45" s="208">
        <f ca="1">IF(Tabla336106734816[[#This Row],[Equity]]&lt;Tabla336106734816[[#This Row],[Equity Peak]],(Tabla336106734816[[#This Row],[Equity Peak]]-Tabla336106734816[[#This Row],[Equity]])/Tabla336106734816[[#This Row],[Equity Peak]],"")</f>
        <v>4.4400000000000002E-2</v>
      </c>
      <c r="V45" s="209">
        <f t="shared" si="7"/>
        <v>-0.62</v>
      </c>
      <c r="W45" s="209">
        <f t="shared" si="8"/>
        <v>0</v>
      </c>
      <c r="X45" s="209">
        <f t="shared" si="9"/>
        <v>0</v>
      </c>
      <c r="Y45" s="209">
        <f t="shared" si="10"/>
        <v>0</v>
      </c>
      <c r="Z45" s="209">
        <f t="shared" si="11"/>
        <v>0</v>
      </c>
      <c r="AA45" s="205">
        <f t="shared" si="12"/>
        <v>0</v>
      </c>
      <c r="AB45" s="209">
        <f t="shared" si="13"/>
        <v>0</v>
      </c>
      <c r="AC45" s="205">
        <f t="shared" si="14"/>
        <v>0</v>
      </c>
      <c r="AD45" s="210">
        <f t="shared" si="15"/>
        <v>1.601388888891961</v>
      </c>
      <c r="AE45" s="210">
        <f t="shared" si="16"/>
        <v>0</v>
      </c>
      <c r="AF45" s="210">
        <f t="shared" si="17"/>
        <v>1.601388888891961</v>
      </c>
      <c r="AG45" s="210">
        <f t="shared" si="18"/>
        <v>0</v>
      </c>
    </row>
    <row r="46" spans="2:33" ht="15" customHeight="1" x14ac:dyDescent="0.3">
      <c r="B46" s="196" t="s">
        <v>7</v>
      </c>
      <c r="C46" s="197" t="s">
        <v>13</v>
      </c>
      <c r="D46" s="198" t="str">
        <f t="shared" ref="D46:D57" si="19">IF(E46&lt;&gt;"",IF(K46&lt;&gt;"","C","O"),"")</f>
        <v>C</v>
      </c>
      <c r="E46" s="199">
        <v>43563.333333333336</v>
      </c>
      <c r="F46" s="200" t="s">
        <v>118</v>
      </c>
      <c r="G46" s="201">
        <v>125.107</v>
      </c>
      <c r="H46" s="201">
        <v>125.604</v>
      </c>
      <c r="I46" s="202">
        <f t="shared" ref="I46:I57" si="20">ABS(G46-H46)</f>
        <v>0.49699999999999989</v>
      </c>
      <c r="J46" s="201">
        <v>123.11799999999999</v>
      </c>
      <c r="K46" s="199">
        <v>43563.666666666664</v>
      </c>
      <c r="L46" s="201">
        <v>125.414</v>
      </c>
      <c r="M46" s="203">
        <f t="shared" ref="M46:M57" si="21">ROUND(IF(C46="L",(L46-G46),(G46-L46)),4)</f>
        <v>-0.307</v>
      </c>
      <c r="N46" s="204">
        <f t="shared" ref="N46:N57" si="22">IFERROR(ROUND((M46/I46),2),"")</f>
        <v>-0.62</v>
      </c>
      <c r="O46" s="205">
        <f t="shared" ref="O46:O57" si="23">IF(D46="O",IF(N46&lt;0,N46,0),0)</f>
        <v>0</v>
      </c>
      <c r="P46" s="206">
        <f t="shared" ref="P46:P57" si="24">IF(N46&gt;= 0,N46,0)</f>
        <v>0</v>
      </c>
      <c r="Q46" s="206">
        <f t="shared" ref="Q46:Q57" si="25">IF(N46&lt;0,N46,0)</f>
        <v>-0.62</v>
      </c>
      <c r="R46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46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96180</v>
      </c>
      <c r="T46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100000</v>
      </c>
      <c r="U46" s="208">
        <f ca="1">IF(Tabla336106734816[[#This Row],[Equity]]&lt;Tabla336106734816[[#This Row],[Equity Peak]],(Tabla336106734816[[#This Row],[Equity Peak]]-Tabla336106734816[[#This Row],[Equity]])/Tabla336106734816[[#This Row],[Equity Peak]],"")</f>
        <v>3.8199999999999998E-2</v>
      </c>
      <c r="V46" s="209">
        <f t="shared" ref="V46:V57" si="26">IF(B46="FX",N46,0)</f>
        <v>-0.62</v>
      </c>
      <c r="W46" s="209">
        <f t="shared" ref="W46:W57" si="27">IF(D46="O",IF(V46&lt;0,V46,0),0)</f>
        <v>0</v>
      </c>
      <c r="X46" s="209">
        <f t="shared" ref="X46:X57" si="28">IF(B46="COM",N46,0)</f>
        <v>0</v>
      </c>
      <c r="Y46" s="209">
        <f t="shared" ref="Y46:Y57" si="29">IF(D46="O",IF(X46&lt;0,X46,0),0)</f>
        <v>0</v>
      </c>
      <c r="Z46" s="209">
        <f t="shared" ref="Z46:Z57" si="30">IF(B46="IND",N46,0)</f>
        <v>0</v>
      </c>
      <c r="AA46" s="205">
        <f t="shared" ref="AA46:AA57" si="31">IF(D46="O",IF(Z46&lt;0,Z46,0),0)</f>
        <v>0</v>
      </c>
      <c r="AB46" s="209">
        <f t="shared" ref="AB46:AB57" si="32">IF(B46="CRYPTO",N46,0)</f>
        <v>0</v>
      </c>
      <c r="AC46" s="205">
        <f t="shared" ref="AC46:AC57" si="33">IF(D46="O",IF(AB46&lt;0,AB46,0),0)</f>
        <v>0</v>
      </c>
      <c r="AD46" s="210">
        <f t="shared" ref="AD46:AD57" si="34">IF(K46&lt;&gt;"",K46-E46,0)</f>
        <v>0.33333333332848269</v>
      </c>
      <c r="AE46" s="210">
        <f t="shared" ref="AE46:AE57" si="35">IF(N46&gt;0,AD46,0)</f>
        <v>0</v>
      </c>
      <c r="AF46" s="210">
        <f t="shared" ref="AF46:AF57" si="36">IF(N46&lt;0,AD46,0)</f>
        <v>0.33333333332848269</v>
      </c>
      <c r="AG46" s="210">
        <f t="shared" ref="AG46:AG57" si="37">IF(N46=0,AD46,0)</f>
        <v>0</v>
      </c>
    </row>
    <row r="47" spans="2:33" ht="15" customHeight="1" x14ac:dyDescent="0.3">
      <c r="B47" s="196" t="s">
        <v>7</v>
      </c>
      <c r="C47" s="197" t="s">
        <v>15</v>
      </c>
      <c r="D47" s="198" t="str">
        <f t="shared" si="19"/>
        <v>C</v>
      </c>
      <c r="E47" s="199">
        <v>43559.166666666664</v>
      </c>
      <c r="F47" s="200" t="s">
        <v>118</v>
      </c>
      <c r="G47" s="201">
        <v>125.36199999999999</v>
      </c>
      <c r="H47" s="201">
        <v>124.761</v>
      </c>
      <c r="I47" s="202">
        <f t="shared" si="20"/>
        <v>0.60099999999999909</v>
      </c>
      <c r="J47" s="201">
        <v>127.764</v>
      </c>
      <c r="K47" s="199">
        <v>43563.333333333336</v>
      </c>
      <c r="L47" s="201">
        <v>125.107</v>
      </c>
      <c r="M47" s="203">
        <f t="shared" si="21"/>
        <v>-0.255</v>
      </c>
      <c r="N47" s="204">
        <f t="shared" si="22"/>
        <v>-0.42</v>
      </c>
      <c r="O47" s="205">
        <f t="shared" si="23"/>
        <v>0</v>
      </c>
      <c r="P47" s="206">
        <f t="shared" si="24"/>
        <v>0</v>
      </c>
      <c r="Q47" s="206">
        <f t="shared" si="25"/>
        <v>-0.42</v>
      </c>
      <c r="R47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47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96800</v>
      </c>
      <c r="T47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100000</v>
      </c>
      <c r="U47" s="208">
        <f ca="1">IF(Tabla336106734816[[#This Row],[Equity]]&lt;Tabla336106734816[[#This Row],[Equity Peak]],(Tabla336106734816[[#This Row],[Equity Peak]]-Tabla336106734816[[#This Row],[Equity]])/Tabla336106734816[[#This Row],[Equity Peak]],"")</f>
        <v>3.2000000000000001E-2</v>
      </c>
      <c r="V47" s="209">
        <f t="shared" si="26"/>
        <v>-0.42</v>
      </c>
      <c r="W47" s="209">
        <f t="shared" si="27"/>
        <v>0</v>
      </c>
      <c r="X47" s="209">
        <f t="shared" si="28"/>
        <v>0</v>
      </c>
      <c r="Y47" s="209">
        <f t="shared" si="29"/>
        <v>0</v>
      </c>
      <c r="Z47" s="209">
        <f t="shared" si="30"/>
        <v>0</v>
      </c>
      <c r="AA47" s="205">
        <f t="shared" si="31"/>
        <v>0</v>
      </c>
      <c r="AB47" s="209">
        <f t="shared" si="32"/>
        <v>0</v>
      </c>
      <c r="AC47" s="205">
        <f t="shared" si="33"/>
        <v>0</v>
      </c>
      <c r="AD47" s="210">
        <f t="shared" si="34"/>
        <v>4.1666666666715173</v>
      </c>
      <c r="AE47" s="210">
        <f t="shared" si="35"/>
        <v>0</v>
      </c>
      <c r="AF47" s="210">
        <f t="shared" si="36"/>
        <v>4.1666666666715173</v>
      </c>
      <c r="AG47" s="210">
        <f t="shared" si="37"/>
        <v>0</v>
      </c>
    </row>
    <row r="48" spans="2:33" ht="15" customHeight="1" x14ac:dyDescent="0.3">
      <c r="B48" s="196" t="s">
        <v>7</v>
      </c>
      <c r="C48" s="197" t="s">
        <v>13</v>
      </c>
      <c r="D48" s="198" t="str">
        <f t="shared" si="19"/>
        <v>C</v>
      </c>
      <c r="E48" s="199">
        <v>43546.5</v>
      </c>
      <c r="F48" s="200" t="s">
        <v>118</v>
      </c>
      <c r="G48" s="201">
        <v>124.917</v>
      </c>
      <c r="H48" s="201">
        <v>125.89700000000001</v>
      </c>
      <c r="I48" s="202">
        <f t="shared" si="20"/>
        <v>0.98000000000000398</v>
      </c>
      <c r="J48" s="201">
        <v>120.998</v>
      </c>
      <c r="K48" s="199">
        <v>43556.136111111111</v>
      </c>
      <c r="L48" s="201">
        <v>124.66800000000001</v>
      </c>
      <c r="M48" s="203">
        <f t="shared" si="21"/>
        <v>0.249</v>
      </c>
      <c r="N48" s="204">
        <f t="shared" si="22"/>
        <v>0.25</v>
      </c>
      <c r="O48" s="205">
        <f t="shared" si="23"/>
        <v>0</v>
      </c>
      <c r="P48" s="206">
        <f t="shared" si="24"/>
        <v>0.25</v>
      </c>
      <c r="Q48" s="206">
        <f t="shared" si="25"/>
        <v>0</v>
      </c>
      <c r="R48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48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97220</v>
      </c>
      <c r="T48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100000</v>
      </c>
      <c r="U48" s="208">
        <f ca="1">IF(Tabla336106734816[[#This Row],[Equity]]&lt;Tabla336106734816[[#This Row],[Equity Peak]],(Tabla336106734816[[#This Row],[Equity Peak]]-Tabla336106734816[[#This Row],[Equity]])/Tabla336106734816[[#This Row],[Equity Peak]],"")</f>
        <v>2.7799999999999998E-2</v>
      </c>
      <c r="V48" s="209">
        <f t="shared" si="26"/>
        <v>0.25</v>
      </c>
      <c r="W48" s="209">
        <f t="shared" si="27"/>
        <v>0</v>
      </c>
      <c r="X48" s="209">
        <f t="shared" si="28"/>
        <v>0</v>
      </c>
      <c r="Y48" s="209">
        <f t="shared" si="29"/>
        <v>0</v>
      </c>
      <c r="Z48" s="209">
        <f t="shared" si="30"/>
        <v>0</v>
      </c>
      <c r="AA48" s="205">
        <f t="shared" si="31"/>
        <v>0</v>
      </c>
      <c r="AB48" s="209">
        <f t="shared" si="32"/>
        <v>0</v>
      </c>
      <c r="AC48" s="205">
        <f t="shared" si="33"/>
        <v>0</v>
      </c>
      <c r="AD48" s="210">
        <f t="shared" si="34"/>
        <v>9.6361111111109494</v>
      </c>
      <c r="AE48" s="210">
        <f t="shared" si="35"/>
        <v>9.6361111111109494</v>
      </c>
      <c r="AF48" s="210">
        <f t="shared" si="36"/>
        <v>0</v>
      </c>
      <c r="AG48" s="210">
        <f t="shared" si="37"/>
        <v>0</v>
      </c>
    </row>
    <row r="49" spans="2:33" ht="15" customHeight="1" x14ac:dyDescent="0.3">
      <c r="B49" s="196" t="s">
        <v>7</v>
      </c>
      <c r="C49" s="197" t="s">
        <v>15</v>
      </c>
      <c r="D49" s="198" t="str">
        <f t="shared" si="19"/>
        <v>C</v>
      </c>
      <c r="E49" s="199">
        <v>43537.5</v>
      </c>
      <c r="F49" s="200" t="s">
        <v>118</v>
      </c>
      <c r="G49" s="201">
        <v>125.756</v>
      </c>
      <c r="H49" s="201">
        <v>124.88500000000001</v>
      </c>
      <c r="I49" s="202">
        <f t="shared" si="20"/>
        <v>0.87099999999999511</v>
      </c>
      <c r="J49" s="201">
        <v>129.24100000000001</v>
      </c>
      <c r="K49" s="199">
        <v>43545.272222222222</v>
      </c>
      <c r="L49" s="201">
        <v>126.19199999999999</v>
      </c>
      <c r="M49" s="203">
        <f t="shared" si="21"/>
        <v>0.436</v>
      </c>
      <c r="N49" s="204">
        <f t="shared" si="22"/>
        <v>0.5</v>
      </c>
      <c r="O49" s="205">
        <f t="shared" si="23"/>
        <v>0</v>
      </c>
      <c r="P49" s="206">
        <f t="shared" si="24"/>
        <v>0.5</v>
      </c>
      <c r="Q49" s="206">
        <f t="shared" si="25"/>
        <v>0</v>
      </c>
      <c r="R49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49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96970</v>
      </c>
      <c r="T49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100000</v>
      </c>
      <c r="U49" s="208">
        <f ca="1">IF(Tabla336106734816[[#This Row],[Equity]]&lt;Tabla336106734816[[#This Row],[Equity Peak]],(Tabla336106734816[[#This Row],[Equity Peak]]-Tabla336106734816[[#This Row],[Equity]])/Tabla336106734816[[#This Row],[Equity Peak]],"")</f>
        <v>3.0300000000000001E-2</v>
      </c>
      <c r="V49" s="209">
        <f t="shared" si="26"/>
        <v>0.5</v>
      </c>
      <c r="W49" s="209">
        <f t="shared" si="27"/>
        <v>0</v>
      </c>
      <c r="X49" s="209">
        <f t="shared" si="28"/>
        <v>0</v>
      </c>
      <c r="Y49" s="209">
        <f t="shared" si="29"/>
        <v>0</v>
      </c>
      <c r="Z49" s="209">
        <f t="shared" si="30"/>
        <v>0</v>
      </c>
      <c r="AA49" s="205">
        <f t="shared" si="31"/>
        <v>0</v>
      </c>
      <c r="AB49" s="209">
        <f t="shared" si="32"/>
        <v>0</v>
      </c>
      <c r="AC49" s="205">
        <f t="shared" si="33"/>
        <v>0</v>
      </c>
      <c r="AD49" s="210">
        <f t="shared" si="34"/>
        <v>7.7722222222218988</v>
      </c>
      <c r="AE49" s="210">
        <f t="shared" si="35"/>
        <v>7.7722222222218988</v>
      </c>
      <c r="AF49" s="210">
        <f t="shared" si="36"/>
        <v>0</v>
      </c>
      <c r="AG49" s="210">
        <f t="shared" si="37"/>
        <v>0</v>
      </c>
    </row>
    <row r="50" spans="2:33" ht="15" customHeight="1" x14ac:dyDescent="0.3">
      <c r="B50" s="196" t="s">
        <v>7</v>
      </c>
      <c r="C50" s="197" t="s">
        <v>13</v>
      </c>
      <c r="D50" s="198" t="str">
        <f t="shared" si="19"/>
        <v>C</v>
      </c>
      <c r="E50" s="199">
        <v>43532.017361111109</v>
      </c>
      <c r="F50" s="200" t="s">
        <v>118</v>
      </c>
      <c r="G50" s="201">
        <v>124.985</v>
      </c>
      <c r="H50" s="201">
        <v>125.794</v>
      </c>
      <c r="I50" s="202">
        <f t="shared" si="20"/>
        <v>0.8089999999999975</v>
      </c>
      <c r="J50" s="201">
        <v>121.749</v>
      </c>
      <c r="K50" s="199">
        <v>43536.078472222223</v>
      </c>
      <c r="L50" s="201">
        <v>125.292</v>
      </c>
      <c r="M50" s="203">
        <f t="shared" si="21"/>
        <v>-0.307</v>
      </c>
      <c r="N50" s="204">
        <f t="shared" si="22"/>
        <v>-0.38</v>
      </c>
      <c r="O50" s="205">
        <f t="shared" si="23"/>
        <v>0</v>
      </c>
      <c r="P50" s="206">
        <f t="shared" si="24"/>
        <v>0</v>
      </c>
      <c r="Q50" s="206">
        <f t="shared" si="25"/>
        <v>-0.38</v>
      </c>
      <c r="R50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50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96470</v>
      </c>
      <c r="T50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100000</v>
      </c>
      <c r="U50" s="208">
        <f ca="1">IF(Tabla336106734816[[#This Row],[Equity]]&lt;Tabla336106734816[[#This Row],[Equity Peak]],(Tabla336106734816[[#This Row],[Equity Peak]]-Tabla336106734816[[#This Row],[Equity]])/Tabla336106734816[[#This Row],[Equity Peak]],"")</f>
        <v>3.5299999999999998E-2</v>
      </c>
      <c r="V50" s="209">
        <f t="shared" si="26"/>
        <v>-0.38</v>
      </c>
      <c r="W50" s="209">
        <f t="shared" si="27"/>
        <v>0</v>
      </c>
      <c r="X50" s="209">
        <f t="shared" si="28"/>
        <v>0</v>
      </c>
      <c r="Y50" s="209">
        <f t="shared" si="29"/>
        <v>0</v>
      </c>
      <c r="Z50" s="209">
        <f t="shared" si="30"/>
        <v>0</v>
      </c>
      <c r="AA50" s="205">
        <f t="shared" si="31"/>
        <v>0</v>
      </c>
      <c r="AB50" s="209">
        <f t="shared" si="32"/>
        <v>0</v>
      </c>
      <c r="AC50" s="205">
        <f t="shared" si="33"/>
        <v>0</v>
      </c>
      <c r="AD50" s="210">
        <f t="shared" si="34"/>
        <v>4.0611111111138598</v>
      </c>
      <c r="AE50" s="210">
        <f t="shared" si="35"/>
        <v>0</v>
      </c>
      <c r="AF50" s="210">
        <f t="shared" si="36"/>
        <v>4.0611111111138598</v>
      </c>
      <c r="AG50" s="210">
        <f t="shared" si="37"/>
        <v>0</v>
      </c>
    </row>
    <row r="51" spans="2:33" ht="15" customHeight="1" x14ac:dyDescent="0.3">
      <c r="B51" s="196" t="s">
        <v>7</v>
      </c>
      <c r="C51" s="197" t="s">
        <v>15</v>
      </c>
      <c r="D51" s="198" t="str">
        <f t="shared" si="19"/>
        <v>C</v>
      </c>
      <c r="E51" s="199">
        <v>43514.666666666664</v>
      </c>
      <c r="F51" s="200" t="s">
        <v>118</v>
      </c>
      <c r="G51" s="201">
        <v>125.21899999999999</v>
      </c>
      <c r="H51" s="201">
        <v>124.491</v>
      </c>
      <c r="I51" s="202">
        <f t="shared" si="20"/>
        <v>0.72799999999999443</v>
      </c>
      <c r="J51" s="201">
        <v>128.13</v>
      </c>
      <c r="K51" s="199">
        <v>43523.343055555553</v>
      </c>
      <c r="L51" s="201">
        <v>125.625</v>
      </c>
      <c r="M51" s="203">
        <f t="shared" si="21"/>
        <v>0.40600000000000003</v>
      </c>
      <c r="N51" s="204">
        <f t="shared" si="22"/>
        <v>0.56000000000000005</v>
      </c>
      <c r="O51" s="205">
        <f t="shared" si="23"/>
        <v>0</v>
      </c>
      <c r="P51" s="206">
        <f t="shared" si="24"/>
        <v>0.56000000000000005</v>
      </c>
      <c r="Q51" s="206">
        <f t="shared" si="25"/>
        <v>0</v>
      </c>
      <c r="R51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No</v>
      </c>
      <c r="S51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96850</v>
      </c>
      <c r="T51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100000</v>
      </c>
      <c r="U51" s="208">
        <f ca="1">IF(Tabla336106734816[[#This Row],[Equity]]&lt;Tabla336106734816[[#This Row],[Equity Peak]],(Tabla336106734816[[#This Row],[Equity Peak]]-Tabla336106734816[[#This Row],[Equity]])/Tabla336106734816[[#This Row],[Equity Peak]],"")</f>
        <v>3.15E-2</v>
      </c>
      <c r="V51" s="209">
        <f t="shared" si="26"/>
        <v>0.56000000000000005</v>
      </c>
      <c r="W51" s="209">
        <f t="shared" si="27"/>
        <v>0</v>
      </c>
      <c r="X51" s="209">
        <f t="shared" si="28"/>
        <v>0</v>
      </c>
      <c r="Y51" s="209">
        <f t="shared" si="29"/>
        <v>0</v>
      </c>
      <c r="Z51" s="209">
        <f t="shared" si="30"/>
        <v>0</v>
      </c>
      <c r="AA51" s="205">
        <f t="shared" si="31"/>
        <v>0</v>
      </c>
      <c r="AB51" s="209">
        <f t="shared" si="32"/>
        <v>0</v>
      </c>
      <c r="AC51" s="205">
        <f t="shared" si="33"/>
        <v>0</v>
      </c>
      <c r="AD51" s="210">
        <f t="shared" si="34"/>
        <v>8.6763888888890506</v>
      </c>
      <c r="AE51" s="210">
        <f t="shared" si="35"/>
        <v>8.6763888888890506</v>
      </c>
      <c r="AF51" s="210">
        <f t="shared" si="36"/>
        <v>0</v>
      </c>
      <c r="AG51" s="210">
        <f t="shared" si="37"/>
        <v>0</v>
      </c>
    </row>
    <row r="52" spans="2:33" ht="15" customHeight="1" x14ac:dyDescent="0.3">
      <c r="B52" s="196" t="s">
        <v>7</v>
      </c>
      <c r="C52" s="197" t="s">
        <v>13</v>
      </c>
      <c r="D52" s="198" t="str">
        <f t="shared" si="19"/>
        <v>C</v>
      </c>
      <c r="E52" s="199">
        <v>43511.017361111109</v>
      </c>
      <c r="F52" s="200" t="s">
        <v>118</v>
      </c>
      <c r="G52" s="201">
        <v>124.821</v>
      </c>
      <c r="H52" s="201">
        <v>125.52200000000001</v>
      </c>
      <c r="I52" s="202">
        <f t="shared" si="20"/>
        <v>0.70100000000000762</v>
      </c>
      <c r="J52" s="201">
        <v>122.018</v>
      </c>
      <c r="K52" s="199">
        <v>43514.179166666669</v>
      </c>
      <c r="L52" s="201">
        <v>125.143</v>
      </c>
      <c r="M52" s="203">
        <f t="shared" si="21"/>
        <v>-0.32200000000000001</v>
      </c>
      <c r="N52" s="204">
        <f t="shared" si="22"/>
        <v>-0.46</v>
      </c>
      <c r="O52" s="205">
        <f t="shared" si="23"/>
        <v>0</v>
      </c>
      <c r="P52" s="206">
        <f t="shared" si="24"/>
        <v>0</v>
      </c>
      <c r="Q52" s="206">
        <f t="shared" si="25"/>
        <v>-0.46</v>
      </c>
      <c r="R52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Yes</v>
      </c>
      <c r="S52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96290</v>
      </c>
      <c r="T52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100000</v>
      </c>
      <c r="U52" s="208">
        <f ca="1">IF(Tabla336106734816[[#This Row],[Equity]]&lt;Tabla336106734816[[#This Row],[Equity Peak]],(Tabla336106734816[[#This Row],[Equity Peak]]-Tabla336106734816[[#This Row],[Equity]])/Tabla336106734816[[#This Row],[Equity Peak]],"")</f>
        <v>3.7100000000000001E-2</v>
      </c>
      <c r="V52" s="209">
        <f t="shared" si="26"/>
        <v>-0.46</v>
      </c>
      <c r="W52" s="209">
        <f t="shared" si="27"/>
        <v>0</v>
      </c>
      <c r="X52" s="209">
        <f t="shared" si="28"/>
        <v>0</v>
      </c>
      <c r="Y52" s="209">
        <f t="shared" si="29"/>
        <v>0</v>
      </c>
      <c r="Z52" s="209">
        <f t="shared" si="30"/>
        <v>0</v>
      </c>
      <c r="AA52" s="205">
        <f t="shared" si="31"/>
        <v>0</v>
      </c>
      <c r="AB52" s="209">
        <f t="shared" si="32"/>
        <v>0</v>
      </c>
      <c r="AC52" s="205">
        <f t="shared" si="33"/>
        <v>0</v>
      </c>
      <c r="AD52" s="210">
        <f t="shared" si="34"/>
        <v>3.1618055555591127</v>
      </c>
      <c r="AE52" s="210">
        <f t="shared" si="35"/>
        <v>0</v>
      </c>
      <c r="AF52" s="210">
        <f t="shared" si="36"/>
        <v>3.1618055555591127</v>
      </c>
      <c r="AG52" s="210">
        <f t="shared" si="37"/>
        <v>0</v>
      </c>
    </row>
    <row r="53" spans="2:33" ht="15" customHeight="1" x14ac:dyDescent="0.3">
      <c r="B53" s="196" t="s">
        <v>7</v>
      </c>
      <c r="C53" s="197" t="s">
        <v>15</v>
      </c>
      <c r="D53" s="198" t="str">
        <f t="shared" si="19"/>
        <v>C</v>
      </c>
      <c r="E53" s="199">
        <v>43509.166666666664</v>
      </c>
      <c r="F53" s="200" t="s">
        <v>118</v>
      </c>
      <c r="G53" s="201">
        <v>125.35599999999999</v>
      </c>
      <c r="H53" s="201">
        <v>124.679</v>
      </c>
      <c r="I53" s="202">
        <f t="shared" si="20"/>
        <v>0.6769999999999925</v>
      </c>
      <c r="J53" s="201">
        <v>128.06399999999999</v>
      </c>
      <c r="K53" s="199">
        <v>43511</v>
      </c>
      <c r="L53" s="201">
        <v>124.742</v>
      </c>
      <c r="M53" s="203">
        <f t="shared" si="21"/>
        <v>-0.61399999999999999</v>
      </c>
      <c r="N53" s="204">
        <f t="shared" si="22"/>
        <v>-0.91</v>
      </c>
      <c r="O53" s="205">
        <f t="shared" si="23"/>
        <v>0</v>
      </c>
      <c r="P53" s="206">
        <f t="shared" si="24"/>
        <v>0</v>
      </c>
      <c r="Q53" s="206">
        <f t="shared" si="25"/>
        <v>-0.91</v>
      </c>
      <c r="R53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Yes</v>
      </c>
      <c r="S53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96750</v>
      </c>
      <c r="T53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100000</v>
      </c>
      <c r="U53" s="208">
        <f ca="1">IF(Tabla336106734816[[#This Row],[Equity]]&lt;Tabla336106734816[[#This Row],[Equity Peak]],(Tabla336106734816[[#This Row],[Equity Peak]]-Tabla336106734816[[#This Row],[Equity]])/Tabla336106734816[[#This Row],[Equity Peak]],"")</f>
        <v>3.2500000000000001E-2</v>
      </c>
      <c r="V53" s="209">
        <f t="shared" si="26"/>
        <v>-0.91</v>
      </c>
      <c r="W53" s="209">
        <f t="shared" si="27"/>
        <v>0</v>
      </c>
      <c r="X53" s="209">
        <f t="shared" si="28"/>
        <v>0</v>
      </c>
      <c r="Y53" s="209">
        <f t="shared" si="29"/>
        <v>0</v>
      </c>
      <c r="Z53" s="209">
        <f t="shared" si="30"/>
        <v>0</v>
      </c>
      <c r="AA53" s="205">
        <f t="shared" si="31"/>
        <v>0</v>
      </c>
      <c r="AB53" s="209">
        <f t="shared" si="32"/>
        <v>0</v>
      </c>
      <c r="AC53" s="205">
        <f t="shared" si="33"/>
        <v>0</v>
      </c>
      <c r="AD53" s="210">
        <f t="shared" si="34"/>
        <v>1.8333333333357587</v>
      </c>
      <c r="AE53" s="210">
        <f t="shared" si="35"/>
        <v>0</v>
      </c>
      <c r="AF53" s="210">
        <f t="shared" si="36"/>
        <v>1.8333333333357587</v>
      </c>
      <c r="AG53" s="210">
        <f t="shared" si="37"/>
        <v>0</v>
      </c>
    </row>
    <row r="54" spans="2:33" ht="15" customHeight="1" x14ac:dyDescent="0.3">
      <c r="B54" s="196" t="s">
        <v>7</v>
      </c>
      <c r="C54" s="197" t="s">
        <v>13</v>
      </c>
      <c r="D54" s="198" t="str">
        <f t="shared" si="19"/>
        <v>C</v>
      </c>
      <c r="E54" s="199">
        <v>43502.833333333336</v>
      </c>
      <c r="F54" s="200" t="s">
        <v>118</v>
      </c>
      <c r="G54" s="201">
        <v>124.845</v>
      </c>
      <c r="H54" s="201">
        <v>125.496</v>
      </c>
      <c r="I54" s="202">
        <f t="shared" si="20"/>
        <v>0.65099999999999625</v>
      </c>
      <c r="J54" s="201">
        <v>122.24</v>
      </c>
      <c r="K54" s="199">
        <v>43508.745138888888</v>
      </c>
      <c r="L54" s="201">
        <v>124.96599999999999</v>
      </c>
      <c r="M54" s="203">
        <f t="shared" si="21"/>
        <v>-0.121</v>
      </c>
      <c r="N54" s="204">
        <f t="shared" si="22"/>
        <v>-0.19</v>
      </c>
      <c r="O54" s="205">
        <f t="shared" si="23"/>
        <v>0</v>
      </c>
      <c r="P54" s="206">
        <f t="shared" si="24"/>
        <v>0</v>
      </c>
      <c r="Q54" s="206">
        <f t="shared" si="25"/>
        <v>-0.19</v>
      </c>
      <c r="R54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Yes</v>
      </c>
      <c r="S54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97660</v>
      </c>
      <c r="T54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100000</v>
      </c>
      <c r="U54" s="208">
        <f ca="1">IF(Tabla336106734816[[#This Row],[Equity]]&lt;Tabla336106734816[[#This Row],[Equity Peak]],(Tabla336106734816[[#This Row],[Equity Peak]]-Tabla336106734816[[#This Row],[Equity]])/Tabla336106734816[[#This Row],[Equity Peak]],"")</f>
        <v>2.3400000000000001E-2</v>
      </c>
      <c r="V54" s="209">
        <f t="shared" si="26"/>
        <v>-0.19</v>
      </c>
      <c r="W54" s="209">
        <f t="shared" si="27"/>
        <v>0</v>
      </c>
      <c r="X54" s="209">
        <f t="shared" si="28"/>
        <v>0</v>
      </c>
      <c r="Y54" s="209">
        <f t="shared" si="29"/>
        <v>0</v>
      </c>
      <c r="Z54" s="209">
        <f t="shared" si="30"/>
        <v>0</v>
      </c>
      <c r="AA54" s="205">
        <f t="shared" si="31"/>
        <v>0</v>
      </c>
      <c r="AB54" s="209">
        <f t="shared" si="32"/>
        <v>0</v>
      </c>
      <c r="AC54" s="205">
        <f t="shared" si="33"/>
        <v>0</v>
      </c>
      <c r="AD54" s="210">
        <f t="shared" si="34"/>
        <v>5.9118055555518367</v>
      </c>
      <c r="AE54" s="210">
        <f t="shared" si="35"/>
        <v>0</v>
      </c>
      <c r="AF54" s="210">
        <f t="shared" si="36"/>
        <v>5.9118055555518367</v>
      </c>
      <c r="AG54" s="210">
        <f t="shared" si="37"/>
        <v>0</v>
      </c>
    </row>
    <row r="55" spans="2:33" ht="15" customHeight="1" x14ac:dyDescent="0.3">
      <c r="B55" s="196" t="s">
        <v>7</v>
      </c>
      <c r="C55" s="197" t="s">
        <v>15</v>
      </c>
      <c r="D55" s="198" t="str">
        <f t="shared" si="19"/>
        <v>C</v>
      </c>
      <c r="E55" s="199">
        <v>43497.833333333336</v>
      </c>
      <c r="F55" s="200" t="s">
        <v>118</v>
      </c>
      <c r="G55" s="201">
        <v>125.65900000000001</v>
      </c>
      <c r="H55" s="201">
        <v>124.789</v>
      </c>
      <c r="I55" s="202">
        <f t="shared" si="20"/>
        <v>0.87000000000000455</v>
      </c>
      <c r="J55" s="201">
        <v>129.13900000000001</v>
      </c>
      <c r="K55" s="199">
        <v>43502.272222222222</v>
      </c>
      <c r="L55" s="201">
        <v>125.105</v>
      </c>
      <c r="M55" s="203">
        <f t="shared" si="21"/>
        <v>-0.55400000000000005</v>
      </c>
      <c r="N55" s="204">
        <f t="shared" si="22"/>
        <v>-0.64</v>
      </c>
      <c r="O55" s="205">
        <f t="shared" si="23"/>
        <v>0</v>
      </c>
      <c r="P55" s="206">
        <f t="shared" si="24"/>
        <v>0</v>
      </c>
      <c r="Q55" s="206">
        <f t="shared" si="25"/>
        <v>-0.64</v>
      </c>
      <c r="R55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Yes</v>
      </c>
      <c r="S55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97850</v>
      </c>
      <c r="T55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100000</v>
      </c>
      <c r="U55" s="208">
        <f ca="1">IF(Tabla336106734816[[#This Row],[Equity]]&lt;Tabla336106734816[[#This Row],[Equity Peak]],(Tabla336106734816[[#This Row],[Equity Peak]]-Tabla336106734816[[#This Row],[Equity]])/Tabla336106734816[[#This Row],[Equity Peak]],"")</f>
        <v>2.1499999999999998E-2</v>
      </c>
      <c r="V55" s="209">
        <f t="shared" si="26"/>
        <v>-0.64</v>
      </c>
      <c r="W55" s="209">
        <f t="shared" si="27"/>
        <v>0</v>
      </c>
      <c r="X55" s="209">
        <f t="shared" si="28"/>
        <v>0</v>
      </c>
      <c r="Y55" s="209">
        <f t="shared" si="29"/>
        <v>0</v>
      </c>
      <c r="Z55" s="209">
        <f t="shared" si="30"/>
        <v>0</v>
      </c>
      <c r="AA55" s="205">
        <f t="shared" si="31"/>
        <v>0</v>
      </c>
      <c r="AB55" s="209">
        <f t="shared" si="32"/>
        <v>0</v>
      </c>
      <c r="AC55" s="205">
        <f t="shared" si="33"/>
        <v>0</v>
      </c>
      <c r="AD55" s="210">
        <f t="shared" si="34"/>
        <v>4.4388888888861402</v>
      </c>
      <c r="AE55" s="210">
        <f t="shared" si="35"/>
        <v>0</v>
      </c>
      <c r="AF55" s="210">
        <f t="shared" si="36"/>
        <v>4.4388888888861402</v>
      </c>
      <c r="AG55" s="210">
        <f t="shared" si="37"/>
        <v>0</v>
      </c>
    </row>
    <row r="56" spans="2:33" ht="15" customHeight="1" x14ac:dyDescent="0.3">
      <c r="B56" s="196" t="s">
        <v>7</v>
      </c>
      <c r="C56" s="197" t="s">
        <v>13</v>
      </c>
      <c r="D56" s="198" t="str">
        <f t="shared" si="19"/>
        <v>C</v>
      </c>
      <c r="E56" s="199">
        <v>43496.5</v>
      </c>
      <c r="F56" s="200" t="s">
        <v>118</v>
      </c>
      <c r="G56" s="201">
        <v>124.67400000000001</v>
      </c>
      <c r="H56" s="201">
        <v>125.389</v>
      </c>
      <c r="I56" s="202">
        <f t="shared" si="20"/>
        <v>0.7149999999999892</v>
      </c>
      <c r="J56" s="201">
        <v>121.815</v>
      </c>
      <c r="K56" s="199">
        <v>43497.717361111114</v>
      </c>
      <c r="L56" s="201">
        <v>125.255</v>
      </c>
      <c r="M56" s="203">
        <f t="shared" si="21"/>
        <v>-0.58099999999999996</v>
      </c>
      <c r="N56" s="204">
        <f t="shared" si="22"/>
        <v>-0.81</v>
      </c>
      <c r="O56" s="205">
        <f t="shared" si="23"/>
        <v>0</v>
      </c>
      <c r="P56" s="206">
        <f t="shared" si="24"/>
        <v>0</v>
      </c>
      <c r="Q56" s="206">
        <f t="shared" si="25"/>
        <v>-0.81</v>
      </c>
      <c r="R56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Yes</v>
      </c>
      <c r="S56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98490</v>
      </c>
      <c r="T56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100000</v>
      </c>
      <c r="U56" s="208">
        <f ca="1">IF(Tabla336106734816[[#This Row],[Equity]]&lt;Tabla336106734816[[#This Row],[Equity Peak]],(Tabla336106734816[[#This Row],[Equity Peak]]-Tabla336106734816[[#This Row],[Equity]])/Tabla336106734816[[#This Row],[Equity Peak]],"")</f>
        <v>1.5100000000000001E-2</v>
      </c>
      <c r="V56" s="209">
        <f t="shared" si="26"/>
        <v>-0.81</v>
      </c>
      <c r="W56" s="209">
        <f t="shared" si="27"/>
        <v>0</v>
      </c>
      <c r="X56" s="209">
        <f t="shared" si="28"/>
        <v>0</v>
      </c>
      <c r="Y56" s="209">
        <f t="shared" si="29"/>
        <v>0</v>
      </c>
      <c r="Z56" s="209">
        <f t="shared" si="30"/>
        <v>0</v>
      </c>
      <c r="AA56" s="205">
        <f t="shared" si="31"/>
        <v>0</v>
      </c>
      <c r="AB56" s="209">
        <f t="shared" si="32"/>
        <v>0</v>
      </c>
      <c r="AC56" s="205">
        <f t="shared" si="33"/>
        <v>0</v>
      </c>
      <c r="AD56" s="210">
        <f t="shared" si="34"/>
        <v>1.2173611111138598</v>
      </c>
      <c r="AE56" s="210">
        <f t="shared" si="35"/>
        <v>0</v>
      </c>
      <c r="AF56" s="210">
        <f t="shared" si="36"/>
        <v>1.2173611111138598</v>
      </c>
      <c r="AG56" s="210">
        <f t="shared" si="37"/>
        <v>0</v>
      </c>
    </row>
    <row r="57" spans="2:33" ht="15" customHeight="1" x14ac:dyDescent="0.3">
      <c r="B57" s="196" t="s">
        <v>7</v>
      </c>
      <c r="C57" s="197" t="s">
        <v>15</v>
      </c>
      <c r="D57" s="198" t="str">
        <f t="shared" si="19"/>
        <v>C</v>
      </c>
      <c r="E57" s="199">
        <v>43494.5</v>
      </c>
      <c r="F57" s="200" t="s">
        <v>118</v>
      </c>
      <c r="G57" s="201">
        <v>125.232</v>
      </c>
      <c r="H57" s="201">
        <v>124.43300000000001</v>
      </c>
      <c r="I57" s="202">
        <f t="shared" si="20"/>
        <v>0.79899999999999238</v>
      </c>
      <c r="J57" s="201">
        <v>128.42699999999999</v>
      </c>
      <c r="K57" s="199">
        <v>43496.5</v>
      </c>
      <c r="L57" s="201">
        <v>124.67400000000001</v>
      </c>
      <c r="M57" s="203">
        <f t="shared" si="21"/>
        <v>-0.55800000000000005</v>
      </c>
      <c r="N57" s="204">
        <f t="shared" si="22"/>
        <v>-0.7</v>
      </c>
      <c r="O57" s="205">
        <f t="shared" si="23"/>
        <v>0</v>
      </c>
      <c r="P57" s="206">
        <f t="shared" si="24"/>
        <v>0</v>
      </c>
      <c r="Q57" s="206">
        <f t="shared" si="25"/>
        <v>-0.7</v>
      </c>
      <c r="R57" s="206" t="str">
        <f ca="1">IF(AND(OFFSET(Tabla336106734816[[#This Row],[Equity]],1,0)="",Tabla336106734816[[#This Row],[No. of Rs]]&lt;0),"Yes",IF(AND(OFFSET(Tabla336106734816[[#This Row],[Initial Losing Trade]],1,0)="Yes",Tabla336106734816[[#This Row],[No. of Rs]]&lt;0),"Yes","No"))</f>
        <v>Yes</v>
      </c>
      <c r="S57" s="207">
        <f ca="1">IF(OFFSET(Tabla336106734816[[#This Row],[Equity]],1,0)="",IF(Tabla336106734816[[#This Row],[No. of Rs]]="",$F$11,$F$11+($F$11*Tabla336106734816[[#This Row],[No. of Rs]]/100)),IF(Tabla336106734816[[#This Row],[No. of Rs]]="",OFFSET(Tabla336106734816[[#This Row],[Equity]],1,0),OFFSET(Tabla336106734816[[#This Row],[Equity]],1,0)+($F$11*Tabla336106734816[[#This Row],[No. of Rs]]/100)))</f>
        <v>99300</v>
      </c>
      <c r="T57" s="207">
        <f ca="1">IF(OFFSET(Tabla336106734816[[#This Row],[Equity Peak]],1,0)="",IF(Tabla336106734816[[#This Row],[Initial Losing Trade]]="Yes",$F$11,Tabla336106734816[[#This Row],[Equity]]),IF(OFFSET(Tabla336106734816[[#This Row],[Equity Peak]],1,0)&gt;Tabla336106734816[[#This Row],[Equity]],OFFSET(Tabla336106734816[[#This Row],[Equity Peak]],1,0),Tabla336106734816[[#This Row],[Equity]]))</f>
        <v>100000</v>
      </c>
      <c r="U57" s="208">
        <f ca="1">IF(Tabla336106734816[[#This Row],[Equity]]&lt;Tabla336106734816[[#This Row],[Equity Peak]],(Tabla336106734816[[#This Row],[Equity Peak]]-Tabla336106734816[[#This Row],[Equity]])/Tabla336106734816[[#This Row],[Equity Peak]],"")</f>
        <v>7.0000000000000001E-3</v>
      </c>
      <c r="V57" s="209">
        <f t="shared" si="26"/>
        <v>-0.7</v>
      </c>
      <c r="W57" s="209">
        <f t="shared" si="27"/>
        <v>0</v>
      </c>
      <c r="X57" s="209">
        <f t="shared" si="28"/>
        <v>0</v>
      </c>
      <c r="Y57" s="209">
        <f t="shared" si="29"/>
        <v>0</v>
      </c>
      <c r="Z57" s="209">
        <f t="shared" si="30"/>
        <v>0</v>
      </c>
      <c r="AA57" s="205">
        <f t="shared" si="31"/>
        <v>0</v>
      </c>
      <c r="AB57" s="209">
        <f t="shared" si="32"/>
        <v>0</v>
      </c>
      <c r="AC57" s="205">
        <f t="shared" si="33"/>
        <v>0</v>
      </c>
      <c r="AD57" s="210">
        <f t="shared" si="34"/>
        <v>2</v>
      </c>
      <c r="AE57" s="210">
        <f t="shared" si="35"/>
        <v>0</v>
      </c>
      <c r="AF57" s="210">
        <f t="shared" si="36"/>
        <v>2</v>
      </c>
      <c r="AG57" s="210">
        <f t="shared" si="37"/>
        <v>0</v>
      </c>
    </row>
  </sheetData>
  <sheetProtection algorithmName="SHA-512" hashValue="q5AnlgXPdurUj+GVdDXpZZBIFbO3JqVMgM4pA3tqeo3QciXNdkgGgOM79Au3OVofECqopDYx7iD3CpzjJPva5Q==" saltValue="l8xMvRZ71gd1YeUtEPHXUw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713" priority="3" operator="equal">
      <formula>"OK"</formula>
    </cfRule>
    <cfRule type="cellIs" dxfId="712" priority="4" operator="equal">
      <formula>"warning"</formula>
    </cfRule>
  </conditionalFormatting>
  <conditionalFormatting sqref="F13">
    <cfRule type="cellIs" dxfId="711" priority="1" operator="equal">
      <formula>"OK"</formula>
    </cfRule>
    <cfRule type="cellIs" dxfId="710" priority="2" operator="equal">
      <formula>"Error!!"</formula>
    </cfRule>
  </conditionalFormatting>
  <conditionalFormatting sqref="E15:H15 K15:L15">
    <cfRule type="expression" dxfId="709" priority="5">
      <formula>+$D15=#REF!</formula>
    </cfRule>
    <cfRule type="expression" dxfId="708" priority="6">
      <formula>+$D15=#REF!</formula>
    </cfRule>
  </conditionalFormatting>
  <conditionalFormatting sqref="D15 K16:L16 D16:H57 J17:L57">
    <cfRule type="expression" dxfId="707" priority="7">
      <formula>+$D15=$AG$8</formula>
    </cfRule>
    <cfRule type="expression" dxfId="706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5:B16" xr:uid="{CEAA413B-3825-4AF3-806E-975F1032741B}">
      <formula1>$AE$4:$AE$6</formula1>
    </dataValidation>
    <dataValidation type="list" allowBlank="1" showInputMessage="1" showErrorMessage="1" promptTitle="Trade Direction" prompt="Select from List" sqref="C15:C16" xr:uid="{AAFCF327-F168-4519-8DDE-A1E371A930D3}">
      <formula1>$AG$4:$AG$5</formula1>
    </dataValidation>
    <dataValidation type="list" allowBlank="1" showInputMessage="1" showErrorMessage="1" promptTitle="Instrument Type" prompt="Select Type from List_x000a_" sqref="B17:B57" xr:uid="{A51C9717-EF40-4CAF-B5E0-3F8474C4E01C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4BF39-94DC-4895-A3D4-EDB934FBE3CF}">
  <sheetPr codeName="Hoja12">
    <pageSetUpPr fitToPage="1"/>
  </sheetPr>
  <dimension ref="A1:AX31"/>
  <sheetViews>
    <sheetView showGridLines="0" showZeros="0" tabSelected="1" zoomScale="115" zoomScaleNormal="115" zoomScalePageLayoutView="99" workbookViewId="0">
      <pane ySplit="16" topLeftCell="A17" activePane="bottomLeft" state="frozen"/>
      <selection activeCell="E2" sqref="E2:N5"/>
      <selection pane="bottomLeft" activeCell="E2" sqref="E2:N5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123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COUNTA(Tabla33610673484[Inst])</f>
        <v>15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7.34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7.34</v>
      </c>
      <c r="W6" s="18"/>
      <c r="X6" s="17">
        <f>+X13</f>
        <v>0</v>
      </c>
      <c r="Y6" s="19"/>
      <c r="Z6" s="17">
        <f>+Z13</f>
        <v>0</v>
      </c>
      <c r="AA6" s="19"/>
      <c r="AB6" s="17">
        <f>+AB13</f>
        <v>0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COUNTIF(Tabla33610673484[No. of Rs],"&gt;0")</f>
        <v>11</v>
      </c>
      <c r="G7" s="24">
        <f>IFERROR((F7/$F$6),"")</f>
        <v>0.73333333333333328</v>
      </c>
      <c r="H7" s="78">
        <f>IFERROR((+P13/F7),"")</f>
        <v>0.79090909090909101</v>
      </c>
      <c r="I7" s="227">
        <f>H7/H9</f>
        <v>2.3262032085561497</v>
      </c>
      <c r="J7" s="227">
        <f>AVERAGE(Tabla33610673484[No. of Rs])</f>
        <v>0.48933333333333334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1</v>
      </c>
      <c r="W7" s="27"/>
      <c r="X7" s="26">
        <f>IFERROR((X6/N6),"")</f>
        <v>0</v>
      </c>
      <c r="Y7" s="28"/>
      <c r="Z7" s="26">
        <f>IFERROR((Z6/N6),"")</f>
        <v>0</v>
      </c>
      <c r="AA7" s="28"/>
      <c r="AB7" s="26">
        <f>IFERROR((AB6/N6),"")</f>
        <v>0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COUNTIF(Tabla33610673484[No. of Rs],"=0")</f>
        <v>0</v>
      </c>
      <c r="G8" s="24">
        <f>IFERROR((F8/$F$6),"")</f>
        <v>0</v>
      </c>
      <c r="H8" s="78"/>
      <c r="I8" s="228"/>
      <c r="J8" s="228"/>
      <c r="K8" s="163"/>
      <c r="L8" s="212" t="s">
        <v>112</v>
      </c>
      <c r="M8" s="213"/>
      <c r="N8" s="195">
        <f ca="1">OFFSET(Tabla33610673484[[#Headers],[Equity]],1,0)</f>
        <v>107340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COUNTIF(Tabla33610673484[No. of Rs],"&lt;0")</f>
        <v>4</v>
      </c>
      <c r="G9" s="32">
        <f>IFERROR((F9/$F$6),"")</f>
        <v>0.26666666666666666</v>
      </c>
      <c r="H9" s="79">
        <f>IFERROR((-Q13/F9),"")</f>
        <v>0.34</v>
      </c>
      <c r="I9" s="229"/>
      <c r="J9" s="229"/>
      <c r="K9" s="149"/>
      <c r="L9" s="230" t="s">
        <v>106</v>
      </c>
      <c r="M9" s="231"/>
      <c r="N9" s="125">
        <f ca="1">MAX(Tabla33610673484[Drawdown])</f>
        <v>7.1874408927558161E-3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 t="str">
        <f ca="1">OFFSET(Tabla33610673484[[#Headers],[Drawdown]],1,0)</f>
        <v/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COUNTIF(Tabla33610673484[Heat],"&lt;0")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IF(COUNTIFS(Tabla33610673484[O/C],"O")&lt;1,"None",COUNTIFS(Tabla33610673484[O/C],"O"))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SUM(Tabla33610673484[No. of Rs])</f>
        <v>7.34</v>
      </c>
      <c r="O13" s="42">
        <f>SUM(Tabla33610673484[Heat])</f>
        <v>0</v>
      </c>
      <c r="P13" s="43">
        <f>SUM(Tabla33610673484[[ TR WIN]])</f>
        <v>8.7000000000000011</v>
      </c>
      <c r="Q13" s="43">
        <f>SUM(Tabla33610673484[[ TR LOSS]])</f>
        <v>-1.36</v>
      </c>
      <c r="R13" s="114"/>
      <c r="S13" s="115"/>
      <c r="T13" s="115"/>
      <c r="U13" s="121"/>
      <c r="V13" s="44">
        <f>SUM(Tabla33610673484[Currency])</f>
        <v>7.34</v>
      </c>
      <c r="W13" s="44">
        <f>SUM(Tabla33610673484[Heat3])</f>
        <v>0</v>
      </c>
      <c r="X13" s="44">
        <f>SUM(Tabla33610673484[Commodities])</f>
        <v>0</v>
      </c>
      <c r="Y13" s="44">
        <f>SUM(Tabla33610673484[Heat4])</f>
        <v>0</v>
      </c>
      <c r="Z13" s="44">
        <f>SUM(Tabla33610673484[Index])</f>
        <v>0</v>
      </c>
      <c r="AA13" s="44">
        <f>SUM(Tabla33610673484[Heat5])</f>
        <v>0</v>
      </c>
      <c r="AB13" s="44">
        <f>SUM(Tabla33610673484[Cryptocurrency])</f>
        <v>0</v>
      </c>
      <c r="AC13" s="44">
        <f>SUM(Tabla33610673484[Heat6])</f>
        <v>0</v>
      </c>
      <c r="AD13" s="75">
        <f>AVERAGEIF(Tabla33610673484[Length of 
Trade],"&lt;&gt;0")</f>
        <v>5.2597222222233544</v>
      </c>
      <c r="AE13" s="75">
        <f>AVERAGEIF(Tabla33610673484[Win],"&lt;&gt;0")</f>
        <v>6.1611742424257416</v>
      </c>
      <c r="AF13" s="75">
        <f>AVERAGEIF(Tabla33610673484[Loss],"&lt;&gt;0")</f>
        <v>2.7807291666667879</v>
      </c>
      <c r="AG13" s="76" t="e">
        <f>AVERAGEIF(Tabla33610673484[Breakeven],"&lt;&gt;0")</f>
        <v>#DIV/0!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2:33" ht="15" customHeight="1" x14ac:dyDescent="0.3">
      <c r="B17" s="196" t="s">
        <v>7</v>
      </c>
      <c r="C17" s="197" t="s">
        <v>13</v>
      </c>
      <c r="D17" s="198" t="str">
        <f t="shared" ref="D17:D31" si="0">IF(E17&lt;&gt;"",IF(K17&lt;&gt;"","C","O"),"")</f>
        <v>C</v>
      </c>
      <c r="E17" s="199">
        <v>43791.833333333336</v>
      </c>
      <c r="F17" s="200" t="s">
        <v>117</v>
      </c>
      <c r="G17" s="201">
        <v>1.10236</v>
      </c>
      <c r="H17" s="201">
        <v>1.10677</v>
      </c>
      <c r="I17" s="202">
        <f t="shared" ref="I17:I31" si="1">ABS(G17-H17)</f>
        <v>4.410000000000025E-3</v>
      </c>
      <c r="J17" s="201">
        <v>1.0741499999999999</v>
      </c>
      <c r="K17" s="199">
        <v>43798.745833333334</v>
      </c>
      <c r="L17" s="201">
        <v>1.1014200000000001</v>
      </c>
      <c r="M17" s="203">
        <f t="shared" ref="M17:M31" si="2">ROUND(IF(C17="L",(L17-G17),(G17-L17)),4)</f>
        <v>8.9999999999999998E-4</v>
      </c>
      <c r="N17" s="204">
        <f t="shared" ref="N17:N31" si="3">IFERROR(ROUND((M17/I17),2),"")</f>
        <v>0.2</v>
      </c>
      <c r="O17" s="205">
        <f t="shared" ref="O17:O31" si="4">IF(D17="O",IF(N17&lt;0,N17,0),0)</f>
        <v>0</v>
      </c>
      <c r="P17" s="206">
        <f t="shared" ref="P17:P31" si="5">IF(N17&gt;= 0,N17,0)</f>
        <v>0.2</v>
      </c>
      <c r="Q17" s="206">
        <f t="shared" ref="Q17:Q31" si="6">IF(N17&lt;0,N17,0)</f>
        <v>0</v>
      </c>
      <c r="R17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17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107340</v>
      </c>
      <c r="T17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107340</v>
      </c>
      <c r="U17" s="208" t="str">
        <f ca="1">IF(Tabla33610673484[[#This Row],[Equity]]&lt;Tabla33610673484[[#This Row],[Equity Peak]],(Tabla33610673484[[#This Row],[Equity Peak]]-Tabla33610673484[[#This Row],[Equity]])/Tabla33610673484[[#This Row],[Equity Peak]],"")</f>
        <v/>
      </c>
      <c r="V17" s="209">
        <f t="shared" ref="V17:V31" si="7">IF(B17="FX",N17,0)</f>
        <v>0.2</v>
      </c>
      <c r="W17" s="209">
        <f t="shared" ref="W17:W31" si="8">IF(D17="O",IF(V17&lt;0,V17,0),0)</f>
        <v>0</v>
      </c>
      <c r="X17" s="209">
        <f t="shared" ref="X17:X31" si="9">IF(B17="COM",N17,0)</f>
        <v>0</v>
      </c>
      <c r="Y17" s="209">
        <f t="shared" ref="Y17:Y31" si="10">IF(D17="O",IF(X17&lt;0,X17,0),0)</f>
        <v>0</v>
      </c>
      <c r="Z17" s="209">
        <f t="shared" ref="Z17:Z31" si="11">IF(B17="IND",N17,0)</f>
        <v>0</v>
      </c>
      <c r="AA17" s="205">
        <f t="shared" ref="AA17:AA31" si="12">IF(D17="O",IF(Z17&lt;0,Z17,0),0)</f>
        <v>0</v>
      </c>
      <c r="AB17" s="209">
        <f t="shared" ref="AB17:AB31" si="13">IF(B17="CRYPTO",N17,0)</f>
        <v>0</v>
      </c>
      <c r="AC17" s="205">
        <f t="shared" ref="AC17:AC31" si="14">IF(D17="O",IF(AB17&lt;0,AB17,0),0)</f>
        <v>0</v>
      </c>
      <c r="AD17" s="210">
        <f t="shared" ref="AD17:AD31" si="15">IF(K17&lt;&gt;"",K17-E17,0)</f>
        <v>6.9124999999985448</v>
      </c>
      <c r="AE17" s="210">
        <f t="shared" ref="AE17:AE31" si="16">IF(N17&gt;0,AD17,0)</f>
        <v>6.9124999999985448</v>
      </c>
      <c r="AF17" s="210">
        <f t="shared" ref="AF17:AF31" si="17">IF(N17&lt;0,AD17,0)</f>
        <v>0</v>
      </c>
      <c r="AG17" s="210">
        <f t="shared" ref="AG17:AG31" si="18">IF(N17=0,AD17,0)</f>
        <v>0</v>
      </c>
    </row>
    <row r="18" spans="2:33" ht="15" customHeight="1" x14ac:dyDescent="0.3">
      <c r="B18" s="196" t="s">
        <v>7</v>
      </c>
      <c r="C18" s="197" t="s">
        <v>13</v>
      </c>
      <c r="D18" s="198" t="str">
        <f t="shared" si="0"/>
        <v>C</v>
      </c>
      <c r="E18" s="199">
        <v>43777.017361111109</v>
      </c>
      <c r="F18" s="200" t="s">
        <v>117</v>
      </c>
      <c r="G18" s="201">
        <v>1.10466</v>
      </c>
      <c r="H18" s="201">
        <v>1.1091899999999999</v>
      </c>
      <c r="I18" s="202">
        <f t="shared" si="1"/>
        <v>4.529999999999923E-3</v>
      </c>
      <c r="J18" s="201">
        <v>1.07568</v>
      </c>
      <c r="K18" s="199">
        <v>43783.943055555559</v>
      </c>
      <c r="L18" s="201">
        <v>1.1027100000000001</v>
      </c>
      <c r="M18" s="203">
        <f t="shared" si="2"/>
        <v>1.9E-3</v>
      </c>
      <c r="N18" s="204">
        <f t="shared" si="3"/>
        <v>0.42</v>
      </c>
      <c r="O18" s="205">
        <f t="shared" si="4"/>
        <v>0</v>
      </c>
      <c r="P18" s="206">
        <f t="shared" si="5"/>
        <v>0.42</v>
      </c>
      <c r="Q18" s="206">
        <f t="shared" si="6"/>
        <v>0</v>
      </c>
      <c r="R18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18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107140</v>
      </c>
      <c r="T18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107140</v>
      </c>
      <c r="U18" s="208" t="str">
        <f ca="1">IF(Tabla33610673484[[#This Row],[Equity]]&lt;Tabla33610673484[[#This Row],[Equity Peak]],(Tabla33610673484[[#This Row],[Equity Peak]]-Tabla33610673484[[#This Row],[Equity]])/Tabla33610673484[[#This Row],[Equity Peak]],"")</f>
        <v/>
      </c>
      <c r="V18" s="209">
        <f t="shared" si="7"/>
        <v>0.42</v>
      </c>
      <c r="W18" s="209">
        <f t="shared" si="8"/>
        <v>0</v>
      </c>
      <c r="X18" s="209">
        <f t="shared" si="9"/>
        <v>0</v>
      </c>
      <c r="Y18" s="209">
        <f t="shared" si="10"/>
        <v>0</v>
      </c>
      <c r="Z18" s="209">
        <f t="shared" si="11"/>
        <v>0</v>
      </c>
      <c r="AA18" s="205">
        <f t="shared" si="12"/>
        <v>0</v>
      </c>
      <c r="AB18" s="209">
        <f t="shared" si="13"/>
        <v>0</v>
      </c>
      <c r="AC18" s="205">
        <f t="shared" si="14"/>
        <v>0</v>
      </c>
      <c r="AD18" s="210">
        <f t="shared" si="15"/>
        <v>6.9256944444496185</v>
      </c>
      <c r="AE18" s="210">
        <f t="shared" si="16"/>
        <v>6.9256944444496185</v>
      </c>
      <c r="AF18" s="210">
        <f t="shared" si="17"/>
        <v>0</v>
      </c>
      <c r="AG18" s="210">
        <f t="shared" si="18"/>
        <v>0</v>
      </c>
    </row>
    <row r="19" spans="2:33" ht="15" customHeight="1" x14ac:dyDescent="0.3">
      <c r="B19" s="196" t="s">
        <v>7</v>
      </c>
      <c r="C19" s="197" t="s">
        <v>13</v>
      </c>
      <c r="D19" s="198" t="str">
        <f t="shared" si="0"/>
        <v>C</v>
      </c>
      <c r="E19" s="199">
        <v>43735.017361111109</v>
      </c>
      <c r="F19" s="200" t="s">
        <v>117</v>
      </c>
      <c r="G19" s="201">
        <v>1.0921000000000001</v>
      </c>
      <c r="H19" s="201">
        <v>1.09816</v>
      </c>
      <c r="I19" s="202">
        <f t="shared" si="1"/>
        <v>6.0599999999999543E-3</v>
      </c>
      <c r="J19" s="201">
        <v>1.05331</v>
      </c>
      <c r="K19" s="199">
        <v>43739.774305555555</v>
      </c>
      <c r="L19" s="201">
        <v>1.09379</v>
      </c>
      <c r="M19" s="203">
        <f t="shared" si="2"/>
        <v>-1.6999999999999999E-3</v>
      </c>
      <c r="N19" s="204">
        <f t="shared" si="3"/>
        <v>-0.28000000000000003</v>
      </c>
      <c r="O19" s="205">
        <f t="shared" si="4"/>
        <v>0</v>
      </c>
      <c r="P19" s="206">
        <f t="shared" si="5"/>
        <v>0</v>
      </c>
      <c r="Q19" s="206">
        <f t="shared" si="6"/>
        <v>-0.28000000000000003</v>
      </c>
      <c r="R19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19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106720</v>
      </c>
      <c r="T19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107070</v>
      </c>
      <c r="U19" s="208">
        <f ca="1">IF(Tabla33610673484[[#This Row],[Equity]]&lt;Tabla33610673484[[#This Row],[Equity Peak]],(Tabla33610673484[[#This Row],[Equity Peak]]-Tabla33610673484[[#This Row],[Equity]])/Tabla33610673484[[#This Row],[Equity Peak]],"")</f>
        <v>3.2688895115345101E-3</v>
      </c>
      <c r="V19" s="209">
        <f t="shared" si="7"/>
        <v>-0.28000000000000003</v>
      </c>
      <c r="W19" s="209">
        <f t="shared" si="8"/>
        <v>0</v>
      </c>
      <c r="X19" s="209">
        <f t="shared" si="9"/>
        <v>0</v>
      </c>
      <c r="Y19" s="209">
        <f t="shared" si="10"/>
        <v>0</v>
      </c>
      <c r="Z19" s="209">
        <f t="shared" si="11"/>
        <v>0</v>
      </c>
      <c r="AA19" s="205">
        <f t="shared" si="12"/>
        <v>0</v>
      </c>
      <c r="AB19" s="209">
        <f t="shared" si="13"/>
        <v>0</v>
      </c>
      <c r="AC19" s="205">
        <f t="shared" si="14"/>
        <v>0</v>
      </c>
      <c r="AD19" s="210">
        <f t="shared" si="15"/>
        <v>4.7569444444452529</v>
      </c>
      <c r="AE19" s="210">
        <f t="shared" si="16"/>
        <v>0</v>
      </c>
      <c r="AF19" s="210">
        <f t="shared" si="17"/>
        <v>4.7569444444452529</v>
      </c>
      <c r="AG19" s="210">
        <f t="shared" si="18"/>
        <v>0</v>
      </c>
    </row>
    <row r="20" spans="2:33" ht="15" customHeight="1" x14ac:dyDescent="0.3">
      <c r="B20" s="196" t="s">
        <v>7</v>
      </c>
      <c r="C20" s="197" t="s">
        <v>13</v>
      </c>
      <c r="D20" s="198" t="str">
        <f t="shared" si="0"/>
        <v>C</v>
      </c>
      <c r="E20" s="199">
        <v>43707.833333333336</v>
      </c>
      <c r="F20" s="200" t="s">
        <v>117</v>
      </c>
      <c r="G20" s="201">
        <v>1.0987499999999999</v>
      </c>
      <c r="H20" s="201">
        <v>1.1033299999999999</v>
      </c>
      <c r="I20" s="202">
        <f t="shared" si="1"/>
        <v>4.5800000000000285E-3</v>
      </c>
      <c r="J20" s="201">
        <v>1.06945</v>
      </c>
      <c r="K20" s="199">
        <v>43712.387499999997</v>
      </c>
      <c r="L20" s="201">
        <v>1.09901</v>
      </c>
      <c r="M20" s="203">
        <f t="shared" si="2"/>
        <v>-2.9999999999999997E-4</v>
      </c>
      <c r="N20" s="204">
        <f t="shared" si="3"/>
        <v>-7.0000000000000007E-2</v>
      </c>
      <c r="O20" s="205">
        <f t="shared" si="4"/>
        <v>0</v>
      </c>
      <c r="P20" s="206">
        <f t="shared" si="5"/>
        <v>0</v>
      </c>
      <c r="Q20" s="206">
        <f t="shared" si="6"/>
        <v>-7.0000000000000007E-2</v>
      </c>
      <c r="R20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20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107000</v>
      </c>
      <c r="T20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107070</v>
      </c>
      <c r="U20" s="208">
        <f ca="1">IF(Tabla33610673484[[#This Row],[Equity]]&lt;Tabla33610673484[[#This Row],[Equity Peak]],(Tabla33610673484[[#This Row],[Equity Peak]]-Tabla33610673484[[#This Row],[Equity]])/Tabla33610673484[[#This Row],[Equity Peak]],"")</f>
        <v>6.5377790230690207E-4</v>
      </c>
      <c r="V20" s="209">
        <f t="shared" si="7"/>
        <v>-7.0000000000000007E-2</v>
      </c>
      <c r="W20" s="209">
        <f t="shared" si="8"/>
        <v>0</v>
      </c>
      <c r="X20" s="209">
        <f t="shared" si="9"/>
        <v>0</v>
      </c>
      <c r="Y20" s="209">
        <f t="shared" si="10"/>
        <v>0</v>
      </c>
      <c r="Z20" s="209">
        <f t="shared" si="11"/>
        <v>0</v>
      </c>
      <c r="AA20" s="205">
        <f t="shared" si="12"/>
        <v>0</v>
      </c>
      <c r="AB20" s="209">
        <f t="shared" si="13"/>
        <v>0</v>
      </c>
      <c r="AC20" s="205">
        <f t="shared" si="14"/>
        <v>0</v>
      </c>
      <c r="AD20" s="210">
        <f t="shared" si="15"/>
        <v>4.554166666661331</v>
      </c>
      <c r="AE20" s="210">
        <f t="shared" si="16"/>
        <v>0</v>
      </c>
      <c r="AF20" s="210">
        <f t="shared" si="17"/>
        <v>4.554166666661331</v>
      </c>
      <c r="AG20" s="210">
        <f t="shared" si="18"/>
        <v>0</v>
      </c>
    </row>
    <row r="21" spans="2:33" ht="15" customHeight="1" x14ac:dyDescent="0.3">
      <c r="B21" s="196" t="s">
        <v>7</v>
      </c>
      <c r="C21" s="197" t="s">
        <v>13</v>
      </c>
      <c r="D21" s="198" t="str">
        <f t="shared" si="0"/>
        <v>C</v>
      </c>
      <c r="E21" s="199">
        <v>43692.017361111109</v>
      </c>
      <c r="F21" s="200" t="s">
        <v>117</v>
      </c>
      <c r="G21" s="201">
        <v>1.1134299999999999</v>
      </c>
      <c r="H21" s="201">
        <v>1.11921</v>
      </c>
      <c r="I21" s="202">
        <f t="shared" si="1"/>
        <v>5.7800000000001184E-3</v>
      </c>
      <c r="J21" s="201">
        <v>1.0764400000000001</v>
      </c>
      <c r="K21" s="199">
        <v>43699.440972222219</v>
      </c>
      <c r="L21" s="201">
        <v>1.111</v>
      </c>
      <c r="M21" s="203">
        <f t="shared" si="2"/>
        <v>2.3999999999999998E-3</v>
      </c>
      <c r="N21" s="204">
        <f t="shared" si="3"/>
        <v>0.42</v>
      </c>
      <c r="O21" s="205">
        <f t="shared" si="4"/>
        <v>0</v>
      </c>
      <c r="P21" s="206">
        <f t="shared" si="5"/>
        <v>0.42</v>
      </c>
      <c r="Q21" s="206">
        <f t="shared" si="6"/>
        <v>0</v>
      </c>
      <c r="R21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21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107070</v>
      </c>
      <c r="T21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107070</v>
      </c>
      <c r="U21" s="208" t="str">
        <f ca="1">IF(Tabla33610673484[[#This Row],[Equity]]&lt;Tabla33610673484[[#This Row],[Equity Peak]],(Tabla33610673484[[#This Row],[Equity Peak]]-Tabla33610673484[[#This Row],[Equity]])/Tabla33610673484[[#This Row],[Equity Peak]],"")</f>
        <v/>
      </c>
      <c r="V21" s="209">
        <f t="shared" si="7"/>
        <v>0.42</v>
      </c>
      <c r="W21" s="209">
        <f t="shared" si="8"/>
        <v>0</v>
      </c>
      <c r="X21" s="209">
        <f t="shared" si="9"/>
        <v>0</v>
      </c>
      <c r="Y21" s="209">
        <f t="shared" si="10"/>
        <v>0</v>
      </c>
      <c r="Z21" s="209">
        <f t="shared" si="11"/>
        <v>0</v>
      </c>
      <c r="AA21" s="205">
        <f t="shared" si="12"/>
        <v>0</v>
      </c>
      <c r="AB21" s="209">
        <f t="shared" si="13"/>
        <v>0</v>
      </c>
      <c r="AC21" s="205">
        <f t="shared" si="14"/>
        <v>0</v>
      </c>
      <c r="AD21" s="210">
        <f t="shared" si="15"/>
        <v>7.4236111111094942</v>
      </c>
      <c r="AE21" s="210">
        <f t="shared" si="16"/>
        <v>7.4236111111094942</v>
      </c>
      <c r="AF21" s="210">
        <f t="shared" si="17"/>
        <v>0</v>
      </c>
      <c r="AG21" s="210">
        <f t="shared" si="18"/>
        <v>0</v>
      </c>
    </row>
    <row r="22" spans="2:33" ht="15" customHeight="1" x14ac:dyDescent="0.3">
      <c r="B22" s="196" t="s">
        <v>7</v>
      </c>
      <c r="C22" s="197" t="s">
        <v>13</v>
      </c>
      <c r="D22" s="198" t="str">
        <f t="shared" si="0"/>
        <v>C</v>
      </c>
      <c r="E22" s="199">
        <v>43678.017361111109</v>
      </c>
      <c r="F22" s="200" t="s">
        <v>117</v>
      </c>
      <c r="G22" s="201">
        <v>1.1075600000000001</v>
      </c>
      <c r="H22" s="201">
        <v>1.1124400000000001</v>
      </c>
      <c r="I22" s="202">
        <f t="shared" si="1"/>
        <v>4.8799999999999955E-3</v>
      </c>
      <c r="J22" s="201">
        <v>1.0763100000000001</v>
      </c>
      <c r="K22" s="199">
        <v>43678.93472222222</v>
      </c>
      <c r="L22" s="201">
        <v>1.1088</v>
      </c>
      <c r="M22" s="203">
        <f t="shared" si="2"/>
        <v>-1.1999999999999999E-3</v>
      </c>
      <c r="N22" s="204">
        <f t="shared" si="3"/>
        <v>-0.25</v>
      </c>
      <c r="O22" s="205">
        <f t="shared" si="4"/>
        <v>0</v>
      </c>
      <c r="P22" s="206">
        <f t="shared" si="5"/>
        <v>0</v>
      </c>
      <c r="Q22" s="206">
        <f t="shared" si="6"/>
        <v>-0.25</v>
      </c>
      <c r="R22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22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106650</v>
      </c>
      <c r="T22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106900</v>
      </c>
      <c r="U22" s="208">
        <f ca="1">IF(Tabla33610673484[[#This Row],[Equity]]&lt;Tabla33610673484[[#This Row],[Equity Peak]],(Tabla33610673484[[#This Row],[Equity Peak]]-Tabla33610673484[[#This Row],[Equity]])/Tabla33610673484[[#This Row],[Equity Peak]],"")</f>
        <v>2.3386342376052385E-3</v>
      </c>
      <c r="V22" s="209">
        <f t="shared" si="7"/>
        <v>-0.25</v>
      </c>
      <c r="W22" s="209">
        <f t="shared" si="8"/>
        <v>0</v>
      </c>
      <c r="X22" s="209">
        <f t="shared" si="9"/>
        <v>0</v>
      </c>
      <c r="Y22" s="209">
        <f t="shared" si="10"/>
        <v>0</v>
      </c>
      <c r="Z22" s="209">
        <f t="shared" si="11"/>
        <v>0</v>
      </c>
      <c r="AA22" s="205">
        <f t="shared" si="12"/>
        <v>0</v>
      </c>
      <c r="AB22" s="209">
        <f t="shared" si="13"/>
        <v>0</v>
      </c>
      <c r="AC22" s="205">
        <f t="shared" si="14"/>
        <v>0</v>
      </c>
      <c r="AD22" s="210">
        <f t="shared" si="15"/>
        <v>0.91736111111094942</v>
      </c>
      <c r="AE22" s="210">
        <f t="shared" si="16"/>
        <v>0</v>
      </c>
      <c r="AF22" s="210">
        <f t="shared" si="17"/>
        <v>0.91736111111094942</v>
      </c>
      <c r="AG22" s="210">
        <f t="shared" si="18"/>
        <v>0</v>
      </c>
    </row>
    <row r="23" spans="2:33" ht="15" customHeight="1" x14ac:dyDescent="0.3">
      <c r="B23" s="196" t="s">
        <v>7</v>
      </c>
      <c r="C23" s="197" t="s">
        <v>13</v>
      </c>
      <c r="D23" s="198" t="str">
        <f t="shared" si="0"/>
        <v>C</v>
      </c>
      <c r="E23" s="199">
        <v>43651.5</v>
      </c>
      <c r="F23" s="200" t="s">
        <v>117</v>
      </c>
      <c r="G23" s="201">
        <v>1.1262300000000001</v>
      </c>
      <c r="H23" s="201">
        <v>1.1298699999999999</v>
      </c>
      <c r="I23" s="202">
        <f t="shared" si="1"/>
        <v>3.6399999999998656E-3</v>
      </c>
      <c r="J23" s="201">
        <v>1.1029599999999999</v>
      </c>
      <c r="K23" s="199">
        <v>43656.553472222222</v>
      </c>
      <c r="L23" s="201">
        <v>1.12296</v>
      </c>
      <c r="M23" s="203">
        <f t="shared" si="2"/>
        <v>3.3E-3</v>
      </c>
      <c r="N23" s="204">
        <f t="shared" si="3"/>
        <v>0.91</v>
      </c>
      <c r="O23" s="205">
        <f t="shared" si="4"/>
        <v>0</v>
      </c>
      <c r="P23" s="206">
        <f t="shared" si="5"/>
        <v>0.91</v>
      </c>
      <c r="Q23" s="206">
        <f t="shared" si="6"/>
        <v>0</v>
      </c>
      <c r="R23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23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106900</v>
      </c>
      <c r="T23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106900</v>
      </c>
      <c r="U23" s="208" t="str">
        <f ca="1">IF(Tabla33610673484[[#This Row],[Equity]]&lt;Tabla33610673484[[#This Row],[Equity Peak]],(Tabla33610673484[[#This Row],[Equity Peak]]-Tabla33610673484[[#This Row],[Equity]])/Tabla33610673484[[#This Row],[Equity Peak]],"")</f>
        <v/>
      </c>
      <c r="V23" s="209">
        <f t="shared" si="7"/>
        <v>0.91</v>
      </c>
      <c r="W23" s="209">
        <f t="shared" si="8"/>
        <v>0</v>
      </c>
      <c r="X23" s="209">
        <f t="shared" si="9"/>
        <v>0</v>
      </c>
      <c r="Y23" s="209">
        <f t="shared" si="10"/>
        <v>0</v>
      </c>
      <c r="Z23" s="209">
        <f t="shared" si="11"/>
        <v>0</v>
      </c>
      <c r="AA23" s="205">
        <f t="shared" si="12"/>
        <v>0</v>
      </c>
      <c r="AB23" s="209">
        <f t="shared" si="13"/>
        <v>0</v>
      </c>
      <c r="AC23" s="205">
        <f t="shared" si="14"/>
        <v>0</v>
      </c>
      <c r="AD23" s="210">
        <f t="shared" si="15"/>
        <v>5.0534722222218988</v>
      </c>
      <c r="AE23" s="210">
        <f t="shared" si="16"/>
        <v>5.0534722222218988</v>
      </c>
      <c r="AF23" s="210">
        <f t="shared" si="17"/>
        <v>0</v>
      </c>
      <c r="AG23" s="210">
        <f t="shared" si="18"/>
        <v>0</v>
      </c>
    </row>
    <row r="24" spans="2:33" ht="15" customHeight="1" x14ac:dyDescent="0.3">
      <c r="B24" s="196" t="s">
        <v>7</v>
      </c>
      <c r="C24" s="197" t="s">
        <v>15</v>
      </c>
      <c r="D24" s="198" t="str">
        <f t="shared" si="0"/>
        <v>C</v>
      </c>
      <c r="E24" s="199">
        <v>43636.666666666664</v>
      </c>
      <c r="F24" s="200" t="s">
        <v>117</v>
      </c>
      <c r="G24" s="201">
        <v>1.1302399999999999</v>
      </c>
      <c r="H24" s="201">
        <v>1.12378</v>
      </c>
      <c r="I24" s="202">
        <f t="shared" si="1"/>
        <v>6.4599999999999103E-3</v>
      </c>
      <c r="J24" s="201">
        <v>1.17157</v>
      </c>
      <c r="K24" s="199">
        <v>43641.771527777775</v>
      </c>
      <c r="L24" s="201">
        <v>1.13673</v>
      </c>
      <c r="M24" s="203">
        <f t="shared" si="2"/>
        <v>6.4999999999999997E-3</v>
      </c>
      <c r="N24" s="204">
        <f t="shared" si="3"/>
        <v>1.01</v>
      </c>
      <c r="O24" s="205">
        <f t="shared" si="4"/>
        <v>0</v>
      </c>
      <c r="P24" s="206">
        <f t="shared" si="5"/>
        <v>1.01</v>
      </c>
      <c r="Q24" s="206">
        <f t="shared" si="6"/>
        <v>0</v>
      </c>
      <c r="R24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24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105990</v>
      </c>
      <c r="T24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105990</v>
      </c>
      <c r="U24" s="208" t="str">
        <f ca="1">IF(Tabla33610673484[[#This Row],[Equity]]&lt;Tabla33610673484[[#This Row],[Equity Peak]],(Tabla33610673484[[#This Row],[Equity Peak]]-Tabla33610673484[[#This Row],[Equity]])/Tabla33610673484[[#This Row],[Equity Peak]],"")</f>
        <v/>
      </c>
      <c r="V24" s="209">
        <f t="shared" si="7"/>
        <v>1.01</v>
      </c>
      <c r="W24" s="209">
        <f t="shared" si="8"/>
        <v>0</v>
      </c>
      <c r="X24" s="209">
        <f t="shared" si="9"/>
        <v>0</v>
      </c>
      <c r="Y24" s="209">
        <f t="shared" si="10"/>
        <v>0</v>
      </c>
      <c r="Z24" s="209">
        <f t="shared" si="11"/>
        <v>0</v>
      </c>
      <c r="AA24" s="205">
        <f t="shared" si="12"/>
        <v>0</v>
      </c>
      <c r="AB24" s="209">
        <f t="shared" si="13"/>
        <v>0</v>
      </c>
      <c r="AC24" s="205">
        <f t="shared" si="14"/>
        <v>0</v>
      </c>
      <c r="AD24" s="210">
        <f t="shared" si="15"/>
        <v>5.1048611111109494</v>
      </c>
      <c r="AE24" s="210">
        <f t="shared" si="16"/>
        <v>5.1048611111109494</v>
      </c>
      <c r="AF24" s="210">
        <f t="shared" si="17"/>
        <v>0</v>
      </c>
      <c r="AG24" s="210">
        <f t="shared" si="18"/>
        <v>0</v>
      </c>
    </row>
    <row r="25" spans="2:33" ht="15" customHeight="1" x14ac:dyDescent="0.3">
      <c r="B25" s="196" t="s">
        <v>7</v>
      </c>
      <c r="C25" s="197" t="s">
        <v>13</v>
      </c>
      <c r="D25" s="198" t="str">
        <f t="shared" si="0"/>
        <v>C</v>
      </c>
      <c r="E25" s="199">
        <v>43635.017361111109</v>
      </c>
      <c r="F25" s="200" t="s">
        <v>117</v>
      </c>
      <c r="G25" s="201">
        <v>1.1196699999999999</v>
      </c>
      <c r="H25" s="201">
        <v>1.1251800000000001</v>
      </c>
      <c r="I25" s="202">
        <f t="shared" si="1"/>
        <v>5.5100000000001259E-3</v>
      </c>
      <c r="J25" s="201">
        <v>1.08439</v>
      </c>
      <c r="K25" s="199">
        <v>43635.911805555559</v>
      </c>
      <c r="L25" s="201">
        <v>1.12384</v>
      </c>
      <c r="M25" s="203">
        <f t="shared" si="2"/>
        <v>-4.1999999999999997E-3</v>
      </c>
      <c r="N25" s="204">
        <f t="shared" si="3"/>
        <v>-0.76</v>
      </c>
      <c r="O25" s="205">
        <f t="shared" si="4"/>
        <v>0</v>
      </c>
      <c r="P25" s="206">
        <f t="shared" si="5"/>
        <v>0</v>
      </c>
      <c r="Q25" s="206">
        <f t="shared" si="6"/>
        <v>-0.76</v>
      </c>
      <c r="R25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25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104980</v>
      </c>
      <c r="T25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105740</v>
      </c>
      <c r="U25" s="208">
        <f ca="1">IF(Tabla33610673484[[#This Row],[Equity]]&lt;Tabla33610673484[[#This Row],[Equity Peak]],(Tabla33610673484[[#This Row],[Equity Peak]]-Tabla33610673484[[#This Row],[Equity]])/Tabla33610673484[[#This Row],[Equity Peak]],"")</f>
        <v>7.1874408927558161E-3</v>
      </c>
      <c r="V25" s="209">
        <f t="shared" si="7"/>
        <v>-0.76</v>
      </c>
      <c r="W25" s="209">
        <f t="shared" si="8"/>
        <v>0</v>
      </c>
      <c r="X25" s="209">
        <f t="shared" si="9"/>
        <v>0</v>
      </c>
      <c r="Y25" s="209">
        <f t="shared" si="10"/>
        <v>0</v>
      </c>
      <c r="Z25" s="209">
        <f t="shared" si="11"/>
        <v>0</v>
      </c>
      <c r="AA25" s="205">
        <f t="shared" si="12"/>
        <v>0</v>
      </c>
      <c r="AB25" s="209">
        <f t="shared" si="13"/>
        <v>0</v>
      </c>
      <c r="AC25" s="205">
        <f t="shared" si="14"/>
        <v>0</v>
      </c>
      <c r="AD25" s="210">
        <f t="shared" si="15"/>
        <v>0.89444444444961846</v>
      </c>
      <c r="AE25" s="210">
        <f t="shared" si="16"/>
        <v>0</v>
      </c>
      <c r="AF25" s="210">
        <f t="shared" si="17"/>
        <v>0.89444444444961846</v>
      </c>
      <c r="AG25" s="210">
        <f t="shared" si="18"/>
        <v>0</v>
      </c>
    </row>
    <row r="26" spans="2:33" ht="15" customHeight="1" x14ac:dyDescent="0.3">
      <c r="B26" s="196" t="s">
        <v>7</v>
      </c>
      <c r="C26" s="197" t="s">
        <v>13</v>
      </c>
      <c r="D26" s="198" t="str">
        <f t="shared" si="0"/>
        <v>C</v>
      </c>
      <c r="E26" s="199">
        <v>43600.666666666664</v>
      </c>
      <c r="F26" s="200" t="s">
        <v>117</v>
      </c>
      <c r="G26" s="201">
        <v>1.11836</v>
      </c>
      <c r="H26" s="201">
        <v>1.1233900000000001</v>
      </c>
      <c r="I26" s="202">
        <f t="shared" si="1"/>
        <v>5.03000000000009E-3</v>
      </c>
      <c r="J26" s="201">
        <v>1.0861499999999999</v>
      </c>
      <c r="K26" s="199">
        <v>43606.746527777781</v>
      </c>
      <c r="L26" s="201">
        <v>1.1173999999999999</v>
      </c>
      <c r="M26" s="203">
        <f t="shared" si="2"/>
        <v>1E-3</v>
      </c>
      <c r="N26" s="204">
        <f t="shared" si="3"/>
        <v>0.2</v>
      </c>
      <c r="O26" s="205">
        <f t="shared" si="4"/>
        <v>0</v>
      </c>
      <c r="P26" s="206">
        <f t="shared" si="5"/>
        <v>0.2</v>
      </c>
      <c r="Q26" s="206">
        <f t="shared" si="6"/>
        <v>0</v>
      </c>
      <c r="R26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26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105740</v>
      </c>
      <c r="T26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105740</v>
      </c>
      <c r="U26" s="208" t="str">
        <f ca="1">IF(Tabla33610673484[[#This Row],[Equity]]&lt;Tabla33610673484[[#This Row],[Equity Peak]],(Tabla33610673484[[#This Row],[Equity Peak]]-Tabla33610673484[[#This Row],[Equity]])/Tabla33610673484[[#This Row],[Equity Peak]],"")</f>
        <v/>
      </c>
      <c r="V26" s="209">
        <f t="shared" si="7"/>
        <v>0.2</v>
      </c>
      <c r="W26" s="209">
        <f t="shared" si="8"/>
        <v>0</v>
      </c>
      <c r="X26" s="209">
        <f t="shared" si="9"/>
        <v>0</v>
      </c>
      <c r="Y26" s="209">
        <f t="shared" si="10"/>
        <v>0</v>
      </c>
      <c r="Z26" s="209">
        <f t="shared" si="11"/>
        <v>0</v>
      </c>
      <c r="AA26" s="205">
        <f t="shared" si="12"/>
        <v>0</v>
      </c>
      <c r="AB26" s="209">
        <f t="shared" si="13"/>
        <v>0</v>
      </c>
      <c r="AC26" s="205">
        <f t="shared" si="14"/>
        <v>0</v>
      </c>
      <c r="AD26" s="210">
        <f t="shared" si="15"/>
        <v>6.0798611111167702</v>
      </c>
      <c r="AE26" s="210">
        <f t="shared" si="16"/>
        <v>6.0798611111167702</v>
      </c>
      <c r="AF26" s="210">
        <f t="shared" si="17"/>
        <v>0</v>
      </c>
      <c r="AG26" s="210">
        <f t="shared" si="18"/>
        <v>0</v>
      </c>
    </row>
    <row r="27" spans="2:33" ht="15" customHeight="1" x14ac:dyDescent="0.3">
      <c r="B27" s="196" t="s">
        <v>7</v>
      </c>
      <c r="C27" s="197" t="s">
        <v>13</v>
      </c>
      <c r="D27" s="198" t="str">
        <f t="shared" si="0"/>
        <v>C</v>
      </c>
      <c r="E27" s="199">
        <v>43574.166666666664</v>
      </c>
      <c r="F27" s="200" t="s">
        <v>117</v>
      </c>
      <c r="G27" s="201">
        <v>1.1239699999999999</v>
      </c>
      <c r="H27" s="201">
        <v>1.12846</v>
      </c>
      <c r="I27" s="202">
        <f t="shared" si="1"/>
        <v>4.490000000000105E-3</v>
      </c>
      <c r="J27" s="201">
        <v>1.0952500000000001</v>
      </c>
      <c r="K27" s="199">
        <v>43581.775694444441</v>
      </c>
      <c r="L27" s="201">
        <v>1.11727</v>
      </c>
      <c r="M27" s="203">
        <f t="shared" si="2"/>
        <v>6.7000000000000002E-3</v>
      </c>
      <c r="N27" s="204">
        <f t="shared" si="3"/>
        <v>1.49</v>
      </c>
      <c r="O27" s="205">
        <f t="shared" si="4"/>
        <v>0</v>
      </c>
      <c r="P27" s="206">
        <f t="shared" si="5"/>
        <v>1.49</v>
      </c>
      <c r="Q27" s="206">
        <f t="shared" si="6"/>
        <v>0</v>
      </c>
      <c r="R27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27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105540</v>
      </c>
      <c r="T27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105540</v>
      </c>
      <c r="U27" s="208" t="str">
        <f ca="1">IF(Tabla33610673484[[#This Row],[Equity]]&lt;Tabla33610673484[[#This Row],[Equity Peak]],(Tabla33610673484[[#This Row],[Equity Peak]]-Tabla33610673484[[#This Row],[Equity]])/Tabla33610673484[[#This Row],[Equity Peak]],"")</f>
        <v/>
      </c>
      <c r="V27" s="209">
        <f t="shared" si="7"/>
        <v>1.49</v>
      </c>
      <c r="W27" s="209">
        <f t="shared" si="8"/>
        <v>0</v>
      </c>
      <c r="X27" s="209">
        <f t="shared" si="9"/>
        <v>0</v>
      </c>
      <c r="Y27" s="209">
        <f t="shared" si="10"/>
        <v>0</v>
      </c>
      <c r="Z27" s="209">
        <f t="shared" si="11"/>
        <v>0</v>
      </c>
      <c r="AA27" s="205">
        <f t="shared" si="12"/>
        <v>0</v>
      </c>
      <c r="AB27" s="209">
        <f t="shared" si="13"/>
        <v>0</v>
      </c>
      <c r="AC27" s="205">
        <f t="shared" si="14"/>
        <v>0</v>
      </c>
      <c r="AD27" s="210">
        <f t="shared" si="15"/>
        <v>7.609027777776646</v>
      </c>
      <c r="AE27" s="210">
        <f t="shared" si="16"/>
        <v>7.609027777776646</v>
      </c>
      <c r="AF27" s="210">
        <f t="shared" si="17"/>
        <v>0</v>
      </c>
      <c r="AG27" s="210">
        <f t="shared" si="18"/>
        <v>0</v>
      </c>
    </row>
    <row r="28" spans="2:33" ht="15" customHeight="1" x14ac:dyDescent="0.3">
      <c r="B28" s="196" t="s">
        <v>7</v>
      </c>
      <c r="C28" s="197" t="s">
        <v>13</v>
      </c>
      <c r="D28" s="198" t="str">
        <f t="shared" si="0"/>
        <v>C</v>
      </c>
      <c r="E28" s="199">
        <v>43550.666666666664</v>
      </c>
      <c r="F28" s="200" t="s">
        <v>117</v>
      </c>
      <c r="G28" s="201">
        <v>1.1287700000000001</v>
      </c>
      <c r="H28" s="201">
        <v>1.1354299999999999</v>
      </c>
      <c r="I28" s="202">
        <f t="shared" si="1"/>
        <v>6.6599999999998882E-3</v>
      </c>
      <c r="J28" s="201">
        <v>1.08612</v>
      </c>
      <c r="K28" s="199">
        <v>43558.414583333331</v>
      </c>
      <c r="L28" s="201">
        <v>1.12355</v>
      </c>
      <c r="M28" s="203">
        <f t="shared" si="2"/>
        <v>5.1999999999999998E-3</v>
      </c>
      <c r="N28" s="204">
        <f t="shared" si="3"/>
        <v>0.78</v>
      </c>
      <c r="O28" s="205">
        <f t="shared" si="4"/>
        <v>0</v>
      </c>
      <c r="P28" s="206">
        <f t="shared" si="5"/>
        <v>0.78</v>
      </c>
      <c r="Q28" s="206">
        <f t="shared" si="6"/>
        <v>0</v>
      </c>
      <c r="R28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28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104050</v>
      </c>
      <c r="T28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104050</v>
      </c>
      <c r="U28" s="208" t="str">
        <f ca="1">IF(Tabla33610673484[[#This Row],[Equity]]&lt;Tabla33610673484[[#This Row],[Equity Peak]],(Tabla33610673484[[#This Row],[Equity Peak]]-Tabla33610673484[[#This Row],[Equity]])/Tabla33610673484[[#This Row],[Equity Peak]],"")</f>
        <v/>
      </c>
      <c r="V28" s="209">
        <f t="shared" si="7"/>
        <v>0.78</v>
      </c>
      <c r="W28" s="209">
        <f t="shared" si="8"/>
        <v>0</v>
      </c>
      <c r="X28" s="209">
        <f t="shared" si="9"/>
        <v>0</v>
      </c>
      <c r="Y28" s="209">
        <f t="shared" si="10"/>
        <v>0</v>
      </c>
      <c r="Z28" s="209">
        <f t="shared" si="11"/>
        <v>0</v>
      </c>
      <c r="AA28" s="205">
        <f t="shared" si="12"/>
        <v>0</v>
      </c>
      <c r="AB28" s="209">
        <f t="shared" si="13"/>
        <v>0</v>
      </c>
      <c r="AC28" s="205">
        <f t="shared" si="14"/>
        <v>0</v>
      </c>
      <c r="AD28" s="210">
        <f t="shared" si="15"/>
        <v>7.7479166666671517</v>
      </c>
      <c r="AE28" s="210">
        <f t="shared" si="16"/>
        <v>7.7479166666671517</v>
      </c>
      <c r="AF28" s="210">
        <f t="shared" si="17"/>
        <v>0</v>
      </c>
      <c r="AG28" s="210">
        <f t="shared" si="18"/>
        <v>0</v>
      </c>
    </row>
    <row r="29" spans="2:33" ht="15" customHeight="1" x14ac:dyDescent="0.3">
      <c r="B29" s="196" t="s">
        <v>7</v>
      </c>
      <c r="C29" s="197" t="s">
        <v>13</v>
      </c>
      <c r="D29" s="198" t="str">
        <f t="shared" si="0"/>
        <v>C</v>
      </c>
      <c r="E29" s="199">
        <v>43529.5</v>
      </c>
      <c r="F29" s="200" t="s">
        <v>117</v>
      </c>
      <c r="G29" s="201">
        <v>1.1327199999999999</v>
      </c>
      <c r="H29" s="201">
        <v>1.1380600000000001</v>
      </c>
      <c r="I29" s="202">
        <f t="shared" si="1"/>
        <v>5.3400000000001224E-3</v>
      </c>
      <c r="J29" s="201">
        <v>1.09853</v>
      </c>
      <c r="K29" s="199">
        <v>43532.603472222225</v>
      </c>
      <c r="L29" s="201">
        <v>1.12351</v>
      </c>
      <c r="M29" s="203">
        <f t="shared" si="2"/>
        <v>9.1999999999999998E-3</v>
      </c>
      <c r="N29" s="204">
        <f t="shared" si="3"/>
        <v>1.72</v>
      </c>
      <c r="O29" s="205">
        <f t="shared" si="4"/>
        <v>0</v>
      </c>
      <c r="P29" s="206">
        <f t="shared" si="5"/>
        <v>1.72</v>
      </c>
      <c r="Q29" s="206">
        <f t="shared" si="6"/>
        <v>0</v>
      </c>
      <c r="R29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29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103270</v>
      </c>
      <c r="T29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103270</v>
      </c>
      <c r="U29" s="208" t="str">
        <f ca="1">IF(Tabla33610673484[[#This Row],[Equity]]&lt;Tabla33610673484[[#This Row],[Equity Peak]],(Tabla33610673484[[#This Row],[Equity Peak]]-Tabla33610673484[[#This Row],[Equity]])/Tabla33610673484[[#This Row],[Equity Peak]],"")</f>
        <v/>
      </c>
      <c r="V29" s="209">
        <f t="shared" si="7"/>
        <v>1.72</v>
      </c>
      <c r="W29" s="209">
        <f t="shared" si="8"/>
        <v>0</v>
      </c>
      <c r="X29" s="209">
        <f t="shared" si="9"/>
        <v>0</v>
      </c>
      <c r="Y29" s="209">
        <f t="shared" si="10"/>
        <v>0</v>
      </c>
      <c r="Z29" s="209">
        <f t="shared" si="11"/>
        <v>0</v>
      </c>
      <c r="AA29" s="205">
        <f t="shared" si="12"/>
        <v>0</v>
      </c>
      <c r="AB29" s="209">
        <f t="shared" si="13"/>
        <v>0</v>
      </c>
      <c r="AC29" s="205">
        <f t="shared" si="14"/>
        <v>0</v>
      </c>
      <c r="AD29" s="210">
        <f t="shared" si="15"/>
        <v>3.1034722222248092</v>
      </c>
      <c r="AE29" s="210">
        <f t="shared" si="16"/>
        <v>3.1034722222248092</v>
      </c>
      <c r="AF29" s="210">
        <f t="shared" si="17"/>
        <v>0</v>
      </c>
      <c r="AG29" s="210">
        <f t="shared" si="18"/>
        <v>0</v>
      </c>
    </row>
    <row r="30" spans="2:33" ht="15" customHeight="1" x14ac:dyDescent="0.3">
      <c r="B30" s="196" t="s">
        <v>7</v>
      </c>
      <c r="C30" s="197" t="s">
        <v>13</v>
      </c>
      <c r="D30" s="198" t="str">
        <f t="shared" si="0"/>
        <v>C</v>
      </c>
      <c r="E30" s="199">
        <v>43503.017361111109</v>
      </c>
      <c r="F30" s="200" t="s">
        <v>117</v>
      </c>
      <c r="G30" s="201">
        <v>1.13673</v>
      </c>
      <c r="H30" s="201">
        <v>1.14086</v>
      </c>
      <c r="I30" s="202">
        <f t="shared" si="1"/>
        <v>4.129999999999967E-3</v>
      </c>
      <c r="J30" s="201">
        <v>1.1103000000000001</v>
      </c>
      <c r="K30" s="199">
        <v>43508.748611111114</v>
      </c>
      <c r="L30" s="201">
        <v>1.13121</v>
      </c>
      <c r="M30" s="203">
        <f t="shared" si="2"/>
        <v>5.4999999999999997E-3</v>
      </c>
      <c r="N30" s="204">
        <f t="shared" si="3"/>
        <v>1.33</v>
      </c>
      <c r="O30" s="205">
        <f t="shared" si="4"/>
        <v>0</v>
      </c>
      <c r="P30" s="206">
        <f t="shared" si="5"/>
        <v>1.33</v>
      </c>
      <c r="Q30" s="206">
        <f t="shared" si="6"/>
        <v>0</v>
      </c>
      <c r="R30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30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101550</v>
      </c>
      <c r="T30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101550</v>
      </c>
      <c r="U30" s="208" t="str">
        <f ca="1">IF(Tabla33610673484[[#This Row],[Equity]]&lt;Tabla33610673484[[#This Row],[Equity Peak]],(Tabla33610673484[[#This Row],[Equity Peak]]-Tabla33610673484[[#This Row],[Equity]])/Tabla33610673484[[#This Row],[Equity Peak]],"")</f>
        <v/>
      </c>
      <c r="V30" s="209">
        <f t="shared" si="7"/>
        <v>1.33</v>
      </c>
      <c r="W30" s="209">
        <f t="shared" si="8"/>
        <v>0</v>
      </c>
      <c r="X30" s="209">
        <f t="shared" si="9"/>
        <v>0</v>
      </c>
      <c r="Y30" s="209">
        <f t="shared" si="10"/>
        <v>0</v>
      </c>
      <c r="Z30" s="209">
        <f t="shared" si="11"/>
        <v>0</v>
      </c>
      <c r="AA30" s="205">
        <f t="shared" si="12"/>
        <v>0</v>
      </c>
      <c r="AB30" s="209">
        <f t="shared" si="13"/>
        <v>0</v>
      </c>
      <c r="AC30" s="205">
        <f t="shared" si="14"/>
        <v>0</v>
      </c>
      <c r="AD30" s="210">
        <f t="shared" si="15"/>
        <v>5.7312500000043656</v>
      </c>
      <c r="AE30" s="210">
        <f t="shared" si="16"/>
        <v>5.7312500000043656</v>
      </c>
      <c r="AF30" s="210">
        <f t="shared" si="17"/>
        <v>0</v>
      </c>
      <c r="AG30" s="210">
        <f t="shared" si="18"/>
        <v>0</v>
      </c>
    </row>
    <row r="31" spans="2:33" ht="15" customHeight="1" x14ac:dyDescent="0.3">
      <c r="B31" s="196" t="s">
        <v>7</v>
      </c>
      <c r="C31" s="197" t="s">
        <v>13</v>
      </c>
      <c r="D31" s="198" t="str">
        <f t="shared" si="0"/>
        <v>C</v>
      </c>
      <c r="E31" s="199">
        <v>43482.666666666664</v>
      </c>
      <c r="F31" s="200" t="s">
        <v>117</v>
      </c>
      <c r="G31" s="201">
        <v>1.1397900000000001</v>
      </c>
      <c r="H31" s="201">
        <v>1.1473599999999999</v>
      </c>
      <c r="I31" s="202">
        <f t="shared" si="1"/>
        <v>7.5699999999998546E-3</v>
      </c>
      <c r="J31" s="201">
        <v>1.0913600000000001</v>
      </c>
      <c r="K31" s="199">
        <v>43488.747916666667</v>
      </c>
      <c r="L31" s="201">
        <v>1.13811</v>
      </c>
      <c r="M31" s="203">
        <f t="shared" si="2"/>
        <v>1.6999999999999999E-3</v>
      </c>
      <c r="N31" s="204">
        <f t="shared" si="3"/>
        <v>0.22</v>
      </c>
      <c r="O31" s="205">
        <f t="shared" si="4"/>
        <v>0</v>
      </c>
      <c r="P31" s="206">
        <f t="shared" si="5"/>
        <v>0.22</v>
      </c>
      <c r="Q31" s="206">
        <f t="shared" si="6"/>
        <v>0</v>
      </c>
      <c r="R31" s="206" t="str">
        <f ca="1">IF(AND(OFFSET(Tabla33610673484[[#This Row],[Equity]],1,0)="",Tabla33610673484[[#This Row],[No. of Rs]]&lt;0),"Yes",IF(AND(OFFSET(Tabla33610673484[[#This Row],[Initial Losing Trade]],1,0)="Yes",Tabla33610673484[[#This Row],[No. of Rs]]&lt;0),"Yes","No"))</f>
        <v>No</v>
      </c>
      <c r="S31" s="207">
        <f ca="1">IF(OFFSET(Tabla33610673484[[#This Row],[Equity]],1,0)="",IF(Tabla33610673484[[#This Row],[No. of Rs]]="",$F$11,$F$11+($F$11*Tabla33610673484[[#This Row],[No. of Rs]]/100)),IF(Tabla33610673484[[#This Row],[No. of Rs]]="",OFFSET(Tabla33610673484[[#This Row],[Equity]],1,0),OFFSET(Tabla33610673484[[#This Row],[Equity]],1,0)+($F$11*Tabla33610673484[[#This Row],[No. of Rs]]/100)))</f>
        <v>100220</v>
      </c>
      <c r="T31" s="207">
        <f ca="1">IF(OFFSET(Tabla33610673484[[#This Row],[Equity Peak]],1,0)="",IF(Tabla33610673484[[#This Row],[Initial Losing Trade]]="Yes",$F$11,Tabla33610673484[[#This Row],[Equity]]),IF(OFFSET(Tabla33610673484[[#This Row],[Equity Peak]],1,0)&gt;Tabla33610673484[[#This Row],[Equity]],OFFSET(Tabla33610673484[[#This Row],[Equity Peak]],1,0),Tabla33610673484[[#This Row],[Equity]]))</f>
        <v>100220</v>
      </c>
      <c r="U31" s="208" t="str">
        <f ca="1">IF(Tabla33610673484[[#This Row],[Equity]]&lt;Tabla33610673484[[#This Row],[Equity Peak]],(Tabla33610673484[[#This Row],[Equity Peak]]-Tabla33610673484[[#This Row],[Equity]])/Tabla33610673484[[#This Row],[Equity Peak]],"")</f>
        <v/>
      </c>
      <c r="V31" s="209">
        <f t="shared" si="7"/>
        <v>0.22</v>
      </c>
      <c r="W31" s="209">
        <f t="shared" si="8"/>
        <v>0</v>
      </c>
      <c r="X31" s="209">
        <f t="shared" si="9"/>
        <v>0</v>
      </c>
      <c r="Y31" s="209">
        <f t="shared" si="10"/>
        <v>0</v>
      </c>
      <c r="Z31" s="209">
        <f t="shared" si="11"/>
        <v>0</v>
      </c>
      <c r="AA31" s="205">
        <f t="shared" si="12"/>
        <v>0</v>
      </c>
      <c r="AB31" s="209">
        <f t="shared" si="13"/>
        <v>0</v>
      </c>
      <c r="AC31" s="205">
        <f t="shared" si="14"/>
        <v>0</v>
      </c>
      <c r="AD31" s="210">
        <f t="shared" si="15"/>
        <v>6.0812500000029104</v>
      </c>
      <c r="AE31" s="210">
        <f t="shared" si="16"/>
        <v>6.0812500000029104</v>
      </c>
      <c r="AF31" s="210">
        <f t="shared" si="17"/>
        <v>0</v>
      </c>
      <c r="AG31" s="210">
        <f t="shared" si="18"/>
        <v>0</v>
      </c>
    </row>
  </sheetData>
  <sheetProtection algorithmName="SHA-512" hashValue="HbHuTliEe7gxvUkskqcdBWsgZHRc7UqFE3KbUJ7Y7EATvWyM53rXt0gr80OXIXB0RyeVdhVhDurhLS2+u/qhrg==" saltValue="x0QJ0g36TdNmGQTaVXmfcQ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671" priority="3" operator="equal">
      <formula>"OK"</formula>
    </cfRule>
    <cfRule type="cellIs" dxfId="670" priority="4" operator="equal">
      <formula>"warning"</formula>
    </cfRule>
  </conditionalFormatting>
  <conditionalFormatting sqref="F13">
    <cfRule type="cellIs" dxfId="669" priority="1" operator="equal">
      <formula>"OK"</formula>
    </cfRule>
    <cfRule type="cellIs" dxfId="668" priority="2" operator="equal">
      <formula>"Error!!"</formula>
    </cfRule>
  </conditionalFormatting>
  <conditionalFormatting sqref="E15:H15 K15:L15">
    <cfRule type="expression" dxfId="667" priority="5">
      <formula>+$D15=#REF!</formula>
    </cfRule>
    <cfRule type="expression" dxfId="666" priority="6">
      <formula>+$D15=#REF!</formula>
    </cfRule>
  </conditionalFormatting>
  <conditionalFormatting sqref="D15 K16:L16 D16:H31 J17:L31">
    <cfRule type="expression" dxfId="665" priority="7">
      <formula>+$D15=$AG$8</formula>
    </cfRule>
    <cfRule type="expression" dxfId="664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5:B16" xr:uid="{08CA5309-B9DC-4EB3-96A6-435AE7DCDD62}">
      <formula1>$AE$4:$AE$6</formula1>
    </dataValidation>
    <dataValidation type="list" allowBlank="1" showInputMessage="1" showErrorMessage="1" promptTitle="Trade Direction" prompt="Select from List" sqref="C15:C16" xr:uid="{BD08AE71-C7EC-4592-8F8D-22C6D56288D3}">
      <formula1>$AG$4:$AG$5</formula1>
    </dataValidation>
    <dataValidation type="list" allowBlank="1" showInputMessage="1" showErrorMessage="1" promptTitle="Instrument Type" prompt="Select Type from List_x000a_" sqref="B17:B31" xr:uid="{2D9A71D5-B039-4177-827F-64C144FC015E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E7DDC-A67F-4755-88F6-9A0822B2356B}">
  <sheetPr codeName="Hoja23">
    <pageSetUpPr fitToPage="1"/>
  </sheetPr>
  <dimension ref="A1:AX30"/>
  <sheetViews>
    <sheetView showGridLines="0" showZeros="0" tabSelected="1" zoomScale="115" zoomScaleNormal="115" zoomScalePageLayoutView="99" workbookViewId="0">
      <pane ySplit="16" topLeftCell="A17" activePane="bottomLeft" state="frozen"/>
      <selection activeCell="E2" sqref="E2:N5"/>
      <selection pane="bottomLeft" activeCell="E2" sqref="E2:N5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123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COUNTA(Tabla336106734817[Inst])</f>
        <v>14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6.6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6.6</v>
      </c>
      <c r="W6" s="18"/>
      <c r="X6" s="17">
        <f>+X13</f>
        <v>0</v>
      </c>
      <c r="Y6" s="19"/>
      <c r="Z6" s="17">
        <f>+Z13</f>
        <v>0</v>
      </c>
      <c r="AA6" s="19"/>
      <c r="AB6" s="17">
        <f>+AB13</f>
        <v>0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COUNTIF(Tabla336106734817[No. of Rs],"&gt;0")</f>
        <v>4</v>
      </c>
      <c r="G7" s="24">
        <f>IFERROR((F7/$F$6),"")</f>
        <v>0.2857142857142857</v>
      </c>
      <c r="H7" s="78">
        <f>IFERROR((+P13/F7),"")</f>
        <v>2.3125000000000004</v>
      </c>
      <c r="I7" s="227">
        <f>H7/H9</f>
        <v>8.7264150943396235</v>
      </c>
      <c r="J7" s="227">
        <f>AVERAGE(Tabla336106734817[No. of Rs])</f>
        <v>0.47142857142857142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1</v>
      </c>
      <c r="W7" s="27"/>
      <c r="X7" s="26">
        <f>IFERROR((X6/N6),"")</f>
        <v>0</v>
      </c>
      <c r="Y7" s="28"/>
      <c r="Z7" s="26">
        <f>IFERROR((Z6/N6),"")</f>
        <v>0</v>
      </c>
      <c r="AA7" s="28"/>
      <c r="AB7" s="26">
        <f>IFERROR((AB6/N6),"")</f>
        <v>0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COUNTIF(Tabla336106734817[No. of Rs],"=0")</f>
        <v>0</v>
      </c>
      <c r="G8" s="24">
        <f>IFERROR((F8/$F$6),"")</f>
        <v>0</v>
      </c>
      <c r="H8" s="78"/>
      <c r="I8" s="228"/>
      <c r="J8" s="228"/>
      <c r="K8" s="163"/>
      <c r="L8" s="212" t="s">
        <v>112</v>
      </c>
      <c r="M8" s="213"/>
      <c r="N8" s="195">
        <f ca="1">OFFSET(Tabla336106734817[[#Headers],[Equity]],1,0)</f>
        <v>106600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COUNTIF(Tabla336106734817[No. of Rs],"&lt;0")</f>
        <v>10</v>
      </c>
      <c r="G9" s="32">
        <f>IFERROR((F9/$F$6),"")</f>
        <v>0.7142857142857143</v>
      </c>
      <c r="H9" s="79">
        <f>IFERROR((-Q13/F9),"")</f>
        <v>0.26500000000000001</v>
      </c>
      <c r="I9" s="229"/>
      <c r="J9" s="229"/>
      <c r="K9" s="149"/>
      <c r="L9" s="230" t="s">
        <v>106</v>
      </c>
      <c r="M9" s="231"/>
      <c r="N9" s="125">
        <f ca="1">MAX(Tabla336106734817[Drawdown])</f>
        <v>1.5733227785473976E-2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 t="str">
        <f ca="1">OFFSET(Tabla336106734817[[#Headers],[Drawdown]],1,0)</f>
        <v/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COUNTIF(Tabla336106734817[Heat],"&lt;0")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IF(COUNTIFS(Tabla336106734817[O/C],"O")&lt;1,"None",COUNTIFS(Tabla336106734817[O/C],"O"))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SUM(Tabla336106734817[No. of Rs])</f>
        <v>6.6</v>
      </c>
      <c r="O13" s="42">
        <f>SUM(Tabla336106734817[Heat])</f>
        <v>0</v>
      </c>
      <c r="P13" s="43">
        <f>SUM(Tabla336106734817[[ TR WIN]])</f>
        <v>9.2500000000000018</v>
      </c>
      <c r="Q13" s="43">
        <f>SUM(Tabla336106734817[[ TR LOSS]])</f>
        <v>-2.6500000000000004</v>
      </c>
      <c r="R13" s="114"/>
      <c r="S13" s="115"/>
      <c r="T13" s="115"/>
      <c r="U13" s="121"/>
      <c r="V13" s="44">
        <f>SUM(Tabla336106734817[Currency])</f>
        <v>6.6</v>
      </c>
      <c r="W13" s="44">
        <f>SUM(Tabla336106734817[Heat3])</f>
        <v>0</v>
      </c>
      <c r="X13" s="44">
        <f>SUM(Tabla336106734817[Commodities])</f>
        <v>0</v>
      </c>
      <c r="Y13" s="44">
        <f>SUM(Tabla336106734817[Heat4])</f>
        <v>0</v>
      </c>
      <c r="Z13" s="44">
        <f>SUM(Tabla336106734817[Index])</f>
        <v>0</v>
      </c>
      <c r="AA13" s="44">
        <f>SUM(Tabla336106734817[Heat5])</f>
        <v>0</v>
      </c>
      <c r="AB13" s="44">
        <f>SUM(Tabla336106734817[Cryptocurrency])</f>
        <v>0</v>
      </c>
      <c r="AC13" s="44">
        <f>SUM(Tabla336106734817[Heat6])</f>
        <v>0</v>
      </c>
      <c r="AD13" s="75">
        <f>AVERAGEIF(Tabla336106734817[Length of 
Trade],"&lt;&gt;0")</f>
        <v>6.2426091269839423</v>
      </c>
      <c r="AE13" s="75">
        <f>AVERAGEIF(Tabla336106734817[Win],"&lt;&gt;0")</f>
        <v>17.334895833331757</v>
      </c>
      <c r="AF13" s="75">
        <f>AVERAGEIF(Tabla336106734817[Loss],"&lt;&gt;0")</f>
        <v>1.8056944444448164</v>
      </c>
      <c r="AG13" s="76" t="e">
        <f>AVERAGEIF(Tabla336106734817[Breakeven],"&lt;&gt;0")</f>
        <v>#DIV/0!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2:33" ht="15" customHeight="1" x14ac:dyDescent="0.3">
      <c r="B17" s="196" t="s">
        <v>7</v>
      </c>
      <c r="C17" s="197" t="s">
        <v>15</v>
      </c>
      <c r="D17" s="198" t="str">
        <f t="shared" ref="D17:D30" si="0">IF(E17&lt;&gt;"",IF(K17&lt;&gt;"","C","O"),"")</f>
        <v>C</v>
      </c>
      <c r="E17" s="199">
        <v>43781.333333333336</v>
      </c>
      <c r="F17" s="200" t="s">
        <v>116</v>
      </c>
      <c r="G17" s="201">
        <v>1.87747</v>
      </c>
      <c r="H17" s="201">
        <v>1.85781</v>
      </c>
      <c r="I17" s="202">
        <f t="shared" ref="I17:I30" si="1">ABS(G17-H17)</f>
        <v>1.9660000000000011E-2</v>
      </c>
      <c r="J17" s="201">
        <v>1.9430000000000001</v>
      </c>
      <c r="K17" s="199">
        <v>43811.604166666664</v>
      </c>
      <c r="L17" s="201">
        <v>1.90743</v>
      </c>
      <c r="M17" s="203">
        <f t="shared" ref="M17:M30" si="2">ROUND(IF(C17="L",(L17-G17),(G17-L17)),4)</f>
        <v>0.03</v>
      </c>
      <c r="N17" s="204">
        <f t="shared" ref="N17:N30" si="3">IFERROR(ROUND((M17/I17),2),"")</f>
        <v>1.53</v>
      </c>
      <c r="O17" s="205">
        <f t="shared" ref="O17:O30" si="4">IF(D17="O",IF(N17&lt;0,N17,0),0)</f>
        <v>0</v>
      </c>
      <c r="P17" s="206">
        <f t="shared" ref="P17:P30" si="5">IF(N17&gt;= 0,N17,0)</f>
        <v>1.53</v>
      </c>
      <c r="Q17" s="206">
        <f t="shared" ref="Q17:Q30" si="6">IF(N17&lt;0,N17,0)</f>
        <v>0</v>
      </c>
      <c r="R17" s="206" t="str">
        <f ca="1">IF(AND(OFFSET(Tabla336106734817[[#This Row],[Equity]],1,0)="",Tabla336106734817[[#This Row],[No. of Rs]]&lt;0),"Yes",IF(AND(OFFSET(Tabla336106734817[[#This Row],[Initial Losing Trade]],1,0)="Yes",Tabla336106734817[[#This Row],[No. of Rs]]&lt;0),"Yes","No"))</f>
        <v>No</v>
      </c>
      <c r="S17" s="207">
        <f ca="1">IF(OFFSET(Tabla336106734817[[#This Row],[Equity]],1,0)="",IF(Tabla336106734817[[#This Row],[No. of Rs]]="",$F$11,$F$11+($F$11*Tabla336106734817[[#This Row],[No. of Rs]]/100)),IF(Tabla336106734817[[#This Row],[No. of Rs]]="",OFFSET(Tabla336106734817[[#This Row],[Equity]],1,0),OFFSET(Tabla336106734817[[#This Row],[Equity]],1,0)+($F$11*Tabla336106734817[[#This Row],[No. of Rs]]/100)))</f>
        <v>106600</v>
      </c>
      <c r="T17" s="207">
        <f ca="1">IF(OFFSET(Tabla336106734817[[#This Row],[Equity Peak]],1,0)="",IF(Tabla336106734817[[#This Row],[Initial Losing Trade]]="Yes",$F$11,Tabla336106734817[[#This Row],[Equity]]),IF(OFFSET(Tabla336106734817[[#This Row],[Equity Peak]],1,0)&gt;Tabla336106734817[[#This Row],[Equity]],OFFSET(Tabla336106734817[[#This Row],[Equity Peak]],1,0),Tabla336106734817[[#This Row],[Equity]]))</f>
        <v>106600</v>
      </c>
      <c r="U17" s="208" t="str">
        <f ca="1">IF(Tabla336106734817[[#This Row],[Equity]]&lt;Tabla336106734817[[#This Row],[Equity Peak]],(Tabla336106734817[[#This Row],[Equity Peak]]-Tabla336106734817[[#This Row],[Equity]])/Tabla336106734817[[#This Row],[Equity Peak]],"")</f>
        <v/>
      </c>
      <c r="V17" s="209">
        <f t="shared" ref="V17:V30" si="7">IF(B17="FX",N17,0)</f>
        <v>1.53</v>
      </c>
      <c r="W17" s="209">
        <f t="shared" ref="W17:W30" si="8">IF(D17="O",IF(V17&lt;0,V17,0),0)</f>
        <v>0</v>
      </c>
      <c r="X17" s="209">
        <f t="shared" ref="X17:X30" si="9">IF(B17="COM",N17,0)</f>
        <v>0</v>
      </c>
      <c r="Y17" s="209">
        <f t="shared" ref="Y17:Y30" si="10">IF(D17="O",IF(X17&lt;0,X17,0),0)</f>
        <v>0</v>
      </c>
      <c r="Z17" s="209">
        <f t="shared" ref="Z17:Z30" si="11">IF(B17="IND",N17,0)</f>
        <v>0</v>
      </c>
      <c r="AA17" s="205">
        <f t="shared" ref="AA17:AA30" si="12">IF(D17="O",IF(Z17&lt;0,Z17,0),0)</f>
        <v>0</v>
      </c>
      <c r="AB17" s="209">
        <f t="shared" ref="AB17:AB30" si="13">IF(B17="CRYPTO",N17,0)</f>
        <v>0</v>
      </c>
      <c r="AC17" s="205">
        <f t="shared" ref="AC17:AC30" si="14">IF(D17="O",IF(AB17&lt;0,AB17,0),0)</f>
        <v>0</v>
      </c>
      <c r="AD17" s="210">
        <f t="shared" ref="AD17:AD30" si="15">IF(K17&lt;&gt;"",K17-E17,0)</f>
        <v>30.270833333328483</v>
      </c>
      <c r="AE17" s="210">
        <f t="shared" ref="AE17:AE30" si="16">IF(N17&gt;0,AD17,0)</f>
        <v>30.270833333328483</v>
      </c>
      <c r="AF17" s="210">
        <f t="shared" ref="AF17:AF30" si="17">IF(N17&lt;0,AD17,0)</f>
        <v>0</v>
      </c>
      <c r="AG17" s="210">
        <f t="shared" ref="AG17:AG30" si="18">IF(N17=0,AD17,0)</f>
        <v>0</v>
      </c>
    </row>
    <row r="18" spans="2:33" ht="15" customHeight="1" x14ac:dyDescent="0.3">
      <c r="B18" s="196" t="s">
        <v>7</v>
      </c>
      <c r="C18" s="197" t="s">
        <v>15</v>
      </c>
      <c r="D18" s="198" t="str">
        <f t="shared" si="0"/>
        <v>C</v>
      </c>
      <c r="E18" s="199">
        <v>43749.5</v>
      </c>
      <c r="F18" s="200" t="s">
        <v>116</v>
      </c>
      <c r="G18" s="201">
        <v>1.8401400000000001</v>
      </c>
      <c r="H18" s="201">
        <v>1.82117</v>
      </c>
      <c r="I18" s="202">
        <f t="shared" si="1"/>
        <v>1.8970000000000153E-2</v>
      </c>
      <c r="J18" s="201">
        <v>1.9033599999999999</v>
      </c>
      <c r="K18" s="199">
        <v>43754.604166666664</v>
      </c>
      <c r="L18" s="201">
        <v>1.9033599999999999</v>
      </c>
      <c r="M18" s="203">
        <f t="shared" si="2"/>
        <v>6.3200000000000006E-2</v>
      </c>
      <c r="N18" s="204">
        <f t="shared" si="3"/>
        <v>3.33</v>
      </c>
      <c r="O18" s="205">
        <f t="shared" si="4"/>
        <v>0</v>
      </c>
      <c r="P18" s="206">
        <f t="shared" si="5"/>
        <v>3.33</v>
      </c>
      <c r="Q18" s="206">
        <f t="shared" si="6"/>
        <v>0</v>
      </c>
      <c r="R18" s="206" t="str">
        <f ca="1">IF(AND(OFFSET(Tabla336106734817[[#This Row],[Equity]],1,0)="",Tabla336106734817[[#This Row],[No. of Rs]]&lt;0),"Yes",IF(AND(OFFSET(Tabla336106734817[[#This Row],[Initial Losing Trade]],1,0)="Yes",Tabla336106734817[[#This Row],[No. of Rs]]&lt;0),"Yes","No"))</f>
        <v>No</v>
      </c>
      <c r="S18" s="207">
        <f ca="1">IF(OFFSET(Tabla336106734817[[#This Row],[Equity]],1,0)="",IF(Tabla336106734817[[#This Row],[No. of Rs]]="",$F$11,$F$11+($F$11*Tabla336106734817[[#This Row],[No. of Rs]]/100)),IF(Tabla336106734817[[#This Row],[No. of Rs]]="",OFFSET(Tabla336106734817[[#This Row],[Equity]],1,0),OFFSET(Tabla336106734817[[#This Row],[Equity]],1,0)+($F$11*Tabla336106734817[[#This Row],[No. of Rs]]/100)))</f>
        <v>105070</v>
      </c>
      <c r="T18" s="207">
        <f ca="1">IF(OFFSET(Tabla336106734817[[#This Row],[Equity Peak]],1,0)="",IF(Tabla336106734817[[#This Row],[Initial Losing Trade]]="Yes",$F$11,Tabla336106734817[[#This Row],[Equity]]),IF(OFFSET(Tabla336106734817[[#This Row],[Equity Peak]],1,0)&gt;Tabla336106734817[[#This Row],[Equity]],OFFSET(Tabla336106734817[[#This Row],[Equity Peak]],1,0),Tabla336106734817[[#This Row],[Equity]]))</f>
        <v>105070</v>
      </c>
      <c r="U18" s="208" t="str">
        <f ca="1">IF(Tabla336106734817[[#This Row],[Equity]]&lt;Tabla336106734817[[#This Row],[Equity Peak]],(Tabla336106734817[[#This Row],[Equity Peak]]-Tabla336106734817[[#This Row],[Equity]])/Tabla336106734817[[#This Row],[Equity Peak]],"")</f>
        <v/>
      </c>
      <c r="V18" s="209">
        <f t="shared" si="7"/>
        <v>3.33</v>
      </c>
      <c r="W18" s="209">
        <f t="shared" si="8"/>
        <v>0</v>
      </c>
      <c r="X18" s="209">
        <f t="shared" si="9"/>
        <v>0</v>
      </c>
      <c r="Y18" s="209">
        <f t="shared" si="10"/>
        <v>0</v>
      </c>
      <c r="Z18" s="209">
        <f t="shared" si="11"/>
        <v>0</v>
      </c>
      <c r="AA18" s="205">
        <f t="shared" si="12"/>
        <v>0</v>
      </c>
      <c r="AB18" s="209">
        <f t="shared" si="13"/>
        <v>0</v>
      </c>
      <c r="AC18" s="205">
        <f t="shared" si="14"/>
        <v>0</v>
      </c>
      <c r="AD18" s="210">
        <f t="shared" si="15"/>
        <v>5.1041666666642413</v>
      </c>
      <c r="AE18" s="210">
        <f t="shared" si="16"/>
        <v>5.1041666666642413</v>
      </c>
      <c r="AF18" s="210">
        <f t="shared" si="17"/>
        <v>0</v>
      </c>
      <c r="AG18" s="210">
        <f t="shared" si="18"/>
        <v>0</v>
      </c>
    </row>
    <row r="19" spans="2:33" ht="15" customHeight="1" x14ac:dyDescent="0.3">
      <c r="B19" s="196" t="s">
        <v>7</v>
      </c>
      <c r="C19" s="197" t="s">
        <v>15</v>
      </c>
      <c r="D19" s="198" t="str">
        <f t="shared" si="0"/>
        <v>C</v>
      </c>
      <c r="E19" s="199">
        <v>43740.017361111109</v>
      </c>
      <c r="F19" s="200" t="s">
        <v>116</v>
      </c>
      <c r="G19" s="201">
        <v>1.8351299999999999</v>
      </c>
      <c r="H19" s="201">
        <v>1.81596</v>
      </c>
      <c r="I19" s="202">
        <f t="shared" si="1"/>
        <v>1.9169999999999909E-2</v>
      </c>
      <c r="J19" s="201">
        <v>1.89903</v>
      </c>
      <c r="K19" s="199">
        <v>43741.915277777778</v>
      </c>
      <c r="L19" s="201">
        <v>1.83066</v>
      </c>
      <c r="M19" s="203">
        <f t="shared" si="2"/>
        <v>-4.4999999999999997E-3</v>
      </c>
      <c r="N19" s="204">
        <f t="shared" si="3"/>
        <v>-0.23</v>
      </c>
      <c r="O19" s="205">
        <f t="shared" si="4"/>
        <v>0</v>
      </c>
      <c r="P19" s="206">
        <f t="shared" si="5"/>
        <v>0</v>
      </c>
      <c r="Q19" s="206">
        <f t="shared" si="6"/>
        <v>-0.23</v>
      </c>
      <c r="R19" s="206" t="str">
        <f ca="1">IF(AND(OFFSET(Tabla336106734817[[#This Row],[Equity]],1,0)="",Tabla336106734817[[#This Row],[No. of Rs]]&lt;0),"Yes",IF(AND(OFFSET(Tabla336106734817[[#This Row],[Initial Losing Trade]],1,0)="Yes",Tabla336106734817[[#This Row],[No. of Rs]]&lt;0),"Yes","No"))</f>
        <v>No</v>
      </c>
      <c r="S19" s="207">
        <f ca="1">IF(OFFSET(Tabla336106734817[[#This Row],[Equity]],1,0)="",IF(Tabla336106734817[[#This Row],[No. of Rs]]="",$F$11,$F$11+($F$11*Tabla336106734817[[#This Row],[No. of Rs]]/100)),IF(Tabla336106734817[[#This Row],[No. of Rs]]="",OFFSET(Tabla336106734817[[#This Row],[Equity]],1,0),OFFSET(Tabla336106734817[[#This Row],[Equity]],1,0)+($F$11*Tabla336106734817[[#This Row],[No. of Rs]]/100)))</f>
        <v>101740</v>
      </c>
      <c r="T19" s="207">
        <f ca="1">IF(OFFSET(Tabla336106734817[[#This Row],[Equity Peak]],1,0)="",IF(Tabla336106734817[[#This Row],[Initial Losing Trade]]="Yes",$F$11,Tabla336106734817[[#This Row],[Equity]]),IF(OFFSET(Tabla336106734817[[#This Row],[Equity Peak]],1,0)&gt;Tabla336106734817[[#This Row],[Equity]],OFFSET(Tabla336106734817[[#This Row],[Equity Peak]],1,0),Tabla336106734817[[#This Row],[Equity]]))</f>
        <v>102800</v>
      </c>
      <c r="U19" s="208">
        <f ca="1">IF(Tabla336106734817[[#This Row],[Equity]]&lt;Tabla336106734817[[#This Row],[Equity Peak]],(Tabla336106734817[[#This Row],[Equity Peak]]-Tabla336106734817[[#This Row],[Equity]])/Tabla336106734817[[#This Row],[Equity Peak]],"")</f>
        <v>1.0311284046692607E-2</v>
      </c>
      <c r="V19" s="209">
        <f t="shared" si="7"/>
        <v>-0.23</v>
      </c>
      <c r="W19" s="209">
        <f t="shared" si="8"/>
        <v>0</v>
      </c>
      <c r="X19" s="209">
        <f t="shared" si="9"/>
        <v>0</v>
      </c>
      <c r="Y19" s="209">
        <f t="shared" si="10"/>
        <v>0</v>
      </c>
      <c r="Z19" s="209">
        <f t="shared" si="11"/>
        <v>0</v>
      </c>
      <c r="AA19" s="205">
        <f t="shared" si="12"/>
        <v>0</v>
      </c>
      <c r="AB19" s="209">
        <f t="shared" si="13"/>
        <v>0</v>
      </c>
      <c r="AC19" s="205">
        <f t="shared" si="14"/>
        <v>0</v>
      </c>
      <c r="AD19" s="210">
        <f t="shared" si="15"/>
        <v>1.8979166666686069</v>
      </c>
      <c r="AE19" s="210">
        <f t="shared" si="16"/>
        <v>0</v>
      </c>
      <c r="AF19" s="210">
        <f t="shared" si="17"/>
        <v>1.8979166666686069</v>
      </c>
      <c r="AG19" s="210">
        <f t="shared" si="18"/>
        <v>0</v>
      </c>
    </row>
    <row r="20" spans="2:33" ht="15" customHeight="1" x14ac:dyDescent="0.3">
      <c r="B20" s="196" t="s">
        <v>7</v>
      </c>
      <c r="C20" s="197" t="s">
        <v>15</v>
      </c>
      <c r="D20" s="198" t="str">
        <f t="shared" si="0"/>
        <v>C</v>
      </c>
      <c r="E20" s="199">
        <v>43721.666666666664</v>
      </c>
      <c r="F20" s="200" t="s">
        <v>116</v>
      </c>
      <c r="G20" s="201">
        <v>1.8119700000000001</v>
      </c>
      <c r="H20" s="201">
        <v>1.79244</v>
      </c>
      <c r="I20" s="202">
        <f t="shared" si="1"/>
        <v>1.9530000000000047E-2</v>
      </c>
      <c r="J20" s="201">
        <v>1.87706</v>
      </c>
      <c r="K20" s="199">
        <v>43724.438888888886</v>
      </c>
      <c r="L20" s="201">
        <v>1.8068599999999999</v>
      </c>
      <c r="M20" s="203">
        <f t="shared" si="2"/>
        <v>-5.1000000000000004E-3</v>
      </c>
      <c r="N20" s="204">
        <f t="shared" si="3"/>
        <v>-0.26</v>
      </c>
      <c r="O20" s="205">
        <f t="shared" si="4"/>
        <v>0</v>
      </c>
      <c r="P20" s="206">
        <f t="shared" si="5"/>
        <v>0</v>
      </c>
      <c r="Q20" s="206">
        <f t="shared" si="6"/>
        <v>-0.26</v>
      </c>
      <c r="R20" s="206" t="str">
        <f ca="1">IF(AND(OFFSET(Tabla336106734817[[#This Row],[Equity]],1,0)="",Tabla336106734817[[#This Row],[No. of Rs]]&lt;0),"Yes",IF(AND(OFFSET(Tabla336106734817[[#This Row],[Initial Losing Trade]],1,0)="Yes",Tabla336106734817[[#This Row],[No. of Rs]]&lt;0),"Yes","No"))</f>
        <v>No</v>
      </c>
      <c r="S20" s="207">
        <f ca="1">IF(OFFSET(Tabla336106734817[[#This Row],[Equity]],1,0)="",IF(Tabla336106734817[[#This Row],[No. of Rs]]="",$F$11,$F$11+($F$11*Tabla336106734817[[#This Row],[No. of Rs]]/100)),IF(Tabla336106734817[[#This Row],[No. of Rs]]="",OFFSET(Tabla336106734817[[#This Row],[Equity]],1,0),OFFSET(Tabla336106734817[[#This Row],[Equity]],1,0)+($F$11*Tabla336106734817[[#This Row],[No. of Rs]]/100)))</f>
        <v>101970</v>
      </c>
      <c r="T20" s="207">
        <f ca="1">IF(OFFSET(Tabla336106734817[[#This Row],[Equity Peak]],1,0)="",IF(Tabla336106734817[[#This Row],[Initial Losing Trade]]="Yes",$F$11,Tabla336106734817[[#This Row],[Equity]]),IF(OFFSET(Tabla336106734817[[#This Row],[Equity Peak]],1,0)&gt;Tabla336106734817[[#This Row],[Equity]],OFFSET(Tabla336106734817[[#This Row],[Equity Peak]],1,0),Tabla336106734817[[#This Row],[Equity]]))</f>
        <v>102800</v>
      </c>
      <c r="U20" s="208">
        <f ca="1">IF(Tabla336106734817[[#This Row],[Equity]]&lt;Tabla336106734817[[#This Row],[Equity Peak]],(Tabla336106734817[[#This Row],[Equity Peak]]-Tabla336106734817[[#This Row],[Equity]])/Tabla336106734817[[#This Row],[Equity Peak]],"")</f>
        <v>8.073929961089495E-3</v>
      </c>
      <c r="V20" s="209">
        <f t="shared" si="7"/>
        <v>-0.26</v>
      </c>
      <c r="W20" s="209">
        <f t="shared" si="8"/>
        <v>0</v>
      </c>
      <c r="X20" s="209">
        <f t="shared" si="9"/>
        <v>0</v>
      </c>
      <c r="Y20" s="209">
        <f t="shared" si="10"/>
        <v>0</v>
      </c>
      <c r="Z20" s="209">
        <f t="shared" si="11"/>
        <v>0</v>
      </c>
      <c r="AA20" s="205">
        <f t="shared" si="12"/>
        <v>0</v>
      </c>
      <c r="AB20" s="209">
        <f t="shared" si="13"/>
        <v>0</v>
      </c>
      <c r="AC20" s="205">
        <f t="shared" si="14"/>
        <v>0</v>
      </c>
      <c r="AD20" s="210">
        <f t="shared" si="15"/>
        <v>2.7722222222218988</v>
      </c>
      <c r="AE20" s="210">
        <f t="shared" si="16"/>
        <v>0</v>
      </c>
      <c r="AF20" s="210">
        <f t="shared" si="17"/>
        <v>2.7722222222218988</v>
      </c>
      <c r="AG20" s="210">
        <f t="shared" si="18"/>
        <v>0</v>
      </c>
    </row>
    <row r="21" spans="2:33" ht="15" customHeight="1" x14ac:dyDescent="0.3">
      <c r="B21" s="196" t="s">
        <v>7</v>
      </c>
      <c r="C21" s="197" t="s">
        <v>13</v>
      </c>
      <c r="D21" s="198" t="str">
        <f t="shared" si="0"/>
        <v>C</v>
      </c>
      <c r="E21" s="199">
        <v>43711.017361111109</v>
      </c>
      <c r="F21" s="200" t="s">
        <v>116</v>
      </c>
      <c r="G21" s="201">
        <v>1.7962800000000001</v>
      </c>
      <c r="H21" s="201">
        <v>1.8158799999999999</v>
      </c>
      <c r="I21" s="202">
        <f t="shared" si="1"/>
        <v>1.959999999999984E-2</v>
      </c>
      <c r="J21" s="201">
        <v>1.7309399999999999</v>
      </c>
      <c r="K21" s="199">
        <v>43712.581944444442</v>
      </c>
      <c r="L21" s="201">
        <v>1.79718</v>
      </c>
      <c r="M21" s="203">
        <f t="shared" si="2"/>
        <v>-8.9999999999999998E-4</v>
      </c>
      <c r="N21" s="204">
        <f t="shared" si="3"/>
        <v>-0.05</v>
      </c>
      <c r="O21" s="205">
        <f t="shared" si="4"/>
        <v>0</v>
      </c>
      <c r="P21" s="206">
        <f t="shared" si="5"/>
        <v>0</v>
      </c>
      <c r="Q21" s="206">
        <f t="shared" si="6"/>
        <v>-0.05</v>
      </c>
      <c r="R21" s="206" t="str">
        <f ca="1">IF(AND(OFFSET(Tabla336106734817[[#This Row],[Equity]],1,0)="",Tabla336106734817[[#This Row],[No. of Rs]]&lt;0),"Yes",IF(AND(OFFSET(Tabla336106734817[[#This Row],[Initial Losing Trade]],1,0)="Yes",Tabla336106734817[[#This Row],[No. of Rs]]&lt;0),"Yes","No"))</f>
        <v>No</v>
      </c>
      <c r="S21" s="207">
        <f ca="1">IF(OFFSET(Tabla336106734817[[#This Row],[Equity]],1,0)="",IF(Tabla336106734817[[#This Row],[No. of Rs]]="",$F$11,$F$11+($F$11*Tabla336106734817[[#This Row],[No. of Rs]]/100)),IF(Tabla336106734817[[#This Row],[No. of Rs]]="",OFFSET(Tabla336106734817[[#This Row],[Equity]],1,0),OFFSET(Tabla336106734817[[#This Row],[Equity]],1,0)+($F$11*Tabla336106734817[[#This Row],[No. of Rs]]/100)))</f>
        <v>102230</v>
      </c>
      <c r="T21" s="207">
        <f ca="1">IF(OFFSET(Tabla336106734817[[#This Row],[Equity Peak]],1,0)="",IF(Tabla336106734817[[#This Row],[Initial Losing Trade]]="Yes",$F$11,Tabla336106734817[[#This Row],[Equity]]),IF(OFFSET(Tabla336106734817[[#This Row],[Equity Peak]],1,0)&gt;Tabla336106734817[[#This Row],[Equity]],OFFSET(Tabla336106734817[[#This Row],[Equity Peak]],1,0),Tabla336106734817[[#This Row],[Equity]]))</f>
        <v>102800</v>
      </c>
      <c r="U21" s="208">
        <f ca="1">IF(Tabla336106734817[[#This Row],[Equity]]&lt;Tabla336106734817[[#This Row],[Equity Peak]],(Tabla336106734817[[#This Row],[Equity Peak]]-Tabla336106734817[[#This Row],[Equity]])/Tabla336106734817[[#This Row],[Equity Peak]],"")</f>
        <v>5.5447470817120625E-3</v>
      </c>
      <c r="V21" s="209">
        <f t="shared" si="7"/>
        <v>-0.05</v>
      </c>
      <c r="W21" s="209">
        <f t="shared" si="8"/>
        <v>0</v>
      </c>
      <c r="X21" s="209">
        <f t="shared" si="9"/>
        <v>0</v>
      </c>
      <c r="Y21" s="209">
        <f t="shared" si="10"/>
        <v>0</v>
      </c>
      <c r="Z21" s="209">
        <f t="shared" si="11"/>
        <v>0</v>
      </c>
      <c r="AA21" s="205">
        <f t="shared" si="12"/>
        <v>0</v>
      </c>
      <c r="AB21" s="209">
        <f t="shared" si="13"/>
        <v>0</v>
      </c>
      <c r="AC21" s="205">
        <f t="shared" si="14"/>
        <v>0</v>
      </c>
      <c r="AD21" s="210">
        <f t="shared" si="15"/>
        <v>1.5645833333328483</v>
      </c>
      <c r="AE21" s="210">
        <f t="shared" si="16"/>
        <v>0</v>
      </c>
      <c r="AF21" s="210">
        <f t="shared" si="17"/>
        <v>1.5645833333328483</v>
      </c>
      <c r="AG21" s="210">
        <f t="shared" si="18"/>
        <v>0</v>
      </c>
    </row>
    <row r="22" spans="2:33" ht="15" customHeight="1" x14ac:dyDescent="0.3">
      <c r="B22" s="196" t="s">
        <v>7</v>
      </c>
      <c r="C22" s="197" t="s">
        <v>13</v>
      </c>
      <c r="D22" s="198" t="str">
        <f t="shared" si="0"/>
        <v>C</v>
      </c>
      <c r="E22" s="199">
        <v>43686.833333333336</v>
      </c>
      <c r="F22" s="200" t="s">
        <v>116</v>
      </c>
      <c r="G22" s="201">
        <v>1.77695</v>
      </c>
      <c r="H22" s="201">
        <v>1.79433</v>
      </c>
      <c r="I22" s="202">
        <f t="shared" si="1"/>
        <v>1.7379999999999951E-2</v>
      </c>
      <c r="J22" s="201">
        <v>1.7190300000000001</v>
      </c>
      <c r="K22" s="199">
        <v>43689.415972222225</v>
      </c>
      <c r="L22" s="201">
        <v>1.78091</v>
      </c>
      <c r="M22" s="203">
        <f t="shared" si="2"/>
        <v>-4.0000000000000001E-3</v>
      </c>
      <c r="N22" s="204">
        <f t="shared" si="3"/>
        <v>-0.23</v>
      </c>
      <c r="O22" s="205">
        <f t="shared" si="4"/>
        <v>0</v>
      </c>
      <c r="P22" s="206">
        <f t="shared" si="5"/>
        <v>0</v>
      </c>
      <c r="Q22" s="206">
        <f t="shared" si="6"/>
        <v>-0.23</v>
      </c>
      <c r="R22" s="206" t="str">
        <f ca="1">IF(AND(OFFSET(Tabla336106734817[[#This Row],[Equity]],1,0)="",Tabla336106734817[[#This Row],[No. of Rs]]&lt;0),"Yes",IF(AND(OFFSET(Tabla336106734817[[#This Row],[Initial Losing Trade]],1,0)="Yes",Tabla336106734817[[#This Row],[No. of Rs]]&lt;0),"Yes","No"))</f>
        <v>No</v>
      </c>
      <c r="S22" s="207">
        <f ca="1">IF(OFFSET(Tabla336106734817[[#This Row],[Equity]],1,0)="",IF(Tabla336106734817[[#This Row],[No. of Rs]]="",$F$11,$F$11+($F$11*Tabla336106734817[[#This Row],[No. of Rs]]/100)),IF(Tabla336106734817[[#This Row],[No. of Rs]]="",OFFSET(Tabla336106734817[[#This Row],[Equity]],1,0),OFFSET(Tabla336106734817[[#This Row],[Equity]],1,0)+($F$11*Tabla336106734817[[#This Row],[No. of Rs]]/100)))</f>
        <v>102280</v>
      </c>
      <c r="T22" s="207">
        <f ca="1">IF(OFFSET(Tabla336106734817[[#This Row],[Equity Peak]],1,0)="",IF(Tabla336106734817[[#This Row],[Initial Losing Trade]]="Yes",$F$11,Tabla336106734817[[#This Row],[Equity]]),IF(OFFSET(Tabla336106734817[[#This Row],[Equity Peak]],1,0)&gt;Tabla336106734817[[#This Row],[Equity]],OFFSET(Tabla336106734817[[#This Row],[Equity Peak]],1,0),Tabla336106734817[[#This Row],[Equity]]))</f>
        <v>102800</v>
      </c>
      <c r="U22" s="208">
        <f ca="1">IF(Tabla336106734817[[#This Row],[Equity]]&lt;Tabla336106734817[[#This Row],[Equity Peak]],(Tabla336106734817[[#This Row],[Equity Peak]]-Tabla336106734817[[#This Row],[Equity]])/Tabla336106734817[[#This Row],[Equity Peak]],"")</f>
        <v>5.0583657587548641E-3</v>
      </c>
      <c r="V22" s="209">
        <f t="shared" si="7"/>
        <v>-0.23</v>
      </c>
      <c r="W22" s="209">
        <f t="shared" si="8"/>
        <v>0</v>
      </c>
      <c r="X22" s="209">
        <f t="shared" si="9"/>
        <v>0</v>
      </c>
      <c r="Y22" s="209">
        <f t="shared" si="10"/>
        <v>0</v>
      </c>
      <c r="Z22" s="209">
        <f t="shared" si="11"/>
        <v>0</v>
      </c>
      <c r="AA22" s="205">
        <f t="shared" si="12"/>
        <v>0</v>
      </c>
      <c r="AB22" s="209">
        <f t="shared" si="13"/>
        <v>0</v>
      </c>
      <c r="AC22" s="205">
        <f t="shared" si="14"/>
        <v>0</v>
      </c>
      <c r="AD22" s="210">
        <f t="shared" si="15"/>
        <v>2.5826388888890506</v>
      </c>
      <c r="AE22" s="210">
        <f t="shared" si="16"/>
        <v>0</v>
      </c>
      <c r="AF22" s="210">
        <f t="shared" si="17"/>
        <v>2.5826388888890506</v>
      </c>
      <c r="AG22" s="210">
        <f t="shared" si="18"/>
        <v>0</v>
      </c>
    </row>
    <row r="23" spans="2:33" ht="15" customHeight="1" x14ac:dyDescent="0.3">
      <c r="B23" s="196" t="s">
        <v>7</v>
      </c>
      <c r="C23" s="197" t="s">
        <v>13</v>
      </c>
      <c r="D23" s="198" t="str">
        <f t="shared" si="0"/>
        <v>C</v>
      </c>
      <c r="E23" s="199">
        <v>43676.166666666664</v>
      </c>
      <c r="F23" s="200" t="s">
        <v>116</v>
      </c>
      <c r="G23" s="201">
        <v>1.76874</v>
      </c>
      <c r="H23" s="201">
        <v>1.7815000000000001</v>
      </c>
      <c r="I23" s="202">
        <f t="shared" si="1"/>
        <v>1.2760000000000105E-2</v>
      </c>
      <c r="J23" s="201">
        <v>1.72621</v>
      </c>
      <c r="K23" s="199">
        <v>43676.776388888888</v>
      </c>
      <c r="L23" s="201">
        <v>1.77244</v>
      </c>
      <c r="M23" s="203">
        <f t="shared" si="2"/>
        <v>-3.7000000000000002E-3</v>
      </c>
      <c r="N23" s="204">
        <f t="shared" si="3"/>
        <v>-0.28999999999999998</v>
      </c>
      <c r="O23" s="205">
        <f t="shared" si="4"/>
        <v>0</v>
      </c>
      <c r="P23" s="206">
        <f t="shared" si="5"/>
        <v>0</v>
      </c>
      <c r="Q23" s="206">
        <f t="shared" si="6"/>
        <v>-0.28999999999999998</v>
      </c>
      <c r="R23" s="206" t="str">
        <f ca="1">IF(AND(OFFSET(Tabla336106734817[[#This Row],[Equity]],1,0)="",Tabla336106734817[[#This Row],[No. of Rs]]&lt;0),"Yes",IF(AND(OFFSET(Tabla336106734817[[#This Row],[Initial Losing Trade]],1,0)="Yes",Tabla336106734817[[#This Row],[No. of Rs]]&lt;0),"Yes","No"))</f>
        <v>No</v>
      </c>
      <c r="S23" s="207">
        <f ca="1">IF(OFFSET(Tabla336106734817[[#This Row],[Equity]],1,0)="",IF(Tabla336106734817[[#This Row],[No. of Rs]]="",$F$11,$F$11+($F$11*Tabla336106734817[[#This Row],[No. of Rs]]/100)),IF(Tabla336106734817[[#This Row],[No. of Rs]]="",OFFSET(Tabla336106734817[[#This Row],[Equity]],1,0),OFFSET(Tabla336106734817[[#This Row],[Equity]],1,0)+($F$11*Tabla336106734817[[#This Row],[No. of Rs]]/100)))</f>
        <v>102510</v>
      </c>
      <c r="T23" s="207">
        <f ca="1">IF(OFFSET(Tabla336106734817[[#This Row],[Equity Peak]],1,0)="",IF(Tabla336106734817[[#This Row],[Initial Losing Trade]]="Yes",$F$11,Tabla336106734817[[#This Row],[Equity]]),IF(OFFSET(Tabla336106734817[[#This Row],[Equity Peak]],1,0)&gt;Tabla336106734817[[#This Row],[Equity]],OFFSET(Tabla336106734817[[#This Row],[Equity Peak]],1,0),Tabla336106734817[[#This Row],[Equity]]))</f>
        <v>102800</v>
      </c>
      <c r="U23" s="208">
        <f ca="1">IF(Tabla336106734817[[#This Row],[Equity]]&lt;Tabla336106734817[[#This Row],[Equity Peak]],(Tabla336106734817[[#This Row],[Equity Peak]]-Tabla336106734817[[#This Row],[Equity]])/Tabla336106734817[[#This Row],[Equity Peak]],"")</f>
        <v>2.8210116731517509E-3</v>
      </c>
      <c r="V23" s="209">
        <f t="shared" si="7"/>
        <v>-0.28999999999999998</v>
      </c>
      <c r="W23" s="209">
        <f t="shared" si="8"/>
        <v>0</v>
      </c>
      <c r="X23" s="209">
        <f t="shared" si="9"/>
        <v>0</v>
      </c>
      <c r="Y23" s="209">
        <f t="shared" si="10"/>
        <v>0</v>
      </c>
      <c r="Z23" s="209">
        <f t="shared" si="11"/>
        <v>0</v>
      </c>
      <c r="AA23" s="205">
        <f t="shared" si="12"/>
        <v>0</v>
      </c>
      <c r="AB23" s="209">
        <f t="shared" si="13"/>
        <v>0</v>
      </c>
      <c r="AC23" s="205">
        <f t="shared" si="14"/>
        <v>0</v>
      </c>
      <c r="AD23" s="210">
        <f t="shared" si="15"/>
        <v>0.60972222222335404</v>
      </c>
      <c r="AE23" s="210">
        <f t="shared" si="16"/>
        <v>0</v>
      </c>
      <c r="AF23" s="210">
        <f t="shared" si="17"/>
        <v>0.60972222222335404</v>
      </c>
      <c r="AG23" s="210">
        <f t="shared" si="18"/>
        <v>0</v>
      </c>
    </row>
    <row r="24" spans="2:33" ht="15" customHeight="1" x14ac:dyDescent="0.3">
      <c r="B24" s="196" t="s">
        <v>7</v>
      </c>
      <c r="C24" s="197" t="s">
        <v>13</v>
      </c>
      <c r="D24" s="198" t="str">
        <f t="shared" si="0"/>
        <v>C</v>
      </c>
      <c r="E24" s="199">
        <v>43641.666666666664</v>
      </c>
      <c r="F24" s="200" t="s">
        <v>116</v>
      </c>
      <c r="G24" s="201">
        <v>1.8263100000000001</v>
      </c>
      <c r="H24" s="201">
        <v>1.8390899999999999</v>
      </c>
      <c r="I24" s="202">
        <f t="shared" si="1"/>
        <v>1.2779999999999792E-2</v>
      </c>
      <c r="J24" s="201">
        <v>1.7837000000000001</v>
      </c>
      <c r="K24" s="199">
        <v>43661.576388888891</v>
      </c>
      <c r="L24" s="201">
        <v>1.7837000000000001</v>
      </c>
      <c r="M24" s="203">
        <f t="shared" si="2"/>
        <v>4.2599999999999999E-2</v>
      </c>
      <c r="N24" s="204">
        <f t="shared" si="3"/>
        <v>3.33</v>
      </c>
      <c r="O24" s="205">
        <f t="shared" si="4"/>
        <v>0</v>
      </c>
      <c r="P24" s="206">
        <f t="shared" si="5"/>
        <v>3.33</v>
      </c>
      <c r="Q24" s="206">
        <f t="shared" si="6"/>
        <v>0</v>
      </c>
      <c r="R24" s="206" t="str">
        <f ca="1">IF(AND(OFFSET(Tabla336106734817[[#This Row],[Equity]],1,0)="",Tabla336106734817[[#This Row],[No. of Rs]]&lt;0),"Yes",IF(AND(OFFSET(Tabla336106734817[[#This Row],[Initial Losing Trade]],1,0)="Yes",Tabla336106734817[[#This Row],[No. of Rs]]&lt;0),"Yes","No"))</f>
        <v>No</v>
      </c>
      <c r="S24" s="207">
        <f ca="1">IF(OFFSET(Tabla336106734817[[#This Row],[Equity]],1,0)="",IF(Tabla336106734817[[#This Row],[No. of Rs]]="",$F$11,$F$11+($F$11*Tabla336106734817[[#This Row],[No. of Rs]]/100)),IF(Tabla336106734817[[#This Row],[No. of Rs]]="",OFFSET(Tabla336106734817[[#This Row],[Equity]],1,0),OFFSET(Tabla336106734817[[#This Row],[Equity]],1,0)+($F$11*Tabla336106734817[[#This Row],[No. of Rs]]/100)))</f>
        <v>102800</v>
      </c>
      <c r="T24" s="207">
        <f ca="1">IF(OFFSET(Tabla336106734817[[#This Row],[Equity Peak]],1,0)="",IF(Tabla336106734817[[#This Row],[Initial Losing Trade]]="Yes",$F$11,Tabla336106734817[[#This Row],[Equity]]),IF(OFFSET(Tabla336106734817[[#This Row],[Equity Peak]],1,0)&gt;Tabla336106734817[[#This Row],[Equity]],OFFSET(Tabla336106734817[[#This Row],[Equity Peak]],1,0),Tabla336106734817[[#This Row],[Equity]]))</f>
        <v>102800</v>
      </c>
      <c r="U24" s="208" t="str">
        <f ca="1">IF(Tabla336106734817[[#This Row],[Equity]]&lt;Tabla336106734817[[#This Row],[Equity Peak]],(Tabla336106734817[[#This Row],[Equity Peak]]-Tabla336106734817[[#This Row],[Equity]])/Tabla336106734817[[#This Row],[Equity Peak]],"")</f>
        <v/>
      </c>
      <c r="V24" s="209">
        <f t="shared" si="7"/>
        <v>3.33</v>
      </c>
      <c r="W24" s="209">
        <f t="shared" si="8"/>
        <v>0</v>
      </c>
      <c r="X24" s="209">
        <f t="shared" si="9"/>
        <v>0</v>
      </c>
      <c r="Y24" s="209">
        <f t="shared" si="10"/>
        <v>0</v>
      </c>
      <c r="Z24" s="209">
        <f t="shared" si="11"/>
        <v>0</v>
      </c>
      <c r="AA24" s="205">
        <f t="shared" si="12"/>
        <v>0</v>
      </c>
      <c r="AB24" s="209">
        <f t="shared" si="13"/>
        <v>0</v>
      </c>
      <c r="AC24" s="205">
        <f t="shared" si="14"/>
        <v>0</v>
      </c>
      <c r="AD24" s="210">
        <f t="shared" si="15"/>
        <v>19.909722222226264</v>
      </c>
      <c r="AE24" s="210">
        <f t="shared" si="16"/>
        <v>19.909722222226264</v>
      </c>
      <c r="AF24" s="210">
        <f t="shared" si="17"/>
        <v>0</v>
      </c>
      <c r="AG24" s="210">
        <f t="shared" si="18"/>
        <v>0</v>
      </c>
    </row>
    <row r="25" spans="2:33" ht="15" customHeight="1" x14ac:dyDescent="0.3">
      <c r="B25" s="196" t="s">
        <v>7</v>
      </c>
      <c r="C25" s="197" t="s">
        <v>15</v>
      </c>
      <c r="D25" s="198" t="str">
        <f t="shared" si="0"/>
        <v>C</v>
      </c>
      <c r="E25" s="199">
        <v>43579.333333333336</v>
      </c>
      <c r="F25" s="200" t="s">
        <v>116</v>
      </c>
      <c r="G25" s="201">
        <v>1.8389599999999999</v>
      </c>
      <c r="H25" s="201">
        <v>1.8212900000000001</v>
      </c>
      <c r="I25" s="202">
        <f t="shared" si="1"/>
        <v>1.7669999999999852E-2</v>
      </c>
      <c r="J25" s="201">
        <v>1.89785</v>
      </c>
      <c r="K25" s="199">
        <v>43581.55</v>
      </c>
      <c r="L25" s="201">
        <v>1.83412</v>
      </c>
      <c r="M25" s="203">
        <f t="shared" si="2"/>
        <v>-4.7999999999999996E-3</v>
      </c>
      <c r="N25" s="204">
        <f t="shared" si="3"/>
        <v>-0.27</v>
      </c>
      <c r="O25" s="205">
        <f t="shared" si="4"/>
        <v>0</v>
      </c>
      <c r="P25" s="206">
        <f t="shared" si="5"/>
        <v>0</v>
      </c>
      <c r="Q25" s="206">
        <f t="shared" si="6"/>
        <v>-0.27</v>
      </c>
      <c r="R25" s="206" t="str">
        <f ca="1">IF(AND(OFFSET(Tabla336106734817[[#This Row],[Equity]],1,0)="",Tabla336106734817[[#This Row],[No. of Rs]]&lt;0),"Yes",IF(AND(OFFSET(Tabla336106734817[[#This Row],[Initial Losing Trade]],1,0)="Yes",Tabla336106734817[[#This Row],[No. of Rs]]&lt;0),"Yes","No"))</f>
        <v>No</v>
      </c>
      <c r="S25" s="207">
        <f ca="1">IF(OFFSET(Tabla336106734817[[#This Row],[Equity]],1,0)="",IF(Tabla336106734817[[#This Row],[No. of Rs]]="",$F$11,$F$11+($F$11*Tabla336106734817[[#This Row],[No. of Rs]]/100)),IF(Tabla336106734817[[#This Row],[No. of Rs]]="",OFFSET(Tabla336106734817[[#This Row],[Equity]],1,0),OFFSET(Tabla336106734817[[#This Row],[Equity]],1,0)+($F$11*Tabla336106734817[[#This Row],[No. of Rs]]/100)))</f>
        <v>99470</v>
      </c>
      <c r="T25" s="207">
        <f ca="1">IF(OFFSET(Tabla336106734817[[#This Row],[Equity Peak]],1,0)="",IF(Tabla336106734817[[#This Row],[Initial Losing Trade]]="Yes",$F$11,Tabla336106734817[[#This Row],[Equity]]),IF(OFFSET(Tabla336106734817[[#This Row],[Equity Peak]],1,0)&gt;Tabla336106734817[[#This Row],[Equity]],OFFSET(Tabla336106734817[[#This Row],[Equity Peak]],1,0),Tabla336106734817[[#This Row],[Equity]]))</f>
        <v>101060</v>
      </c>
      <c r="U25" s="208">
        <f ca="1">IF(Tabla336106734817[[#This Row],[Equity]]&lt;Tabla336106734817[[#This Row],[Equity Peak]],(Tabla336106734817[[#This Row],[Equity Peak]]-Tabla336106734817[[#This Row],[Equity]])/Tabla336106734817[[#This Row],[Equity Peak]],"")</f>
        <v>1.5733227785473976E-2</v>
      </c>
      <c r="V25" s="209">
        <f t="shared" si="7"/>
        <v>-0.27</v>
      </c>
      <c r="W25" s="209">
        <f t="shared" si="8"/>
        <v>0</v>
      </c>
      <c r="X25" s="209">
        <f t="shared" si="9"/>
        <v>0</v>
      </c>
      <c r="Y25" s="209">
        <f t="shared" si="10"/>
        <v>0</v>
      </c>
      <c r="Z25" s="209">
        <f t="shared" si="11"/>
        <v>0</v>
      </c>
      <c r="AA25" s="205">
        <f t="shared" si="12"/>
        <v>0</v>
      </c>
      <c r="AB25" s="209">
        <f t="shared" si="13"/>
        <v>0</v>
      </c>
      <c r="AC25" s="205">
        <f t="shared" si="14"/>
        <v>0</v>
      </c>
      <c r="AD25" s="210">
        <f t="shared" si="15"/>
        <v>2.2166666666671517</v>
      </c>
      <c r="AE25" s="210">
        <f t="shared" si="16"/>
        <v>0</v>
      </c>
      <c r="AF25" s="210">
        <f t="shared" si="17"/>
        <v>2.2166666666671517</v>
      </c>
      <c r="AG25" s="210">
        <f t="shared" si="18"/>
        <v>0</v>
      </c>
    </row>
    <row r="26" spans="2:33" ht="15" customHeight="1" x14ac:dyDescent="0.3">
      <c r="B26" s="196" t="s">
        <v>7</v>
      </c>
      <c r="C26" s="197" t="s">
        <v>15</v>
      </c>
      <c r="D26" s="198" t="str">
        <f t="shared" si="0"/>
        <v>C</v>
      </c>
      <c r="E26" s="199">
        <v>43537.833333333336</v>
      </c>
      <c r="F26" s="200" t="s">
        <v>116</v>
      </c>
      <c r="G26" s="201">
        <v>1.8664499999999999</v>
      </c>
      <c r="H26" s="201">
        <v>1.84537</v>
      </c>
      <c r="I26" s="202">
        <f t="shared" si="1"/>
        <v>2.1079999999999988E-2</v>
      </c>
      <c r="J26" s="201">
        <v>1.93672</v>
      </c>
      <c r="K26" s="199">
        <v>43539.433333333334</v>
      </c>
      <c r="L26" s="201">
        <v>1.86493</v>
      </c>
      <c r="M26" s="203">
        <f t="shared" si="2"/>
        <v>-1.5E-3</v>
      </c>
      <c r="N26" s="204">
        <f t="shared" si="3"/>
        <v>-7.0000000000000007E-2</v>
      </c>
      <c r="O26" s="205">
        <f t="shared" si="4"/>
        <v>0</v>
      </c>
      <c r="P26" s="206">
        <f t="shared" si="5"/>
        <v>0</v>
      </c>
      <c r="Q26" s="206">
        <f t="shared" si="6"/>
        <v>-7.0000000000000007E-2</v>
      </c>
      <c r="R26" s="206" t="str">
        <f ca="1">IF(AND(OFFSET(Tabla336106734817[[#This Row],[Equity]],1,0)="",Tabla336106734817[[#This Row],[No. of Rs]]&lt;0),"Yes",IF(AND(OFFSET(Tabla336106734817[[#This Row],[Initial Losing Trade]],1,0)="Yes",Tabla336106734817[[#This Row],[No. of Rs]]&lt;0),"Yes","No"))</f>
        <v>No</v>
      </c>
      <c r="S26" s="207">
        <f ca="1">IF(OFFSET(Tabla336106734817[[#This Row],[Equity]],1,0)="",IF(Tabla336106734817[[#This Row],[No. of Rs]]="",$F$11,$F$11+($F$11*Tabla336106734817[[#This Row],[No. of Rs]]/100)),IF(Tabla336106734817[[#This Row],[No. of Rs]]="",OFFSET(Tabla336106734817[[#This Row],[Equity]],1,0),OFFSET(Tabla336106734817[[#This Row],[Equity]],1,0)+($F$11*Tabla336106734817[[#This Row],[No. of Rs]]/100)))</f>
        <v>99740</v>
      </c>
      <c r="T26" s="207">
        <f ca="1">IF(OFFSET(Tabla336106734817[[#This Row],[Equity Peak]],1,0)="",IF(Tabla336106734817[[#This Row],[Initial Losing Trade]]="Yes",$F$11,Tabla336106734817[[#This Row],[Equity]]),IF(OFFSET(Tabla336106734817[[#This Row],[Equity Peak]],1,0)&gt;Tabla336106734817[[#This Row],[Equity]],OFFSET(Tabla336106734817[[#This Row],[Equity Peak]],1,0),Tabla336106734817[[#This Row],[Equity]]))</f>
        <v>101060</v>
      </c>
      <c r="U26" s="208">
        <f ca="1">IF(Tabla336106734817[[#This Row],[Equity]]&lt;Tabla336106734817[[#This Row],[Equity Peak]],(Tabla336106734817[[#This Row],[Equity Peak]]-Tabla336106734817[[#This Row],[Equity]])/Tabla336106734817[[#This Row],[Equity Peak]],"")</f>
        <v>1.3061547595487829E-2</v>
      </c>
      <c r="V26" s="209">
        <f t="shared" si="7"/>
        <v>-7.0000000000000007E-2</v>
      </c>
      <c r="W26" s="209">
        <f t="shared" si="8"/>
        <v>0</v>
      </c>
      <c r="X26" s="209">
        <f t="shared" si="9"/>
        <v>0</v>
      </c>
      <c r="Y26" s="209">
        <f t="shared" si="10"/>
        <v>0</v>
      </c>
      <c r="Z26" s="209">
        <f t="shared" si="11"/>
        <v>0</v>
      </c>
      <c r="AA26" s="205">
        <f t="shared" si="12"/>
        <v>0</v>
      </c>
      <c r="AB26" s="209">
        <f t="shared" si="13"/>
        <v>0</v>
      </c>
      <c r="AC26" s="205">
        <f t="shared" si="14"/>
        <v>0</v>
      </c>
      <c r="AD26" s="210">
        <f t="shared" si="15"/>
        <v>1.5999999999985448</v>
      </c>
      <c r="AE26" s="210">
        <f t="shared" si="16"/>
        <v>0</v>
      </c>
      <c r="AF26" s="210">
        <f t="shared" si="17"/>
        <v>1.5999999999985448</v>
      </c>
      <c r="AG26" s="210">
        <f t="shared" si="18"/>
        <v>0</v>
      </c>
    </row>
    <row r="27" spans="2:33" ht="15" customHeight="1" x14ac:dyDescent="0.3">
      <c r="B27" s="196" t="s">
        <v>7</v>
      </c>
      <c r="C27" s="197" t="s">
        <v>15</v>
      </c>
      <c r="D27" s="198" t="str">
        <f t="shared" si="0"/>
        <v>C</v>
      </c>
      <c r="E27" s="199">
        <v>43536.166666666664</v>
      </c>
      <c r="F27" s="200" t="s">
        <v>116</v>
      </c>
      <c r="G27" s="201">
        <v>1.87151</v>
      </c>
      <c r="H27" s="201">
        <v>1.85164</v>
      </c>
      <c r="I27" s="202">
        <f t="shared" si="1"/>
        <v>1.9870000000000054E-2</v>
      </c>
      <c r="J27" s="201">
        <v>1.93773</v>
      </c>
      <c r="K27" s="199">
        <v>43536.552777777775</v>
      </c>
      <c r="L27" s="201">
        <v>1.86147</v>
      </c>
      <c r="M27" s="203">
        <f t="shared" si="2"/>
        <v>-0.01</v>
      </c>
      <c r="N27" s="204">
        <f t="shared" si="3"/>
        <v>-0.5</v>
      </c>
      <c r="O27" s="205">
        <f t="shared" si="4"/>
        <v>0</v>
      </c>
      <c r="P27" s="206">
        <f t="shared" si="5"/>
        <v>0</v>
      </c>
      <c r="Q27" s="206">
        <f t="shared" si="6"/>
        <v>-0.5</v>
      </c>
      <c r="R27" s="206" t="str">
        <f ca="1">IF(AND(OFFSET(Tabla336106734817[[#This Row],[Equity]],1,0)="",Tabla336106734817[[#This Row],[No. of Rs]]&lt;0),"Yes",IF(AND(OFFSET(Tabla336106734817[[#This Row],[Initial Losing Trade]],1,0)="Yes",Tabla336106734817[[#This Row],[No. of Rs]]&lt;0),"Yes","No"))</f>
        <v>No</v>
      </c>
      <c r="S27" s="207">
        <f ca="1">IF(OFFSET(Tabla336106734817[[#This Row],[Equity]],1,0)="",IF(Tabla336106734817[[#This Row],[No. of Rs]]="",$F$11,$F$11+($F$11*Tabla336106734817[[#This Row],[No. of Rs]]/100)),IF(Tabla336106734817[[#This Row],[No. of Rs]]="",OFFSET(Tabla336106734817[[#This Row],[Equity]],1,0),OFFSET(Tabla336106734817[[#This Row],[Equity]],1,0)+($F$11*Tabla336106734817[[#This Row],[No. of Rs]]/100)))</f>
        <v>99810</v>
      </c>
      <c r="T27" s="207">
        <f ca="1">IF(OFFSET(Tabla336106734817[[#This Row],[Equity Peak]],1,0)="",IF(Tabla336106734817[[#This Row],[Initial Losing Trade]]="Yes",$F$11,Tabla336106734817[[#This Row],[Equity]]),IF(OFFSET(Tabla336106734817[[#This Row],[Equity Peak]],1,0)&gt;Tabla336106734817[[#This Row],[Equity]],OFFSET(Tabla336106734817[[#This Row],[Equity Peak]],1,0),Tabla336106734817[[#This Row],[Equity]]))</f>
        <v>101060</v>
      </c>
      <c r="U27" s="208">
        <f ca="1">IF(Tabla336106734817[[#This Row],[Equity]]&lt;Tabla336106734817[[#This Row],[Equity Peak]],(Tabla336106734817[[#This Row],[Equity Peak]]-Tabla336106734817[[#This Row],[Equity]])/Tabla336106734817[[#This Row],[Equity Peak]],"")</f>
        <v>1.2368889768454383E-2</v>
      </c>
      <c r="V27" s="209">
        <f t="shared" si="7"/>
        <v>-0.5</v>
      </c>
      <c r="W27" s="209">
        <f t="shared" si="8"/>
        <v>0</v>
      </c>
      <c r="X27" s="209">
        <f t="shared" si="9"/>
        <v>0</v>
      </c>
      <c r="Y27" s="209">
        <f t="shared" si="10"/>
        <v>0</v>
      </c>
      <c r="Z27" s="209">
        <f t="shared" si="11"/>
        <v>0</v>
      </c>
      <c r="AA27" s="205">
        <f t="shared" si="12"/>
        <v>0</v>
      </c>
      <c r="AB27" s="209">
        <f t="shared" si="13"/>
        <v>0</v>
      </c>
      <c r="AC27" s="205">
        <f t="shared" si="14"/>
        <v>0</v>
      </c>
      <c r="AD27" s="210">
        <f t="shared" si="15"/>
        <v>0.38611111111094942</v>
      </c>
      <c r="AE27" s="210">
        <f t="shared" si="16"/>
        <v>0</v>
      </c>
      <c r="AF27" s="210">
        <f t="shared" si="17"/>
        <v>0.38611111111094942</v>
      </c>
      <c r="AG27" s="210">
        <f t="shared" si="18"/>
        <v>0</v>
      </c>
    </row>
    <row r="28" spans="2:33" ht="15" customHeight="1" x14ac:dyDescent="0.3">
      <c r="B28" s="196" t="s">
        <v>7</v>
      </c>
      <c r="C28" s="197" t="s">
        <v>15</v>
      </c>
      <c r="D28" s="198" t="str">
        <f t="shared" si="0"/>
        <v>C</v>
      </c>
      <c r="E28" s="199">
        <v>43516.017361111109</v>
      </c>
      <c r="F28" s="200" t="s">
        <v>116</v>
      </c>
      <c r="G28" s="201">
        <v>1.82555</v>
      </c>
      <c r="H28" s="201">
        <v>1.80643</v>
      </c>
      <c r="I28" s="202">
        <f t="shared" si="1"/>
        <v>1.9120000000000026E-2</v>
      </c>
      <c r="J28" s="201">
        <v>1.8893</v>
      </c>
      <c r="K28" s="199">
        <v>43517.009027777778</v>
      </c>
      <c r="L28" s="201">
        <v>1.81423</v>
      </c>
      <c r="M28" s="203">
        <f t="shared" si="2"/>
        <v>-1.1299999999999999E-2</v>
      </c>
      <c r="N28" s="204">
        <f t="shared" si="3"/>
        <v>-0.59</v>
      </c>
      <c r="O28" s="205">
        <f t="shared" si="4"/>
        <v>0</v>
      </c>
      <c r="P28" s="206">
        <f t="shared" si="5"/>
        <v>0</v>
      </c>
      <c r="Q28" s="206">
        <f t="shared" si="6"/>
        <v>-0.59</v>
      </c>
      <c r="R28" s="206" t="str">
        <f ca="1">IF(AND(OFFSET(Tabla336106734817[[#This Row],[Equity]],1,0)="",Tabla336106734817[[#This Row],[No. of Rs]]&lt;0),"Yes",IF(AND(OFFSET(Tabla336106734817[[#This Row],[Initial Losing Trade]],1,0)="Yes",Tabla336106734817[[#This Row],[No. of Rs]]&lt;0),"Yes","No"))</f>
        <v>No</v>
      </c>
      <c r="S28" s="207">
        <f ca="1">IF(OFFSET(Tabla336106734817[[#This Row],[Equity]],1,0)="",IF(Tabla336106734817[[#This Row],[No. of Rs]]="",$F$11,$F$11+($F$11*Tabla336106734817[[#This Row],[No. of Rs]]/100)),IF(Tabla336106734817[[#This Row],[No. of Rs]]="",OFFSET(Tabla336106734817[[#This Row],[Equity]],1,0),OFFSET(Tabla336106734817[[#This Row],[Equity]],1,0)+($F$11*Tabla336106734817[[#This Row],[No. of Rs]]/100)))</f>
        <v>100310</v>
      </c>
      <c r="T28" s="207">
        <f ca="1">IF(OFFSET(Tabla336106734817[[#This Row],[Equity Peak]],1,0)="",IF(Tabla336106734817[[#This Row],[Initial Losing Trade]]="Yes",$F$11,Tabla336106734817[[#This Row],[Equity]]),IF(OFFSET(Tabla336106734817[[#This Row],[Equity Peak]],1,0)&gt;Tabla336106734817[[#This Row],[Equity]],OFFSET(Tabla336106734817[[#This Row],[Equity Peak]],1,0),Tabla336106734817[[#This Row],[Equity]]))</f>
        <v>101060</v>
      </c>
      <c r="U28" s="208">
        <f ca="1">IF(Tabla336106734817[[#This Row],[Equity]]&lt;Tabla336106734817[[#This Row],[Equity Peak]],(Tabla336106734817[[#This Row],[Equity Peak]]-Tabla336106734817[[#This Row],[Equity]])/Tabla336106734817[[#This Row],[Equity Peak]],"")</f>
        <v>7.4213338610726303E-3</v>
      </c>
      <c r="V28" s="209">
        <f t="shared" si="7"/>
        <v>-0.59</v>
      </c>
      <c r="W28" s="209">
        <f t="shared" si="8"/>
        <v>0</v>
      </c>
      <c r="X28" s="209">
        <f t="shared" si="9"/>
        <v>0</v>
      </c>
      <c r="Y28" s="209">
        <f t="shared" si="10"/>
        <v>0</v>
      </c>
      <c r="Z28" s="209">
        <f t="shared" si="11"/>
        <v>0</v>
      </c>
      <c r="AA28" s="205">
        <f t="shared" si="12"/>
        <v>0</v>
      </c>
      <c r="AB28" s="209">
        <f t="shared" si="13"/>
        <v>0</v>
      </c>
      <c r="AC28" s="205">
        <f t="shared" si="14"/>
        <v>0</v>
      </c>
      <c r="AD28" s="210">
        <f t="shared" si="15"/>
        <v>0.99166666666860692</v>
      </c>
      <c r="AE28" s="210">
        <f t="shared" si="16"/>
        <v>0</v>
      </c>
      <c r="AF28" s="210">
        <f t="shared" si="17"/>
        <v>0.99166666666860692</v>
      </c>
      <c r="AG28" s="210">
        <f t="shared" si="18"/>
        <v>0</v>
      </c>
    </row>
    <row r="29" spans="2:33" ht="15" customHeight="1" x14ac:dyDescent="0.3">
      <c r="B29" s="196" t="s">
        <v>7</v>
      </c>
      <c r="C29" s="197" t="s">
        <v>15</v>
      </c>
      <c r="D29" s="198" t="str">
        <f t="shared" si="0"/>
        <v>C</v>
      </c>
      <c r="E29" s="199">
        <v>43503.666666666664</v>
      </c>
      <c r="F29" s="200" t="s">
        <v>116</v>
      </c>
      <c r="G29" s="201">
        <v>1.82456</v>
      </c>
      <c r="H29" s="201">
        <v>1.80355</v>
      </c>
      <c r="I29" s="202">
        <f t="shared" si="1"/>
        <v>2.1009999999999973E-2</v>
      </c>
      <c r="J29" s="201">
        <v>1.8946000000000001</v>
      </c>
      <c r="K29" s="199">
        <v>43507.102083333331</v>
      </c>
      <c r="L29" s="201">
        <v>1.8212299999999999</v>
      </c>
      <c r="M29" s="203">
        <f t="shared" si="2"/>
        <v>-3.3E-3</v>
      </c>
      <c r="N29" s="204">
        <f t="shared" si="3"/>
        <v>-0.16</v>
      </c>
      <c r="O29" s="205">
        <f t="shared" si="4"/>
        <v>0</v>
      </c>
      <c r="P29" s="206">
        <f t="shared" si="5"/>
        <v>0</v>
      </c>
      <c r="Q29" s="206">
        <f t="shared" si="6"/>
        <v>-0.16</v>
      </c>
      <c r="R29" s="206" t="str">
        <f ca="1">IF(AND(OFFSET(Tabla336106734817[[#This Row],[Equity]],1,0)="",Tabla336106734817[[#This Row],[No. of Rs]]&lt;0),"Yes",IF(AND(OFFSET(Tabla336106734817[[#This Row],[Initial Losing Trade]],1,0)="Yes",Tabla336106734817[[#This Row],[No. of Rs]]&lt;0),"Yes","No"))</f>
        <v>No</v>
      </c>
      <c r="S29" s="207">
        <f ca="1">IF(OFFSET(Tabla336106734817[[#This Row],[Equity]],1,0)="",IF(Tabla336106734817[[#This Row],[No. of Rs]]="",$F$11,$F$11+($F$11*Tabla336106734817[[#This Row],[No. of Rs]]/100)),IF(Tabla336106734817[[#This Row],[No. of Rs]]="",OFFSET(Tabla336106734817[[#This Row],[Equity]],1,0),OFFSET(Tabla336106734817[[#This Row],[Equity]],1,0)+($F$11*Tabla336106734817[[#This Row],[No. of Rs]]/100)))</f>
        <v>100900</v>
      </c>
      <c r="T29" s="207">
        <f ca="1">IF(OFFSET(Tabla336106734817[[#This Row],[Equity Peak]],1,0)="",IF(Tabla336106734817[[#This Row],[Initial Losing Trade]]="Yes",$F$11,Tabla336106734817[[#This Row],[Equity]]),IF(OFFSET(Tabla336106734817[[#This Row],[Equity Peak]],1,0)&gt;Tabla336106734817[[#This Row],[Equity]],OFFSET(Tabla336106734817[[#This Row],[Equity Peak]],1,0),Tabla336106734817[[#This Row],[Equity]]))</f>
        <v>101060</v>
      </c>
      <c r="U29" s="208">
        <f ca="1">IF(Tabla336106734817[[#This Row],[Equity]]&lt;Tabla336106734817[[#This Row],[Equity Peak]],(Tabla336106734817[[#This Row],[Equity Peak]]-Tabla336106734817[[#This Row],[Equity]])/Tabla336106734817[[#This Row],[Equity Peak]],"")</f>
        <v>1.583217890362161E-3</v>
      </c>
      <c r="V29" s="209">
        <f t="shared" si="7"/>
        <v>-0.16</v>
      </c>
      <c r="W29" s="209">
        <f t="shared" si="8"/>
        <v>0</v>
      </c>
      <c r="X29" s="209">
        <f t="shared" si="9"/>
        <v>0</v>
      </c>
      <c r="Y29" s="209">
        <f t="shared" si="10"/>
        <v>0</v>
      </c>
      <c r="Z29" s="209">
        <f t="shared" si="11"/>
        <v>0</v>
      </c>
      <c r="AA29" s="205">
        <f t="shared" si="12"/>
        <v>0</v>
      </c>
      <c r="AB29" s="209">
        <f t="shared" si="13"/>
        <v>0</v>
      </c>
      <c r="AC29" s="205">
        <f t="shared" si="14"/>
        <v>0</v>
      </c>
      <c r="AD29" s="210">
        <f t="shared" si="15"/>
        <v>3.4354166666671517</v>
      </c>
      <c r="AE29" s="210">
        <f t="shared" si="16"/>
        <v>0</v>
      </c>
      <c r="AF29" s="210">
        <f t="shared" si="17"/>
        <v>3.4354166666671517</v>
      </c>
      <c r="AG29" s="210">
        <f t="shared" si="18"/>
        <v>0</v>
      </c>
    </row>
    <row r="30" spans="2:33" ht="15" customHeight="1" x14ac:dyDescent="0.3">
      <c r="B30" s="196" t="s">
        <v>7</v>
      </c>
      <c r="C30" s="197" t="s">
        <v>15</v>
      </c>
      <c r="D30" s="198" t="str">
        <f t="shared" si="0"/>
        <v>C</v>
      </c>
      <c r="E30" s="199">
        <v>43481.833333333336</v>
      </c>
      <c r="F30" s="200" t="s">
        <v>116</v>
      </c>
      <c r="G30" s="201">
        <v>1.79036</v>
      </c>
      <c r="H30" s="201">
        <v>1.7698199999999999</v>
      </c>
      <c r="I30" s="202">
        <f t="shared" si="1"/>
        <v>2.0540000000000003E-2</v>
      </c>
      <c r="J30" s="201">
        <v>1.8588199999999999</v>
      </c>
      <c r="K30" s="199">
        <v>43495.888194444444</v>
      </c>
      <c r="L30" s="201">
        <v>1.81206</v>
      </c>
      <c r="M30" s="203">
        <f t="shared" si="2"/>
        <v>2.1700000000000001E-2</v>
      </c>
      <c r="N30" s="204">
        <f t="shared" si="3"/>
        <v>1.06</v>
      </c>
      <c r="O30" s="205">
        <f t="shared" si="4"/>
        <v>0</v>
      </c>
      <c r="P30" s="206">
        <f t="shared" si="5"/>
        <v>1.06</v>
      </c>
      <c r="Q30" s="206">
        <f t="shared" si="6"/>
        <v>0</v>
      </c>
      <c r="R30" s="206" t="str">
        <f ca="1">IF(AND(OFFSET(Tabla336106734817[[#This Row],[Equity]],1,0)="",Tabla336106734817[[#This Row],[No. of Rs]]&lt;0),"Yes",IF(AND(OFFSET(Tabla336106734817[[#This Row],[Initial Losing Trade]],1,0)="Yes",Tabla336106734817[[#This Row],[No. of Rs]]&lt;0),"Yes","No"))</f>
        <v>No</v>
      </c>
      <c r="S30" s="207">
        <f ca="1">IF(OFFSET(Tabla336106734817[[#This Row],[Equity]],1,0)="",IF(Tabla336106734817[[#This Row],[No. of Rs]]="",$F$11,$F$11+($F$11*Tabla336106734817[[#This Row],[No. of Rs]]/100)),IF(Tabla336106734817[[#This Row],[No. of Rs]]="",OFFSET(Tabla336106734817[[#This Row],[Equity]],1,0),OFFSET(Tabla336106734817[[#This Row],[Equity]],1,0)+($F$11*Tabla336106734817[[#This Row],[No. of Rs]]/100)))</f>
        <v>101060</v>
      </c>
      <c r="T30" s="207">
        <f ca="1">IF(OFFSET(Tabla336106734817[[#This Row],[Equity Peak]],1,0)="",IF(Tabla336106734817[[#This Row],[Initial Losing Trade]]="Yes",$F$11,Tabla336106734817[[#This Row],[Equity]]),IF(OFFSET(Tabla336106734817[[#This Row],[Equity Peak]],1,0)&gt;Tabla336106734817[[#This Row],[Equity]],OFFSET(Tabla336106734817[[#This Row],[Equity Peak]],1,0),Tabla336106734817[[#This Row],[Equity]]))</f>
        <v>101060</v>
      </c>
      <c r="U30" s="208" t="str">
        <f ca="1">IF(Tabla336106734817[[#This Row],[Equity]]&lt;Tabla336106734817[[#This Row],[Equity Peak]],(Tabla336106734817[[#This Row],[Equity Peak]]-Tabla336106734817[[#This Row],[Equity]])/Tabla336106734817[[#This Row],[Equity Peak]],"")</f>
        <v/>
      </c>
      <c r="V30" s="209">
        <f t="shared" si="7"/>
        <v>1.06</v>
      </c>
      <c r="W30" s="209">
        <f t="shared" si="8"/>
        <v>0</v>
      </c>
      <c r="X30" s="209">
        <f t="shared" si="9"/>
        <v>0</v>
      </c>
      <c r="Y30" s="209">
        <f t="shared" si="10"/>
        <v>0</v>
      </c>
      <c r="Z30" s="209">
        <f t="shared" si="11"/>
        <v>0</v>
      </c>
      <c r="AA30" s="205">
        <f t="shared" si="12"/>
        <v>0</v>
      </c>
      <c r="AB30" s="209">
        <f t="shared" si="13"/>
        <v>0</v>
      </c>
      <c r="AC30" s="205">
        <f t="shared" si="14"/>
        <v>0</v>
      </c>
      <c r="AD30" s="210">
        <f t="shared" si="15"/>
        <v>14.054861111108039</v>
      </c>
      <c r="AE30" s="210">
        <f t="shared" si="16"/>
        <v>14.054861111108039</v>
      </c>
      <c r="AF30" s="210">
        <f t="shared" si="17"/>
        <v>0</v>
      </c>
      <c r="AG30" s="210">
        <f t="shared" si="18"/>
        <v>0</v>
      </c>
    </row>
  </sheetData>
  <sheetProtection algorithmName="SHA-512" hashValue="2Tll2JKKIDo2ktV5Li7jPCXmnnQ3Cl6P8bvpbeZHvROVMEOg8NR07JarscX3I7ocCEcpXcFeb+wAvXSQ5atWLw==" saltValue="+9whPGzaEWSgfd6GqNyohg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629" priority="3" operator="equal">
      <formula>"OK"</formula>
    </cfRule>
    <cfRule type="cellIs" dxfId="628" priority="4" operator="equal">
      <formula>"warning"</formula>
    </cfRule>
  </conditionalFormatting>
  <conditionalFormatting sqref="F13">
    <cfRule type="cellIs" dxfId="627" priority="1" operator="equal">
      <formula>"OK"</formula>
    </cfRule>
    <cfRule type="cellIs" dxfId="626" priority="2" operator="equal">
      <formula>"Error!!"</formula>
    </cfRule>
  </conditionalFormatting>
  <conditionalFormatting sqref="E15:H15 K15:L15">
    <cfRule type="expression" dxfId="625" priority="5">
      <formula>+$D15=#REF!</formula>
    </cfRule>
    <cfRule type="expression" dxfId="624" priority="6">
      <formula>+$D15=#REF!</formula>
    </cfRule>
  </conditionalFormatting>
  <conditionalFormatting sqref="D15 K16:L16 D16:H30 J17:L30">
    <cfRule type="expression" dxfId="623" priority="7">
      <formula>+$D15=$AG$8</formula>
    </cfRule>
    <cfRule type="expression" dxfId="622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5:B16" xr:uid="{2A568864-2EE3-4A1C-A34D-492E5A030AFD}">
      <formula1>$AE$4:$AE$6</formula1>
    </dataValidation>
    <dataValidation type="list" allowBlank="1" showInputMessage="1" showErrorMessage="1" promptTitle="Trade Direction" prompt="Select from List" sqref="C15:C16" xr:uid="{8A02DE07-3E5D-430E-9D38-340A608EF1BB}">
      <formula1>$AG$4:$AG$5</formula1>
    </dataValidation>
    <dataValidation type="list" allowBlank="1" showInputMessage="1" showErrorMessage="1" promptTitle="Instrument Type" prompt="Select Type from List_x000a_" sqref="B17:B30" xr:uid="{32C0367F-6EE6-4BA7-8D9D-D78FD0C0EA7C}">
      <formula1>$AE$4:$AE$7</formula1>
    </dataValidation>
  </dataValidations>
  <pageMargins left="0.7" right="0.7" top="0.75" bottom="0.75" header="0.3" footer="0.3"/>
  <pageSetup paperSize="9" scale="48" orientation="landscape" horizontalDpi="4294967294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C79B3-5CCC-43EF-A509-19C994233E82}">
  <sheetPr codeName="Hoja13">
    <pageSetUpPr fitToPage="1"/>
  </sheetPr>
  <dimension ref="A1:AX33"/>
  <sheetViews>
    <sheetView showGridLines="0" showZeros="0" tabSelected="1" zoomScale="115" zoomScaleNormal="115" zoomScalePageLayoutView="99" workbookViewId="0">
      <pane ySplit="16" topLeftCell="A17" activePane="bottomLeft" state="frozen"/>
      <selection activeCell="E2" sqref="E2:N5"/>
      <selection pane="bottomLeft" activeCell="E2" sqref="E2:N5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123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COUNTA(Tabla33610673486[Inst])</f>
        <v>17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18.209999999999997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18.209999999999997</v>
      </c>
      <c r="W6" s="18"/>
      <c r="X6" s="17">
        <f>+X13</f>
        <v>0</v>
      </c>
      <c r="Y6" s="19"/>
      <c r="Z6" s="17">
        <f>+Z13</f>
        <v>0</v>
      </c>
      <c r="AA6" s="19"/>
      <c r="AB6" s="17">
        <f>+AB13</f>
        <v>0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COUNTIF(Tabla33610673486[No. of Rs],"&gt;0")</f>
        <v>8</v>
      </c>
      <c r="G7" s="24">
        <f>IFERROR((F7/$F$6),"")</f>
        <v>0.47058823529411764</v>
      </c>
      <c r="H7" s="78">
        <f>IFERROR((+P13/F7),"")</f>
        <v>3.0949999999999998</v>
      </c>
      <c r="I7" s="227">
        <f>H7/H9</f>
        <v>4.2526717557251903</v>
      </c>
      <c r="J7" s="227">
        <f>AVERAGE(Tabla33610673486[No. of Rs])</f>
        <v>1.0711764705882352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1</v>
      </c>
      <c r="W7" s="27"/>
      <c r="X7" s="26">
        <f>IFERROR((X6/N6),"")</f>
        <v>0</v>
      </c>
      <c r="Y7" s="28"/>
      <c r="Z7" s="26">
        <f>IFERROR((Z6/N6),"")</f>
        <v>0</v>
      </c>
      <c r="AA7" s="28"/>
      <c r="AB7" s="26">
        <f>IFERROR((AB6/N6),"")</f>
        <v>0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COUNTIF(Tabla33610673486[No. of Rs],"=0")</f>
        <v>0</v>
      </c>
      <c r="G8" s="24">
        <f>IFERROR((F8/$F$6),"")</f>
        <v>0</v>
      </c>
      <c r="H8" s="78"/>
      <c r="I8" s="228"/>
      <c r="J8" s="228"/>
      <c r="K8" s="163"/>
      <c r="L8" s="212" t="s">
        <v>112</v>
      </c>
      <c r="M8" s="213"/>
      <c r="N8" s="195">
        <f ca="1">OFFSET(Tabla33610673486[[#Headers],[Equity]],1,0)</f>
        <v>118210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COUNTIF(Tabla33610673486[No. of Rs],"&lt;0")</f>
        <v>9</v>
      </c>
      <c r="G9" s="32">
        <f>IFERROR((F9/$F$6),"")</f>
        <v>0.52941176470588236</v>
      </c>
      <c r="H9" s="79">
        <f>IFERROR((-Q13/F9),"")</f>
        <v>0.72777777777777775</v>
      </c>
      <c r="I9" s="229"/>
      <c r="J9" s="229"/>
      <c r="K9" s="149"/>
      <c r="L9" s="230" t="s">
        <v>106</v>
      </c>
      <c r="M9" s="231"/>
      <c r="N9" s="125">
        <f ca="1">MAX(Tabla33610673486[Drawdown])</f>
        <v>3.8402734058818236E-2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>
        <f ca="1">OFFSET(Tabla33610673486[[#Headers],[Drawdown]],1,0)</f>
        <v>8.3885580068786183E-3</v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COUNTIF(Tabla33610673486[Heat],"&lt;0")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IF(COUNTIFS(Tabla33610673486[O/C],"O")&lt;1,"None",COUNTIFS(Tabla33610673486[O/C],"O"))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SUM(Tabla33610673486[No. of Rs])</f>
        <v>18.209999999999997</v>
      </c>
      <c r="O13" s="42">
        <f>SUM(Tabla33610673486[Heat])</f>
        <v>0</v>
      </c>
      <c r="P13" s="43">
        <f>SUM(Tabla33610673486[[ TR WIN]])</f>
        <v>24.759999999999998</v>
      </c>
      <c r="Q13" s="43">
        <f>SUM(Tabla33610673486[[ TR LOSS]])</f>
        <v>-6.55</v>
      </c>
      <c r="R13" s="114"/>
      <c r="S13" s="115"/>
      <c r="T13" s="115"/>
      <c r="U13" s="121"/>
      <c r="V13" s="44">
        <f>SUM(Tabla33610673486[Currency])</f>
        <v>18.209999999999997</v>
      </c>
      <c r="W13" s="44">
        <f>SUM(Tabla33610673486[Heat3])</f>
        <v>0</v>
      </c>
      <c r="X13" s="44">
        <f>SUM(Tabla33610673486[Commodities])</f>
        <v>0</v>
      </c>
      <c r="Y13" s="44">
        <f>SUM(Tabla33610673486[Heat4])</f>
        <v>0</v>
      </c>
      <c r="Z13" s="44">
        <f>SUM(Tabla33610673486[Index])</f>
        <v>0</v>
      </c>
      <c r="AA13" s="44">
        <f>SUM(Tabla33610673486[Heat5])</f>
        <v>0</v>
      </c>
      <c r="AB13" s="44">
        <f>SUM(Tabla33610673486[Cryptocurrency])</f>
        <v>0</v>
      </c>
      <c r="AC13" s="44">
        <f>SUM(Tabla33610673486[Heat6])</f>
        <v>0</v>
      </c>
      <c r="AD13" s="75">
        <f>AVERAGEIF(Tabla33610673486[Length of 
Trade],"&lt;&gt;0")</f>
        <v>6.5446486928113323</v>
      </c>
      <c r="AE13" s="75">
        <f>AVERAGEIF(Tabla33610673486[Win],"&lt;&gt;0")</f>
        <v>9.3385416666669698</v>
      </c>
      <c r="AF13" s="75">
        <f>AVERAGEIF(Tabla33610673486[Loss],"&lt;&gt;0")</f>
        <v>4.0611882716063219</v>
      </c>
      <c r="AG13" s="76" t="e">
        <f>AVERAGEIF(Tabla33610673486[Breakeven],"&lt;&gt;0")</f>
        <v>#DIV/0!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2:33" ht="15" customHeight="1" x14ac:dyDescent="0.3">
      <c r="B17" s="196" t="s">
        <v>7</v>
      </c>
      <c r="C17" s="197" t="s">
        <v>13</v>
      </c>
      <c r="D17" s="198" t="str">
        <f t="shared" ref="D17:D33" si="0">IF(E17&lt;&gt;"",IF(K17&lt;&gt;"","C","O"),"")</f>
        <v>C</v>
      </c>
      <c r="E17" s="199">
        <v>43823.017361111109</v>
      </c>
      <c r="F17" s="200" t="s">
        <v>115</v>
      </c>
      <c r="G17" s="201">
        <v>141.393</v>
      </c>
      <c r="H17" s="201">
        <v>142.57300000000001</v>
      </c>
      <c r="I17" s="202">
        <f t="shared" ref="I17:I33" si="1">ABS(G17-H17)</f>
        <v>1.1800000000000068</v>
      </c>
      <c r="J17" s="201">
        <v>134.786</v>
      </c>
      <c r="K17" s="199">
        <v>43825.745833333334</v>
      </c>
      <c r="L17" s="201">
        <v>142.57300000000001</v>
      </c>
      <c r="M17" s="203">
        <f t="shared" ref="M17:M33" si="2">ROUND(IF(C17="L",(L17-G17),(G17-L17)),4)</f>
        <v>-1.18</v>
      </c>
      <c r="N17" s="204">
        <f t="shared" ref="N17:N33" si="3">IFERROR(ROUND((M17/I17),2),"")</f>
        <v>-1</v>
      </c>
      <c r="O17" s="205">
        <f t="shared" ref="O17:O33" si="4">IF(D17="O",IF(N17&lt;0,N17,0),0)</f>
        <v>0</v>
      </c>
      <c r="P17" s="206">
        <f t="shared" ref="P17:P33" si="5">IF(N17&gt;= 0,N17,0)</f>
        <v>0</v>
      </c>
      <c r="Q17" s="206">
        <f t="shared" ref="Q17:Q33" si="6">IF(N17&lt;0,N17,0)</f>
        <v>-1</v>
      </c>
      <c r="R17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7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118210</v>
      </c>
      <c r="T17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119210</v>
      </c>
      <c r="U17" s="208">
        <f ca="1">IF(Tabla33610673486[[#This Row],[Equity]]&lt;Tabla33610673486[[#This Row],[Equity Peak]],(Tabla33610673486[[#This Row],[Equity Peak]]-Tabla33610673486[[#This Row],[Equity]])/Tabla33610673486[[#This Row],[Equity Peak]],"")</f>
        <v>8.3885580068786183E-3</v>
      </c>
      <c r="V17" s="209">
        <f t="shared" ref="V17:V33" si="7">IF(B17="FX",N17,0)</f>
        <v>-1</v>
      </c>
      <c r="W17" s="209">
        <f t="shared" ref="W17:W33" si="8">IF(D17="O",IF(V17&lt;0,V17,0),0)</f>
        <v>0</v>
      </c>
      <c r="X17" s="209">
        <f t="shared" ref="X17:X33" si="9">IF(B17="COM",N17,0)</f>
        <v>0</v>
      </c>
      <c r="Y17" s="209">
        <f t="shared" ref="Y17:Y33" si="10">IF(D17="O",IF(X17&lt;0,X17,0),0)</f>
        <v>0</v>
      </c>
      <c r="Z17" s="209">
        <f t="shared" ref="Z17:Z33" si="11">IF(B17="IND",N17,0)</f>
        <v>0</v>
      </c>
      <c r="AA17" s="205">
        <f t="shared" ref="AA17:AA33" si="12">IF(D17="O",IF(Z17&lt;0,Z17,0),0)</f>
        <v>0</v>
      </c>
      <c r="AB17" s="209">
        <f t="shared" ref="AB17:AB33" si="13">IF(B17="CRYPTO",N17,0)</f>
        <v>0</v>
      </c>
      <c r="AC17" s="205">
        <f t="shared" ref="AC17:AC33" si="14">IF(D17="O",IF(AB17&lt;0,AB17,0),0)</f>
        <v>0</v>
      </c>
      <c r="AD17" s="210">
        <f t="shared" ref="AD17:AD33" si="15">IF(K17&lt;&gt;"",K17-E17,0)</f>
        <v>2.7284722222248092</v>
      </c>
      <c r="AE17" s="210">
        <f t="shared" ref="AE17:AE33" si="16">IF(N17&gt;0,AD17,0)</f>
        <v>0</v>
      </c>
      <c r="AF17" s="210">
        <f t="shared" ref="AF17:AF33" si="17">IF(N17&lt;0,AD17,0)</f>
        <v>2.7284722222248092</v>
      </c>
      <c r="AG17" s="210">
        <f t="shared" ref="AG17:AG33" si="18">IF(N17=0,AD17,0)</f>
        <v>0</v>
      </c>
    </row>
    <row r="18" spans="2:33" ht="15" customHeight="1" x14ac:dyDescent="0.3">
      <c r="B18" s="196" t="s">
        <v>7</v>
      </c>
      <c r="C18" s="197" t="s">
        <v>15</v>
      </c>
      <c r="D18" s="198" t="str">
        <f t="shared" si="0"/>
        <v>C</v>
      </c>
      <c r="E18" s="199">
        <v>43803.5</v>
      </c>
      <c r="F18" s="200" t="s">
        <v>115</v>
      </c>
      <c r="G18" s="201">
        <v>141.97200000000001</v>
      </c>
      <c r="H18" s="201">
        <v>140.99</v>
      </c>
      <c r="I18" s="202">
        <f t="shared" si="1"/>
        <v>0.98199999999999932</v>
      </c>
      <c r="J18" s="201">
        <v>147.46799999999999</v>
      </c>
      <c r="K18" s="199">
        <v>43810.109722222223</v>
      </c>
      <c r="L18" s="201">
        <v>142.56299999999999</v>
      </c>
      <c r="M18" s="203">
        <f t="shared" si="2"/>
        <v>0.59099999999999997</v>
      </c>
      <c r="N18" s="204">
        <f t="shared" si="3"/>
        <v>0.6</v>
      </c>
      <c r="O18" s="205">
        <f t="shared" si="4"/>
        <v>0</v>
      </c>
      <c r="P18" s="206">
        <f t="shared" si="5"/>
        <v>0.6</v>
      </c>
      <c r="Q18" s="206">
        <f t="shared" si="6"/>
        <v>0</v>
      </c>
      <c r="R18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8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119210</v>
      </c>
      <c r="T18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119210</v>
      </c>
      <c r="U18" s="208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18" s="209">
        <f t="shared" si="7"/>
        <v>0.6</v>
      </c>
      <c r="W18" s="209">
        <f t="shared" si="8"/>
        <v>0</v>
      </c>
      <c r="X18" s="209">
        <f t="shared" si="9"/>
        <v>0</v>
      </c>
      <c r="Y18" s="209">
        <f t="shared" si="10"/>
        <v>0</v>
      </c>
      <c r="Z18" s="209">
        <f t="shared" si="11"/>
        <v>0</v>
      </c>
      <c r="AA18" s="205">
        <f t="shared" si="12"/>
        <v>0</v>
      </c>
      <c r="AB18" s="209">
        <f t="shared" si="13"/>
        <v>0</v>
      </c>
      <c r="AC18" s="205">
        <f t="shared" si="14"/>
        <v>0</v>
      </c>
      <c r="AD18" s="210">
        <f t="shared" si="15"/>
        <v>6.609722222223354</v>
      </c>
      <c r="AE18" s="210">
        <f t="shared" si="16"/>
        <v>6.609722222223354</v>
      </c>
      <c r="AF18" s="210">
        <f t="shared" si="17"/>
        <v>0</v>
      </c>
      <c r="AG18" s="210">
        <f t="shared" si="18"/>
        <v>0</v>
      </c>
    </row>
    <row r="19" spans="2:33" ht="15" customHeight="1" x14ac:dyDescent="0.3">
      <c r="B19" s="196" t="s">
        <v>7</v>
      </c>
      <c r="C19" s="197" t="s">
        <v>15</v>
      </c>
      <c r="D19" s="198" t="str">
        <f t="shared" si="0"/>
        <v>C</v>
      </c>
      <c r="E19" s="199">
        <v>43749.5</v>
      </c>
      <c r="F19" s="200" t="s">
        <v>115</v>
      </c>
      <c r="G19" s="201">
        <v>135.00399999999999</v>
      </c>
      <c r="H19" s="201">
        <v>133.227</v>
      </c>
      <c r="I19" s="202">
        <f t="shared" si="1"/>
        <v>1.7769999999999868</v>
      </c>
      <c r="J19" s="201">
        <v>144.95699999999999</v>
      </c>
      <c r="K19" s="199">
        <v>43761.100694444445</v>
      </c>
      <c r="L19" s="201">
        <v>139.47300000000001</v>
      </c>
      <c r="M19" s="203">
        <f t="shared" si="2"/>
        <v>4.4690000000000003</v>
      </c>
      <c r="N19" s="204">
        <f t="shared" si="3"/>
        <v>2.5099999999999998</v>
      </c>
      <c r="O19" s="205">
        <f t="shared" si="4"/>
        <v>0</v>
      </c>
      <c r="P19" s="206">
        <f t="shared" si="5"/>
        <v>2.5099999999999998</v>
      </c>
      <c r="Q19" s="206">
        <f t="shared" si="6"/>
        <v>0</v>
      </c>
      <c r="R19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19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118610</v>
      </c>
      <c r="T19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118610</v>
      </c>
      <c r="U19" s="208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19" s="209">
        <f t="shared" si="7"/>
        <v>2.5099999999999998</v>
      </c>
      <c r="W19" s="209">
        <f t="shared" si="8"/>
        <v>0</v>
      </c>
      <c r="X19" s="209">
        <f t="shared" si="9"/>
        <v>0</v>
      </c>
      <c r="Y19" s="209">
        <f t="shared" si="10"/>
        <v>0</v>
      </c>
      <c r="Z19" s="209">
        <f t="shared" si="11"/>
        <v>0</v>
      </c>
      <c r="AA19" s="205">
        <f t="shared" si="12"/>
        <v>0</v>
      </c>
      <c r="AB19" s="209">
        <f t="shared" si="13"/>
        <v>0</v>
      </c>
      <c r="AC19" s="205">
        <f t="shared" si="14"/>
        <v>0</v>
      </c>
      <c r="AD19" s="210">
        <f t="shared" si="15"/>
        <v>11.600694444445253</v>
      </c>
      <c r="AE19" s="210">
        <f t="shared" si="16"/>
        <v>11.600694444445253</v>
      </c>
      <c r="AF19" s="210">
        <f t="shared" si="17"/>
        <v>0</v>
      </c>
      <c r="AG19" s="210">
        <f t="shared" si="18"/>
        <v>0</v>
      </c>
    </row>
    <row r="20" spans="2:33" ht="15" customHeight="1" x14ac:dyDescent="0.3">
      <c r="B20" s="196" t="s">
        <v>7</v>
      </c>
      <c r="C20" s="197" t="s">
        <v>13</v>
      </c>
      <c r="D20" s="198" t="str">
        <f t="shared" si="0"/>
        <v>C</v>
      </c>
      <c r="E20" s="199">
        <v>43740.5</v>
      </c>
      <c r="F20" s="200" t="s">
        <v>115</v>
      </c>
      <c r="G20" s="201">
        <v>131.63800000000001</v>
      </c>
      <c r="H20" s="201">
        <v>132.93700000000001</v>
      </c>
      <c r="I20" s="202">
        <f t="shared" si="1"/>
        <v>1.2990000000000066</v>
      </c>
      <c r="J20" s="201">
        <v>124.364</v>
      </c>
      <c r="K20" s="199">
        <v>43748.714583333334</v>
      </c>
      <c r="L20" s="201">
        <v>131.999</v>
      </c>
      <c r="M20" s="203">
        <f t="shared" si="2"/>
        <v>-0.36099999999999999</v>
      </c>
      <c r="N20" s="204">
        <f t="shared" si="3"/>
        <v>-0.28000000000000003</v>
      </c>
      <c r="O20" s="205">
        <f t="shared" si="4"/>
        <v>0</v>
      </c>
      <c r="P20" s="206">
        <f t="shared" si="5"/>
        <v>0</v>
      </c>
      <c r="Q20" s="206">
        <f t="shared" si="6"/>
        <v>-0.28000000000000003</v>
      </c>
      <c r="R20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20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116100</v>
      </c>
      <c r="T20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116380</v>
      </c>
      <c r="U20" s="208">
        <f ca="1">IF(Tabla33610673486[[#This Row],[Equity]]&lt;Tabla33610673486[[#This Row],[Equity Peak]],(Tabla33610673486[[#This Row],[Equity Peak]]-Tabla33610673486[[#This Row],[Equity]])/Tabla33610673486[[#This Row],[Equity Peak]],"")</f>
        <v>2.4059116686715931E-3</v>
      </c>
      <c r="V20" s="209">
        <f t="shared" si="7"/>
        <v>-0.28000000000000003</v>
      </c>
      <c r="W20" s="209">
        <f t="shared" si="8"/>
        <v>0</v>
      </c>
      <c r="X20" s="209">
        <f t="shared" si="9"/>
        <v>0</v>
      </c>
      <c r="Y20" s="209">
        <f t="shared" si="10"/>
        <v>0</v>
      </c>
      <c r="Z20" s="209">
        <f t="shared" si="11"/>
        <v>0</v>
      </c>
      <c r="AA20" s="205">
        <f t="shared" si="12"/>
        <v>0</v>
      </c>
      <c r="AB20" s="209">
        <f t="shared" si="13"/>
        <v>0</v>
      </c>
      <c r="AC20" s="205">
        <f t="shared" si="14"/>
        <v>0</v>
      </c>
      <c r="AD20" s="210">
        <f t="shared" si="15"/>
        <v>8.2145833333343035</v>
      </c>
      <c r="AE20" s="210">
        <f t="shared" si="16"/>
        <v>0</v>
      </c>
      <c r="AF20" s="210">
        <f t="shared" si="17"/>
        <v>8.2145833333343035</v>
      </c>
      <c r="AG20" s="210">
        <f t="shared" si="18"/>
        <v>0</v>
      </c>
    </row>
    <row r="21" spans="2:33" ht="15" customHeight="1" x14ac:dyDescent="0.3">
      <c r="B21" s="196" t="s">
        <v>7</v>
      </c>
      <c r="C21" s="197" t="s">
        <v>15</v>
      </c>
      <c r="D21" s="198" t="str">
        <f t="shared" si="0"/>
        <v>C</v>
      </c>
      <c r="E21" s="199">
        <v>43713.833333333336</v>
      </c>
      <c r="F21" s="200" t="s">
        <v>115</v>
      </c>
      <c r="G21" s="201">
        <v>131.71600000000001</v>
      </c>
      <c r="H21" s="201">
        <v>129.923</v>
      </c>
      <c r="I21" s="202">
        <f t="shared" si="1"/>
        <v>1.7930000000000064</v>
      </c>
      <c r="J21" s="201">
        <v>141.75800000000001</v>
      </c>
      <c r="K21" s="199">
        <v>43720.605555555558</v>
      </c>
      <c r="L21" s="201">
        <v>132.31800000000001</v>
      </c>
      <c r="M21" s="203">
        <f t="shared" si="2"/>
        <v>0.60199999999999998</v>
      </c>
      <c r="N21" s="204">
        <f t="shared" si="3"/>
        <v>0.34</v>
      </c>
      <c r="O21" s="205">
        <f t="shared" si="4"/>
        <v>0</v>
      </c>
      <c r="P21" s="206">
        <f t="shared" si="5"/>
        <v>0.34</v>
      </c>
      <c r="Q21" s="206">
        <f t="shared" si="6"/>
        <v>0</v>
      </c>
      <c r="R21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21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116380</v>
      </c>
      <c r="T21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116380</v>
      </c>
      <c r="U21" s="208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21" s="209">
        <f t="shared" si="7"/>
        <v>0.34</v>
      </c>
      <c r="W21" s="209">
        <f t="shared" si="8"/>
        <v>0</v>
      </c>
      <c r="X21" s="209">
        <f t="shared" si="9"/>
        <v>0</v>
      </c>
      <c r="Y21" s="209">
        <f t="shared" si="10"/>
        <v>0</v>
      </c>
      <c r="Z21" s="209">
        <f t="shared" si="11"/>
        <v>0</v>
      </c>
      <c r="AA21" s="205">
        <f t="shared" si="12"/>
        <v>0</v>
      </c>
      <c r="AB21" s="209">
        <f t="shared" si="13"/>
        <v>0</v>
      </c>
      <c r="AC21" s="205">
        <f t="shared" si="14"/>
        <v>0</v>
      </c>
      <c r="AD21" s="210">
        <f t="shared" si="15"/>
        <v>6.7722222222218988</v>
      </c>
      <c r="AE21" s="210">
        <f t="shared" si="16"/>
        <v>6.7722222222218988</v>
      </c>
      <c r="AF21" s="210">
        <f t="shared" si="17"/>
        <v>0</v>
      </c>
      <c r="AG21" s="210">
        <f t="shared" si="18"/>
        <v>0</v>
      </c>
    </row>
    <row r="22" spans="2:33" ht="15" customHeight="1" x14ac:dyDescent="0.3">
      <c r="B22" s="196" t="s">
        <v>7</v>
      </c>
      <c r="C22" s="197" t="s">
        <v>13</v>
      </c>
      <c r="D22" s="198" t="str">
        <f t="shared" si="0"/>
        <v>C</v>
      </c>
      <c r="E22" s="199">
        <v>43675.666666666664</v>
      </c>
      <c r="F22" s="200" t="s">
        <v>115</v>
      </c>
      <c r="G22" s="201">
        <v>133.05000000000001</v>
      </c>
      <c r="H22" s="201">
        <v>134.01900000000001</v>
      </c>
      <c r="I22" s="202">
        <f t="shared" si="1"/>
        <v>0.96899999999999409</v>
      </c>
      <c r="J22" s="201">
        <v>127.626</v>
      </c>
      <c r="K22" s="199">
        <v>43686.604861111111</v>
      </c>
      <c r="L22" s="201">
        <v>127.626</v>
      </c>
      <c r="M22" s="203">
        <f t="shared" si="2"/>
        <v>5.4240000000000004</v>
      </c>
      <c r="N22" s="204">
        <f t="shared" si="3"/>
        <v>5.6</v>
      </c>
      <c r="O22" s="205">
        <f t="shared" si="4"/>
        <v>0</v>
      </c>
      <c r="P22" s="206">
        <f t="shared" si="5"/>
        <v>5.6</v>
      </c>
      <c r="Q22" s="206">
        <f t="shared" si="6"/>
        <v>0</v>
      </c>
      <c r="R22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22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116040</v>
      </c>
      <c r="T22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116040</v>
      </c>
      <c r="U22" s="208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22" s="209">
        <f t="shared" si="7"/>
        <v>5.6</v>
      </c>
      <c r="W22" s="209">
        <f t="shared" si="8"/>
        <v>0</v>
      </c>
      <c r="X22" s="209">
        <f t="shared" si="9"/>
        <v>0</v>
      </c>
      <c r="Y22" s="209">
        <f t="shared" si="10"/>
        <v>0</v>
      </c>
      <c r="Z22" s="209">
        <f t="shared" si="11"/>
        <v>0</v>
      </c>
      <c r="AA22" s="205">
        <f t="shared" si="12"/>
        <v>0</v>
      </c>
      <c r="AB22" s="209">
        <f t="shared" si="13"/>
        <v>0</v>
      </c>
      <c r="AC22" s="205">
        <f t="shared" si="14"/>
        <v>0</v>
      </c>
      <c r="AD22" s="210">
        <f t="shared" si="15"/>
        <v>10.938194444446708</v>
      </c>
      <c r="AE22" s="210">
        <f t="shared" si="16"/>
        <v>10.938194444446708</v>
      </c>
      <c r="AF22" s="210">
        <f t="shared" si="17"/>
        <v>0</v>
      </c>
      <c r="AG22" s="210">
        <f t="shared" si="18"/>
        <v>0</v>
      </c>
    </row>
    <row r="23" spans="2:33" ht="15" customHeight="1" x14ac:dyDescent="0.3">
      <c r="B23" s="196" t="s">
        <v>7</v>
      </c>
      <c r="C23" s="197" t="s">
        <v>13</v>
      </c>
      <c r="D23" s="198" t="str">
        <f t="shared" si="0"/>
        <v>C</v>
      </c>
      <c r="E23" s="199">
        <v>43591.833333333336</v>
      </c>
      <c r="F23" s="200" t="s">
        <v>115</v>
      </c>
      <c r="G23" s="201">
        <v>145.13399999999999</v>
      </c>
      <c r="H23" s="201">
        <v>146.411</v>
      </c>
      <c r="I23" s="202">
        <f t="shared" si="1"/>
        <v>1.2770000000000152</v>
      </c>
      <c r="J23" s="201">
        <v>137.98599999999999</v>
      </c>
      <c r="K23" s="199">
        <v>43606.602777777778</v>
      </c>
      <c r="L23" s="201">
        <v>140.643</v>
      </c>
      <c r="M23" s="203">
        <f t="shared" si="2"/>
        <v>4.4909999999999997</v>
      </c>
      <c r="N23" s="204">
        <f t="shared" si="3"/>
        <v>3.52</v>
      </c>
      <c r="O23" s="205">
        <f t="shared" si="4"/>
        <v>0</v>
      </c>
      <c r="P23" s="206">
        <f t="shared" si="5"/>
        <v>3.52</v>
      </c>
      <c r="Q23" s="206">
        <f t="shared" si="6"/>
        <v>0</v>
      </c>
      <c r="R23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23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110440</v>
      </c>
      <c r="T23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111190</v>
      </c>
      <c r="U23" s="208">
        <f ca="1">IF(Tabla33610673486[[#This Row],[Equity]]&lt;Tabla33610673486[[#This Row],[Equity Peak]],(Tabla33610673486[[#This Row],[Equity Peak]]-Tabla33610673486[[#This Row],[Equity]])/Tabla33610673486[[#This Row],[Equity Peak]],"")</f>
        <v>6.7452109002608144E-3</v>
      </c>
      <c r="V23" s="209">
        <f t="shared" si="7"/>
        <v>3.52</v>
      </c>
      <c r="W23" s="209">
        <f t="shared" si="8"/>
        <v>0</v>
      </c>
      <c r="X23" s="209">
        <f t="shared" si="9"/>
        <v>0</v>
      </c>
      <c r="Y23" s="209">
        <f t="shared" si="10"/>
        <v>0</v>
      </c>
      <c r="Z23" s="209">
        <f t="shared" si="11"/>
        <v>0</v>
      </c>
      <c r="AA23" s="205">
        <f t="shared" si="12"/>
        <v>0</v>
      </c>
      <c r="AB23" s="209">
        <f t="shared" si="13"/>
        <v>0</v>
      </c>
      <c r="AC23" s="205">
        <f t="shared" si="14"/>
        <v>0</v>
      </c>
      <c r="AD23" s="210">
        <f t="shared" si="15"/>
        <v>14.769444444442343</v>
      </c>
      <c r="AE23" s="210">
        <f t="shared" si="16"/>
        <v>14.769444444442343</v>
      </c>
      <c r="AF23" s="210">
        <f t="shared" si="17"/>
        <v>0</v>
      </c>
      <c r="AG23" s="210">
        <f t="shared" si="18"/>
        <v>0</v>
      </c>
    </row>
    <row r="24" spans="2:33" ht="15" customHeight="1" x14ac:dyDescent="0.3">
      <c r="B24" s="196" t="s">
        <v>7</v>
      </c>
      <c r="C24" s="197" t="s">
        <v>15</v>
      </c>
      <c r="D24" s="198" t="str">
        <f t="shared" si="0"/>
        <v>C</v>
      </c>
      <c r="E24" s="199">
        <v>43591.017361111109</v>
      </c>
      <c r="F24" s="200" t="s">
        <v>115</v>
      </c>
      <c r="G24" s="201">
        <v>145.85</v>
      </c>
      <c r="H24" s="201">
        <v>144.762</v>
      </c>
      <c r="I24" s="202">
        <f t="shared" si="1"/>
        <v>1.0879999999999939</v>
      </c>
      <c r="J24" s="201">
        <v>151.941</v>
      </c>
      <c r="K24" s="199">
        <v>43591.10833333333</v>
      </c>
      <c r="L24" s="201">
        <v>145.06700000000001</v>
      </c>
      <c r="M24" s="203">
        <f t="shared" si="2"/>
        <v>-0.78300000000000003</v>
      </c>
      <c r="N24" s="204">
        <f t="shared" si="3"/>
        <v>-0.72</v>
      </c>
      <c r="O24" s="205">
        <f t="shared" si="4"/>
        <v>0</v>
      </c>
      <c r="P24" s="206">
        <f t="shared" si="5"/>
        <v>0</v>
      </c>
      <c r="Q24" s="206">
        <f t="shared" si="6"/>
        <v>-0.72</v>
      </c>
      <c r="R24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24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106920</v>
      </c>
      <c r="T24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111190</v>
      </c>
      <c r="U24" s="208">
        <f ca="1">IF(Tabla33610673486[[#This Row],[Equity]]&lt;Tabla33610673486[[#This Row],[Equity Peak]],(Tabla33610673486[[#This Row],[Equity Peak]]-Tabla33610673486[[#This Row],[Equity]])/Tabla33610673486[[#This Row],[Equity Peak]],"")</f>
        <v>3.8402734058818236E-2</v>
      </c>
      <c r="V24" s="209">
        <f t="shared" si="7"/>
        <v>-0.72</v>
      </c>
      <c r="W24" s="209">
        <f t="shared" si="8"/>
        <v>0</v>
      </c>
      <c r="X24" s="209">
        <f t="shared" si="9"/>
        <v>0</v>
      </c>
      <c r="Y24" s="209">
        <f t="shared" si="10"/>
        <v>0</v>
      </c>
      <c r="Z24" s="209">
        <f t="shared" si="11"/>
        <v>0</v>
      </c>
      <c r="AA24" s="205">
        <f t="shared" si="12"/>
        <v>0</v>
      </c>
      <c r="AB24" s="209">
        <f t="shared" si="13"/>
        <v>0</v>
      </c>
      <c r="AC24" s="205">
        <f t="shared" si="14"/>
        <v>0</v>
      </c>
      <c r="AD24" s="210">
        <f t="shared" si="15"/>
        <v>9.0972222220443655E-2</v>
      </c>
      <c r="AE24" s="210">
        <f t="shared" si="16"/>
        <v>0</v>
      </c>
      <c r="AF24" s="210">
        <f t="shared" si="17"/>
        <v>9.0972222220443655E-2</v>
      </c>
      <c r="AG24" s="210">
        <f t="shared" si="18"/>
        <v>0</v>
      </c>
    </row>
    <row r="25" spans="2:33" ht="15" customHeight="1" x14ac:dyDescent="0.3">
      <c r="B25" s="196" t="s">
        <v>7</v>
      </c>
      <c r="C25" s="197" t="s">
        <v>13</v>
      </c>
      <c r="D25" s="198" t="str">
        <f t="shared" si="0"/>
        <v>C</v>
      </c>
      <c r="E25" s="199">
        <v>43574.166666666664</v>
      </c>
      <c r="F25" s="200" t="s">
        <v>115</v>
      </c>
      <c r="G25" s="201">
        <v>145.429</v>
      </c>
      <c r="H25" s="201">
        <v>146.096</v>
      </c>
      <c r="I25" s="202">
        <f t="shared" si="1"/>
        <v>0.66700000000000159</v>
      </c>
      <c r="J25" s="201">
        <v>141.697</v>
      </c>
      <c r="K25" s="199">
        <v>43578.512499999997</v>
      </c>
      <c r="L25" s="201">
        <v>145.56700000000001</v>
      </c>
      <c r="M25" s="203">
        <f t="shared" si="2"/>
        <v>-0.13800000000000001</v>
      </c>
      <c r="N25" s="204">
        <f t="shared" si="3"/>
        <v>-0.21</v>
      </c>
      <c r="O25" s="205">
        <f t="shared" si="4"/>
        <v>0</v>
      </c>
      <c r="P25" s="206">
        <f t="shared" si="5"/>
        <v>0</v>
      </c>
      <c r="Q25" s="206">
        <f t="shared" si="6"/>
        <v>-0.21</v>
      </c>
      <c r="R25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25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107640</v>
      </c>
      <c r="T25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111190</v>
      </c>
      <c r="U25" s="208">
        <f ca="1">IF(Tabla33610673486[[#This Row],[Equity]]&lt;Tabla33610673486[[#This Row],[Equity Peak]],(Tabla33610673486[[#This Row],[Equity Peak]]-Tabla33610673486[[#This Row],[Equity]])/Tabla33610673486[[#This Row],[Equity Peak]],"")</f>
        <v>3.1927331594567857E-2</v>
      </c>
      <c r="V25" s="209">
        <f t="shared" si="7"/>
        <v>-0.21</v>
      </c>
      <c r="W25" s="209">
        <f t="shared" si="8"/>
        <v>0</v>
      </c>
      <c r="X25" s="209">
        <f t="shared" si="9"/>
        <v>0</v>
      </c>
      <c r="Y25" s="209">
        <f t="shared" si="10"/>
        <v>0</v>
      </c>
      <c r="Z25" s="209">
        <f t="shared" si="11"/>
        <v>0</v>
      </c>
      <c r="AA25" s="205">
        <f t="shared" si="12"/>
        <v>0</v>
      </c>
      <c r="AB25" s="209">
        <f t="shared" si="13"/>
        <v>0</v>
      </c>
      <c r="AC25" s="205">
        <f t="shared" si="14"/>
        <v>0</v>
      </c>
      <c r="AD25" s="210">
        <f t="shared" si="15"/>
        <v>4.3458333333328483</v>
      </c>
      <c r="AE25" s="210">
        <f t="shared" si="16"/>
        <v>0</v>
      </c>
      <c r="AF25" s="210">
        <f t="shared" si="17"/>
        <v>4.3458333333328483</v>
      </c>
      <c r="AG25" s="210">
        <f t="shared" si="18"/>
        <v>0</v>
      </c>
    </row>
    <row r="26" spans="2:33" ht="15" customHeight="1" x14ac:dyDescent="0.3">
      <c r="B26" s="196" t="s">
        <v>7</v>
      </c>
      <c r="C26" s="197" t="s">
        <v>15</v>
      </c>
      <c r="D26" s="198" t="str">
        <f t="shared" si="0"/>
        <v>C</v>
      </c>
      <c r="E26" s="199">
        <v>43567.666666666664</v>
      </c>
      <c r="F26" s="200" t="s">
        <v>115</v>
      </c>
      <c r="G26" s="201">
        <v>146.904</v>
      </c>
      <c r="H26" s="201">
        <v>145.92699999999999</v>
      </c>
      <c r="I26" s="202">
        <f t="shared" si="1"/>
        <v>0.97700000000000387</v>
      </c>
      <c r="J26" s="201">
        <v>152.37700000000001</v>
      </c>
      <c r="K26" s="199">
        <v>43572.609722222223</v>
      </c>
      <c r="L26" s="201">
        <v>145.92699999999999</v>
      </c>
      <c r="M26" s="203">
        <f t="shared" si="2"/>
        <v>-0.97699999999999998</v>
      </c>
      <c r="N26" s="204">
        <f t="shared" si="3"/>
        <v>-1</v>
      </c>
      <c r="O26" s="205">
        <f t="shared" si="4"/>
        <v>0</v>
      </c>
      <c r="P26" s="206">
        <f t="shared" si="5"/>
        <v>0</v>
      </c>
      <c r="Q26" s="206">
        <f t="shared" si="6"/>
        <v>-1</v>
      </c>
      <c r="R26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26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107850</v>
      </c>
      <c r="T26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111190</v>
      </c>
      <c r="U26" s="208">
        <f ca="1">IF(Tabla33610673486[[#This Row],[Equity]]&lt;Tabla33610673486[[#This Row],[Equity Peak]],(Tabla33610673486[[#This Row],[Equity Peak]]-Tabla33610673486[[#This Row],[Equity]])/Tabla33610673486[[#This Row],[Equity Peak]],"")</f>
        <v>3.0038672542494829E-2</v>
      </c>
      <c r="V26" s="209">
        <f t="shared" si="7"/>
        <v>-1</v>
      </c>
      <c r="W26" s="209">
        <f t="shared" si="8"/>
        <v>0</v>
      </c>
      <c r="X26" s="209">
        <f t="shared" si="9"/>
        <v>0</v>
      </c>
      <c r="Y26" s="209">
        <f t="shared" si="10"/>
        <v>0</v>
      </c>
      <c r="Z26" s="209">
        <f t="shared" si="11"/>
        <v>0</v>
      </c>
      <c r="AA26" s="205">
        <f t="shared" si="12"/>
        <v>0</v>
      </c>
      <c r="AB26" s="209">
        <f t="shared" si="13"/>
        <v>0</v>
      </c>
      <c r="AC26" s="205">
        <f t="shared" si="14"/>
        <v>0</v>
      </c>
      <c r="AD26" s="210">
        <f t="shared" si="15"/>
        <v>4.9430555555591127</v>
      </c>
      <c r="AE26" s="210">
        <f t="shared" si="16"/>
        <v>0</v>
      </c>
      <c r="AF26" s="210">
        <f t="shared" si="17"/>
        <v>4.9430555555591127</v>
      </c>
      <c r="AG26" s="210">
        <f t="shared" si="18"/>
        <v>0</v>
      </c>
    </row>
    <row r="27" spans="2:33" ht="15" customHeight="1" x14ac:dyDescent="0.3">
      <c r="B27" s="196" t="s">
        <v>7</v>
      </c>
      <c r="C27" s="197" t="s">
        <v>13</v>
      </c>
      <c r="D27" s="198" t="str">
        <f t="shared" si="0"/>
        <v>C</v>
      </c>
      <c r="E27" s="199">
        <v>43563.666666666664</v>
      </c>
      <c r="F27" s="200" t="s">
        <v>115</v>
      </c>
      <c r="G27" s="201">
        <v>145.42400000000001</v>
      </c>
      <c r="H27" s="201">
        <v>146.34800000000001</v>
      </c>
      <c r="I27" s="202">
        <f t="shared" si="1"/>
        <v>0.92400000000000659</v>
      </c>
      <c r="J27" s="201">
        <v>140.25200000000001</v>
      </c>
      <c r="K27" s="199">
        <v>43567.246527777781</v>
      </c>
      <c r="L27" s="201">
        <v>146.1</v>
      </c>
      <c r="M27" s="203">
        <f t="shared" si="2"/>
        <v>-0.67600000000000005</v>
      </c>
      <c r="N27" s="204">
        <f t="shared" si="3"/>
        <v>-0.73</v>
      </c>
      <c r="O27" s="205">
        <f t="shared" si="4"/>
        <v>0</v>
      </c>
      <c r="P27" s="206">
        <f t="shared" si="5"/>
        <v>0</v>
      </c>
      <c r="Q27" s="206">
        <f t="shared" si="6"/>
        <v>-0.73</v>
      </c>
      <c r="R27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27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108850</v>
      </c>
      <c r="T27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111190</v>
      </c>
      <c r="U27" s="208">
        <f ca="1">IF(Tabla33610673486[[#This Row],[Equity]]&lt;Tabla33610673486[[#This Row],[Equity Peak]],(Tabla33610673486[[#This Row],[Equity Peak]]-Tabla33610673486[[#This Row],[Equity]])/Tabla33610673486[[#This Row],[Equity Peak]],"")</f>
        <v>2.1045058008813743E-2</v>
      </c>
      <c r="V27" s="209">
        <f t="shared" si="7"/>
        <v>-0.73</v>
      </c>
      <c r="W27" s="209">
        <f t="shared" si="8"/>
        <v>0</v>
      </c>
      <c r="X27" s="209">
        <f t="shared" si="9"/>
        <v>0</v>
      </c>
      <c r="Y27" s="209">
        <f t="shared" si="10"/>
        <v>0</v>
      </c>
      <c r="Z27" s="209">
        <f t="shared" si="11"/>
        <v>0</v>
      </c>
      <c r="AA27" s="205">
        <f t="shared" si="12"/>
        <v>0</v>
      </c>
      <c r="AB27" s="209">
        <f t="shared" si="13"/>
        <v>0</v>
      </c>
      <c r="AC27" s="205">
        <f t="shared" si="14"/>
        <v>0</v>
      </c>
      <c r="AD27" s="210">
        <f t="shared" si="15"/>
        <v>3.5798611111167702</v>
      </c>
      <c r="AE27" s="210">
        <f t="shared" si="16"/>
        <v>0</v>
      </c>
      <c r="AF27" s="210">
        <f t="shared" si="17"/>
        <v>3.5798611111167702</v>
      </c>
      <c r="AG27" s="210">
        <f t="shared" si="18"/>
        <v>0</v>
      </c>
    </row>
    <row r="28" spans="2:33" ht="15" customHeight="1" x14ac:dyDescent="0.3">
      <c r="B28" s="196" t="s">
        <v>7</v>
      </c>
      <c r="C28" s="197" t="s">
        <v>15</v>
      </c>
      <c r="D28" s="198" t="str">
        <f t="shared" si="0"/>
        <v>C</v>
      </c>
      <c r="E28" s="199">
        <v>43558.666666666664</v>
      </c>
      <c r="F28" s="200" t="s">
        <v>115</v>
      </c>
      <c r="G28" s="201">
        <v>146.785</v>
      </c>
      <c r="H28" s="201">
        <v>145.32900000000001</v>
      </c>
      <c r="I28" s="202">
        <f t="shared" si="1"/>
        <v>1.4559999999999889</v>
      </c>
      <c r="J28" s="201">
        <v>154.94</v>
      </c>
      <c r="K28" s="199">
        <v>43560.76666666667</v>
      </c>
      <c r="L28" s="201">
        <v>145.32900000000001</v>
      </c>
      <c r="M28" s="203">
        <f t="shared" si="2"/>
        <v>-1.456</v>
      </c>
      <c r="N28" s="204">
        <f t="shared" si="3"/>
        <v>-1</v>
      </c>
      <c r="O28" s="205">
        <f t="shared" si="4"/>
        <v>0</v>
      </c>
      <c r="P28" s="206">
        <f t="shared" si="5"/>
        <v>0</v>
      </c>
      <c r="Q28" s="206">
        <f t="shared" si="6"/>
        <v>-1</v>
      </c>
      <c r="R28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28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109580</v>
      </c>
      <c r="T28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111190</v>
      </c>
      <c r="U28" s="208">
        <f ca="1">IF(Tabla33610673486[[#This Row],[Equity]]&lt;Tabla33610673486[[#This Row],[Equity Peak]],(Tabla33610673486[[#This Row],[Equity Peak]]-Tabla33610673486[[#This Row],[Equity]])/Tabla33610673486[[#This Row],[Equity Peak]],"")</f>
        <v>1.447971939922655E-2</v>
      </c>
      <c r="V28" s="209">
        <f t="shared" si="7"/>
        <v>-1</v>
      </c>
      <c r="W28" s="209">
        <f t="shared" si="8"/>
        <v>0</v>
      </c>
      <c r="X28" s="209">
        <f t="shared" si="9"/>
        <v>0</v>
      </c>
      <c r="Y28" s="209">
        <f t="shared" si="10"/>
        <v>0</v>
      </c>
      <c r="Z28" s="209">
        <f t="shared" si="11"/>
        <v>0</v>
      </c>
      <c r="AA28" s="205">
        <f t="shared" si="12"/>
        <v>0</v>
      </c>
      <c r="AB28" s="209">
        <f t="shared" si="13"/>
        <v>0</v>
      </c>
      <c r="AC28" s="205">
        <f t="shared" si="14"/>
        <v>0</v>
      </c>
      <c r="AD28" s="210">
        <f t="shared" si="15"/>
        <v>2.1000000000058208</v>
      </c>
      <c r="AE28" s="210">
        <f t="shared" si="16"/>
        <v>0</v>
      </c>
      <c r="AF28" s="210">
        <f t="shared" si="17"/>
        <v>2.1000000000058208</v>
      </c>
      <c r="AG28" s="210">
        <f t="shared" si="18"/>
        <v>0</v>
      </c>
    </row>
    <row r="29" spans="2:33" ht="15" customHeight="1" x14ac:dyDescent="0.3">
      <c r="B29" s="196" t="s">
        <v>7</v>
      </c>
      <c r="C29" s="197" t="s">
        <v>13</v>
      </c>
      <c r="D29" s="198" t="str">
        <f t="shared" si="0"/>
        <v>C</v>
      </c>
      <c r="E29" s="199">
        <v>43546.666666666664</v>
      </c>
      <c r="F29" s="200" t="s">
        <v>115</v>
      </c>
      <c r="G29" s="201">
        <v>145.042</v>
      </c>
      <c r="H29" s="201">
        <v>147.077</v>
      </c>
      <c r="I29" s="202">
        <f t="shared" si="1"/>
        <v>2.0349999999999966</v>
      </c>
      <c r="J29" s="201">
        <v>133.649</v>
      </c>
      <c r="K29" s="199">
        <v>43556.774305555555</v>
      </c>
      <c r="L29" s="201">
        <v>146.28100000000001</v>
      </c>
      <c r="M29" s="203">
        <f t="shared" si="2"/>
        <v>-1.2390000000000001</v>
      </c>
      <c r="N29" s="204">
        <f t="shared" si="3"/>
        <v>-0.61</v>
      </c>
      <c r="O29" s="205">
        <f t="shared" si="4"/>
        <v>0</v>
      </c>
      <c r="P29" s="206">
        <f t="shared" si="5"/>
        <v>0</v>
      </c>
      <c r="Q29" s="206">
        <f t="shared" si="6"/>
        <v>-0.61</v>
      </c>
      <c r="R29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29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110580</v>
      </c>
      <c r="T29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111190</v>
      </c>
      <c r="U29" s="208">
        <f ca="1">IF(Tabla33610673486[[#This Row],[Equity]]&lt;Tabla33610673486[[#This Row],[Equity Peak]],(Tabla33610673486[[#This Row],[Equity Peak]]-Tabla33610673486[[#This Row],[Equity]])/Tabla33610673486[[#This Row],[Equity Peak]],"")</f>
        <v>5.4861048655454629E-3</v>
      </c>
      <c r="V29" s="209">
        <f t="shared" si="7"/>
        <v>-0.61</v>
      </c>
      <c r="W29" s="209">
        <f t="shared" si="8"/>
        <v>0</v>
      </c>
      <c r="X29" s="209">
        <f t="shared" si="9"/>
        <v>0</v>
      </c>
      <c r="Y29" s="209">
        <f t="shared" si="10"/>
        <v>0</v>
      </c>
      <c r="Z29" s="209">
        <f t="shared" si="11"/>
        <v>0</v>
      </c>
      <c r="AA29" s="205">
        <f t="shared" si="12"/>
        <v>0</v>
      </c>
      <c r="AB29" s="209">
        <f t="shared" si="13"/>
        <v>0</v>
      </c>
      <c r="AC29" s="205">
        <f t="shared" si="14"/>
        <v>0</v>
      </c>
      <c r="AD29" s="210">
        <f t="shared" si="15"/>
        <v>10.107638888890506</v>
      </c>
      <c r="AE29" s="210">
        <f t="shared" si="16"/>
        <v>0</v>
      </c>
      <c r="AF29" s="210">
        <f t="shared" si="17"/>
        <v>10.107638888890506</v>
      </c>
      <c r="AG29" s="210">
        <f t="shared" si="18"/>
        <v>0</v>
      </c>
    </row>
    <row r="30" spans="2:33" ht="15" customHeight="1" x14ac:dyDescent="0.3">
      <c r="B30" s="196" t="s">
        <v>7</v>
      </c>
      <c r="C30" s="197" t="s">
        <v>15</v>
      </c>
      <c r="D30" s="198" t="str">
        <f t="shared" si="0"/>
        <v>C</v>
      </c>
      <c r="E30" s="199">
        <v>43514.333333333336</v>
      </c>
      <c r="F30" s="200" t="s">
        <v>115</v>
      </c>
      <c r="G30" s="201">
        <v>142.69300000000001</v>
      </c>
      <c r="H30" s="201">
        <v>141.678</v>
      </c>
      <c r="I30" s="202">
        <f t="shared" si="1"/>
        <v>1.0150000000000148</v>
      </c>
      <c r="J30" s="201">
        <v>148.37799999999999</v>
      </c>
      <c r="K30" s="199">
        <v>43525.677083333336</v>
      </c>
      <c r="L30" s="201">
        <v>148.37799999999999</v>
      </c>
      <c r="M30" s="203">
        <f t="shared" si="2"/>
        <v>5.6849999999999996</v>
      </c>
      <c r="N30" s="204">
        <f t="shared" si="3"/>
        <v>5.6</v>
      </c>
      <c r="O30" s="205">
        <f t="shared" si="4"/>
        <v>0</v>
      </c>
      <c r="P30" s="206">
        <f t="shared" si="5"/>
        <v>5.6</v>
      </c>
      <c r="Q30" s="206">
        <f t="shared" si="6"/>
        <v>0</v>
      </c>
      <c r="R30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30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111190</v>
      </c>
      <c r="T30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111190</v>
      </c>
      <c r="U30" s="208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30" s="209">
        <f t="shared" si="7"/>
        <v>5.6</v>
      </c>
      <c r="W30" s="209">
        <f t="shared" si="8"/>
        <v>0</v>
      </c>
      <c r="X30" s="209">
        <f t="shared" si="9"/>
        <v>0</v>
      </c>
      <c r="Y30" s="209">
        <f t="shared" si="10"/>
        <v>0</v>
      </c>
      <c r="Z30" s="209">
        <f t="shared" si="11"/>
        <v>0</v>
      </c>
      <c r="AA30" s="205">
        <f t="shared" si="12"/>
        <v>0</v>
      </c>
      <c r="AB30" s="209">
        <f t="shared" si="13"/>
        <v>0</v>
      </c>
      <c r="AC30" s="205">
        <f t="shared" si="14"/>
        <v>0</v>
      </c>
      <c r="AD30" s="210">
        <f t="shared" si="15"/>
        <v>11.34375</v>
      </c>
      <c r="AE30" s="210">
        <f t="shared" si="16"/>
        <v>11.34375</v>
      </c>
      <c r="AF30" s="210">
        <f t="shared" si="17"/>
        <v>0</v>
      </c>
      <c r="AG30" s="210">
        <f t="shared" si="18"/>
        <v>0</v>
      </c>
    </row>
    <row r="31" spans="2:33" ht="15" customHeight="1" x14ac:dyDescent="0.3">
      <c r="B31" s="196" t="s">
        <v>7</v>
      </c>
      <c r="C31" s="197" t="s">
        <v>13</v>
      </c>
      <c r="D31" s="198" t="str">
        <f t="shared" si="0"/>
        <v>C</v>
      </c>
      <c r="E31" s="199">
        <v>43511.333333333336</v>
      </c>
      <c r="F31" s="200" t="s">
        <v>115</v>
      </c>
      <c r="G31" s="201">
        <v>141.22200000000001</v>
      </c>
      <c r="H31" s="201">
        <v>142.30500000000001</v>
      </c>
      <c r="I31" s="202">
        <f t="shared" si="1"/>
        <v>1.0829999999999984</v>
      </c>
      <c r="J31" s="201">
        <v>135.15600000000001</v>
      </c>
      <c r="K31" s="199">
        <v>43511.773611111108</v>
      </c>
      <c r="L31" s="201">
        <v>142.30500000000001</v>
      </c>
      <c r="M31" s="203">
        <f t="shared" si="2"/>
        <v>-1.083</v>
      </c>
      <c r="N31" s="204">
        <f t="shared" si="3"/>
        <v>-1</v>
      </c>
      <c r="O31" s="205">
        <f t="shared" si="4"/>
        <v>0</v>
      </c>
      <c r="P31" s="206">
        <f t="shared" si="5"/>
        <v>0</v>
      </c>
      <c r="Q31" s="206">
        <f t="shared" si="6"/>
        <v>-1</v>
      </c>
      <c r="R31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31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105590</v>
      </c>
      <c r="T31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106590</v>
      </c>
      <c r="U31" s="208">
        <f ca="1">IF(Tabla33610673486[[#This Row],[Equity]]&lt;Tabla33610673486[[#This Row],[Equity Peak]],(Tabla33610673486[[#This Row],[Equity Peak]]-Tabla33610673486[[#This Row],[Equity]])/Tabla33610673486[[#This Row],[Equity Peak]],"")</f>
        <v>9.3817431278731597E-3</v>
      </c>
      <c r="V31" s="209">
        <f t="shared" si="7"/>
        <v>-1</v>
      </c>
      <c r="W31" s="209">
        <f t="shared" si="8"/>
        <v>0</v>
      </c>
      <c r="X31" s="209">
        <f t="shared" si="9"/>
        <v>0</v>
      </c>
      <c r="Y31" s="209">
        <f t="shared" si="10"/>
        <v>0</v>
      </c>
      <c r="Z31" s="209">
        <f t="shared" si="11"/>
        <v>0</v>
      </c>
      <c r="AA31" s="205">
        <f t="shared" si="12"/>
        <v>0</v>
      </c>
      <c r="AB31" s="209">
        <f t="shared" si="13"/>
        <v>0</v>
      </c>
      <c r="AC31" s="205">
        <f t="shared" si="14"/>
        <v>0</v>
      </c>
      <c r="AD31" s="210">
        <f t="shared" si="15"/>
        <v>0.44027777777228039</v>
      </c>
      <c r="AE31" s="210">
        <f t="shared" si="16"/>
        <v>0</v>
      </c>
      <c r="AF31" s="210">
        <f t="shared" si="17"/>
        <v>0.44027777777228039</v>
      </c>
      <c r="AG31" s="210">
        <f t="shared" si="18"/>
        <v>0</v>
      </c>
    </row>
    <row r="32" spans="2:33" ht="15" customHeight="1" x14ac:dyDescent="0.3">
      <c r="B32" s="196" t="s">
        <v>7</v>
      </c>
      <c r="C32" s="197" t="s">
        <v>15</v>
      </c>
      <c r="D32" s="198" t="str">
        <f t="shared" si="0"/>
        <v>C</v>
      </c>
      <c r="E32" s="199">
        <v>43483.017361111109</v>
      </c>
      <c r="F32" s="200" t="s">
        <v>115</v>
      </c>
      <c r="G32" s="201">
        <v>141.63300000000001</v>
      </c>
      <c r="H32" s="201">
        <v>139.97999999999999</v>
      </c>
      <c r="I32" s="202">
        <f t="shared" si="1"/>
        <v>1.65300000000002</v>
      </c>
      <c r="J32" s="201">
        <v>150.887</v>
      </c>
      <c r="K32" s="199">
        <v>43494.914583333331</v>
      </c>
      <c r="L32" s="201">
        <v>143.26900000000001</v>
      </c>
      <c r="M32" s="203">
        <f t="shared" si="2"/>
        <v>1.6359999999999999</v>
      </c>
      <c r="N32" s="204">
        <f t="shared" si="3"/>
        <v>0.99</v>
      </c>
      <c r="O32" s="205">
        <f t="shared" si="4"/>
        <v>0</v>
      </c>
      <c r="P32" s="206">
        <f t="shared" si="5"/>
        <v>0.99</v>
      </c>
      <c r="Q32" s="206">
        <f t="shared" si="6"/>
        <v>0</v>
      </c>
      <c r="R32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32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106590</v>
      </c>
      <c r="T32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106590</v>
      </c>
      <c r="U32" s="208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32" s="209">
        <f t="shared" si="7"/>
        <v>0.99</v>
      </c>
      <c r="W32" s="209">
        <f t="shared" si="8"/>
        <v>0</v>
      </c>
      <c r="X32" s="209">
        <f t="shared" si="9"/>
        <v>0</v>
      </c>
      <c r="Y32" s="209">
        <f t="shared" si="10"/>
        <v>0</v>
      </c>
      <c r="Z32" s="209">
        <f t="shared" si="11"/>
        <v>0</v>
      </c>
      <c r="AA32" s="205">
        <f t="shared" si="12"/>
        <v>0</v>
      </c>
      <c r="AB32" s="209">
        <f t="shared" si="13"/>
        <v>0</v>
      </c>
      <c r="AC32" s="205">
        <f t="shared" si="14"/>
        <v>0</v>
      </c>
      <c r="AD32" s="210">
        <f t="shared" si="15"/>
        <v>11.897222222221899</v>
      </c>
      <c r="AE32" s="210">
        <f t="shared" si="16"/>
        <v>11.897222222221899</v>
      </c>
      <c r="AF32" s="210">
        <f t="shared" si="17"/>
        <v>0</v>
      </c>
      <c r="AG32" s="210">
        <f t="shared" si="18"/>
        <v>0</v>
      </c>
    </row>
    <row r="33" spans="2:33" ht="15" customHeight="1" x14ac:dyDescent="0.3">
      <c r="B33" s="196" t="s">
        <v>7</v>
      </c>
      <c r="C33" s="197" t="s">
        <v>13</v>
      </c>
      <c r="D33" s="198" t="str">
        <f t="shared" si="0"/>
        <v>C</v>
      </c>
      <c r="E33" s="199">
        <v>43467.333333333336</v>
      </c>
      <c r="F33" s="200" t="s">
        <v>115</v>
      </c>
      <c r="G33" s="201">
        <v>139.44300000000001</v>
      </c>
      <c r="H33" s="201">
        <v>140.66399999999999</v>
      </c>
      <c r="I33" s="202">
        <f t="shared" si="1"/>
        <v>1.2209999999999752</v>
      </c>
      <c r="J33" s="201">
        <v>132.60400000000001</v>
      </c>
      <c r="K33" s="199">
        <v>43468.11041666667</v>
      </c>
      <c r="L33" s="201">
        <v>132.60400000000001</v>
      </c>
      <c r="M33" s="203">
        <f t="shared" si="2"/>
        <v>6.8390000000000004</v>
      </c>
      <c r="N33" s="204">
        <f t="shared" si="3"/>
        <v>5.6</v>
      </c>
      <c r="O33" s="205">
        <f t="shared" si="4"/>
        <v>0</v>
      </c>
      <c r="P33" s="206">
        <f t="shared" si="5"/>
        <v>5.6</v>
      </c>
      <c r="Q33" s="206">
        <f t="shared" si="6"/>
        <v>0</v>
      </c>
      <c r="R33" s="206" t="str">
        <f ca="1">IF(AND(OFFSET(Tabla33610673486[[#This Row],[Equity]],1,0)="",Tabla33610673486[[#This Row],[No. of Rs]]&lt;0),"Yes",IF(AND(OFFSET(Tabla33610673486[[#This Row],[Initial Losing Trade]],1,0)="Yes",Tabla33610673486[[#This Row],[No. of Rs]]&lt;0),"Yes","No"))</f>
        <v>No</v>
      </c>
      <c r="S33" s="207">
        <f ca="1">IF(OFFSET(Tabla33610673486[[#This Row],[Equity]],1,0)="",IF(Tabla33610673486[[#This Row],[No. of Rs]]="",$F$11,$F$11+($F$11*Tabla33610673486[[#This Row],[No. of Rs]]/100)),IF(Tabla33610673486[[#This Row],[No. of Rs]]="",OFFSET(Tabla33610673486[[#This Row],[Equity]],1,0),OFFSET(Tabla33610673486[[#This Row],[Equity]],1,0)+($F$11*Tabla33610673486[[#This Row],[No. of Rs]]/100)))</f>
        <v>105600</v>
      </c>
      <c r="T33" s="207">
        <f ca="1">IF(OFFSET(Tabla33610673486[[#This Row],[Equity Peak]],1,0)="",IF(Tabla33610673486[[#This Row],[Initial Losing Trade]]="Yes",$F$11,Tabla33610673486[[#This Row],[Equity]]),IF(OFFSET(Tabla33610673486[[#This Row],[Equity Peak]],1,0)&gt;Tabla33610673486[[#This Row],[Equity]],OFFSET(Tabla33610673486[[#This Row],[Equity Peak]],1,0),Tabla33610673486[[#This Row],[Equity]]))</f>
        <v>105600</v>
      </c>
      <c r="U33" s="208" t="str">
        <f ca="1">IF(Tabla33610673486[[#This Row],[Equity]]&lt;Tabla33610673486[[#This Row],[Equity Peak]],(Tabla33610673486[[#This Row],[Equity Peak]]-Tabla33610673486[[#This Row],[Equity]])/Tabla33610673486[[#This Row],[Equity Peak]],"")</f>
        <v/>
      </c>
      <c r="V33" s="209">
        <f t="shared" si="7"/>
        <v>5.6</v>
      </c>
      <c r="W33" s="209">
        <f t="shared" si="8"/>
        <v>0</v>
      </c>
      <c r="X33" s="209">
        <f t="shared" si="9"/>
        <v>0</v>
      </c>
      <c r="Y33" s="209">
        <f t="shared" si="10"/>
        <v>0</v>
      </c>
      <c r="Z33" s="209">
        <f t="shared" si="11"/>
        <v>0</v>
      </c>
      <c r="AA33" s="205">
        <f t="shared" si="12"/>
        <v>0</v>
      </c>
      <c r="AB33" s="209">
        <f t="shared" si="13"/>
        <v>0</v>
      </c>
      <c r="AC33" s="205">
        <f t="shared" si="14"/>
        <v>0</v>
      </c>
      <c r="AD33" s="210">
        <f t="shared" si="15"/>
        <v>0.77708333333430346</v>
      </c>
      <c r="AE33" s="210">
        <f t="shared" si="16"/>
        <v>0.77708333333430346</v>
      </c>
      <c r="AF33" s="210">
        <f t="shared" si="17"/>
        <v>0</v>
      </c>
      <c r="AG33" s="210">
        <f t="shared" si="18"/>
        <v>0</v>
      </c>
    </row>
  </sheetData>
  <sheetProtection algorithmName="SHA-512" hashValue="sED7XA10jxlgIcleNYr6rQELXIzuN8Ou1Ja4+FbzEewAyb1sNW9EW79X6DiU7daaFi31nSHdXNGBua7qiwk5ew==" saltValue="sYB/NDD8cHZYPO6EEh/9WA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587" priority="3" operator="equal">
      <formula>"OK"</formula>
    </cfRule>
    <cfRule type="cellIs" dxfId="586" priority="4" operator="equal">
      <formula>"warning"</formula>
    </cfRule>
  </conditionalFormatting>
  <conditionalFormatting sqref="F13">
    <cfRule type="cellIs" dxfId="585" priority="1" operator="equal">
      <formula>"OK"</formula>
    </cfRule>
    <cfRule type="cellIs" dxfId="584" priority="2" operator="equal">
      <formula>"Error!!"</formula>
    </cfRule>
  </conditionalFormatting>
  <conditionalFormatting sqref="E15:H15 K15:L15">
    <cfRule type="expression" dxfId="583" priority="5">
      <formula>+$D15=#REF!</formula>
    </cfRule>
    <cfRule type="expression" dxfId="582" priority="6">
      <formula>+$D15=#REF!</formula>
    </cfRule>
  </conditionalFormatting>
  <conditionalFormatting sqref="D15 K16:L16 D16:H33 J17:L33">
    <cfRule type="expression" dxfId="581" priority="7">
      <formula>+$D15=$AG$8</formula>
    </cfRule>
    <cfRule type="expression" dxfId="580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5:B16" xr:uid="{AB7F42FF-7086-4118-9F61-EE48B144E201}">
      <formula1>$AE$4:$AE$6</formula1>
    </dataValidation>
    <dataValidation type="list" allowBlank="1" showInputMessage="1" showErrorMessage="1" promptTitle="Trade Direction" prompt="Select from List" sqref="C15:C16" xr:uid="{1AE83EB6-FD86-48DD-9F5C-0A4E901AA529}">
      <formula1>$AG$4:$AG$5</formula1>
    </dataValidation>
    <dataValidation type="list" allowBlank="1" showInputMessage="1" showErrorMessage="1" promptTitle="Instrument Type" prompt="Select Type from List_x000a_" sqref="B17:B33" xr:uid="{57BDEC59-C494-4F9E-9F44-5589DAAA689D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85ADB-F431-46BF-AD09-C633174D4314}">
  <sheetPr codeName="Hoja24">
    <pageSetUpPr fitToPage="1"/>
  </sheetPr>
  <dimension ref="A1:AX31"/>
  <sheetViews>
    <sheetView showGridLines="0" showZeros="0" tabSelected="1" zoomScale="115" zoomScaleNormal="115" zoomScalePageLayoutView="99" workbookViewId="0">
      <pane ySplit="16" topLeftCell="A24" activePane="bottomLeft" state="frozen"/>
      <selection activeCell="E2" sqref="E2:N5"/>
      <selection pane="bottomLeft" activeCell="E2" sqref="E2:N5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123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COUNTA(Tabla336106734818[Inst])</f>
        <v>15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14.57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14.57</v>
      </c>
      <c r="W6" s="18"/>
      <c r="X6" s="17">
        <f>+X13</f>
        <v>0</v>
      </c>
      <c r="Y6" s="19"/>
      <c r="Z6" s="17">
        <f>+Z13</f>
        <v>0</v>
      </c>
      <c r="AA6" s="19"/>
      <c r="AB6" s="17">
        <f>+AB13</f>
        <v>0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COUNTIF(Tabla336106734818[No. of Rs],"&gt;0")</f>
        <v>8</v>
      </c>
      <c r="G7" s="24">
        <f>IFERROR((F7/$F$6),"")</f>
        <v>0.53333333333333333</v>
      </c>
      <c r="H7" s="78">
        <f>IFERROR((+P13/F7),"")</f>
        <v>2.3225000000000002</v>
      </c>
      <c r="I7" s="227">
        <f>H7/H9</f>
        <v>4.0542394014962602</v>
      </c>
      <c r="J7" s="227">
        <f>AVERAGE(Tabla336106734818[No. of Rs])</f>
        <v>0.97133333333333338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1</v>
      </c>
      <c r="W7" s="27"/>
      <c r="X7" s="26">
        <f>IFERROR((X6/N6),"")</f>
        <v>0</v>
      </c>
      <c r="Y7" s="28"/>
      <c r="Z7" s="26">
        <f>IFERROR((Z6/N6),"")</f>
        <v>0</v>
      </c>
      <c r="AA7" s="28"/>
      <c r="AB7" s="26">
        <f>IFERROR((AB6/N6),"")</f>
        <v>0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COUNTIF(Tabla336106734818[No. of Rs],"=0")</f>
        <v>0</v>
      </c>
      <c r="G8" s="24">
        <f>IFERROR((F8/$F$6),"")</f>
        <v>0</v>
      </c>
      <c r="H8" s="78"/>
      <c r="I8" s="228"/>
      <c r="J8" s="228"/>
      <c r="K8" s="163"/>
      <c r="L8" s="212" t="s">
        <v>112</v>
      </c>
      <c r="M8" s="213"/>
      <c r="N8" s="195">
        <f ca="1">OFFSET(Tabla336106734818[[#Headers],[Equity]],1,0)</f>
        <v>114570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COUNTIF(Tabla336106734818[No. of Rs],"&lt;0")</f>
        <v>7</v>
      </c>
      <c r="G9" s="32">
        <f>IFERROR((F9/$F$6),"")</f>
        <v>0.46666666666666667</v>
      </c>
      <c r="H9" s="79">
        <f>IFERROR((-Q13/F9),"")</f>
        <v>0.57285714285714284</v>
      </c>
      <c r="I9" s="229"/>
      <c r="J9" s="229"/>
      <c r="K9" s="149"/>
      <c r="L9" s="230" t="s">
        <v>106</v>
      </c>
      <c r="M9" s="231"/>
      <c r="N9" s="125">
        <f ca="1">MAX(Tabla336106734818[Drawdown])</f>
        <v>3.0700000000000002E-2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 t="str">
        <f ca="1">OFFSET(Tabla336106734818[[#Headers],[Drawdown]],1,0)</f>
        <v/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COUNTIF(Tabla336106734818[Heat],"&lt;0")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IF(COUNTIFS(Tabla336106734818[O/C],"O")&lt;1,"None",COUNTIFS(Tabla336106734818[O/C],"O"))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SUM(Tabla336106734818[No. of Rs])</f>
        <v>14.57</v>
      </c>
      <c r="O13" s="42">
        <f>SUM(Tabla336106734818[Heat])</f>
        <v>0</v>
      </c>
      <c r="P13" s="43">
        <f>SUM(Tabla336106734818[[ TR WIN]])</f>
        <v>18.580000000000002</v>
      </c>
      <c r="Q13" s="43">
        <f>SUM(Tabla336106734818[[ TR LOSS]])</f>
        <v>-4.01</v>
      </c>
      <c r="R13" s="114"/>
      <c r="S13" s="115"/>
      <c r="T13" s="115"/>
      <c r="U13" s="121"/>
      <c r="V13" s="44">
        <f>SUM(Tabla336106734818[Currency])</f>
        <v>14.57</v>
      </c>
      <c r="W13" s="44">
        <f>SUM(Tabla336106734818[Heat3])</f>
        <v>0</v>
      </c>
      <c r="X13" s="44">
        <f>SUM(Tabla336106734818[Commodities])</f>
        <v>0</v>
      </c>
      <c r="Y13" s="44">
        <f>SUM(Tabla336106734818[Heat4])</f>
        <v>0</v>
      </c>
      <c r="Z13" s="44">
        <f>SUM(Tabla336106734818[Index])</f>
        <v>0</v>
      </c>
      <c r="AA13" s="44">
        <f>SUM(Tabla336106734818[Heat5])</f>
        <v>0</v>
      </c>
      <c r="AB13" s="44">
        <f>SUM(Tabla336106734818[Cryptocurrency])</f>
        <v>0</v>
      </c>
      <c r="AC13" s="44">
        <f>SUM(Tabla336106734818[Heat6])</f>
        <v>0</v>
      </c>
      <c r="AD13" s="75">
        <f>AVERAGEIF(Tabla336106734818[Length of 
Trade],"&lt;&gt;0")</f>
        <v>6.4982407407408269</v>
      </c>
      <c r="AE13" s="75">
        <f>AVERAGEIF(Tabla336106734818[Win],"&lt;&gt;0")</f>
        <v>7.9840277777775555</v>
      </c>
      <c r="AF13" s="75">
        <f>AVERAGEIF(Tabla336106734818[Loss],"&lt;&gt;0")</f>
        <v>4.8001984126988519</v>
      </c>
      <c r="AG13" s="76" t="e">
        <f>AVERAGEIF(Tabla336106734818[Breakeven],"&lt;&gt;0")</f>
        <v>#DIV/0!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2:33" ht="15" customHeight="1" x14ac:dyDescent="0.3">
      <c r="B17" s="196" t="s">
        <v>7</v>
      </c>
      <c r="C17" s="197" t="s">
        <v>15</v>
      </c>
      <c r="D17" s="198" t="str">
        <f t="shared" ref="D17:D31" si="0">IF(E17&lt;&gt;"",IF(K17&lt;&gt;"","C","O"),"")</f>
        <v>C</v>
      </c>
      <c r="E17" s="199">
        <v>43797.5</v>
      </c>
      <c r="F17" s="200" t="s">
        <v>114</v>
      </c>
      <c r="G17" s="201">
        <v>1.2936799999999999</v>
      </c>
      <c r="H17" s="201">
        <v>1.2870600000000001</v>
      </c>
      <c r="I17" s="202">
        <f t="shared" ref="I17:I31" si="1">ABS(G17-H17)</f>
        <v>6.6199999999998482E-3</v>
      </c>
      <c r="J17" s="201">
        <v>1.32016</v>
      </c>
      <c r="K17" s="199">
        <v>43809.842361111114</v>
      </c>
      <c r="L17" s="201">
        <v>1.32016</v>
      </c>
      <c r="M17" s="203">
        <f t="shared" ref="M17:M31" si="2">ROUND(IF(C17="L",(L17-G17),(G17-L17)),4)</f>
        <v>2.6499999999999999E-2</v>
      </c>
      <c r="N17" s="204">
        <f t="shared" ref="N17:N31" si="3">IFERROR(ROUND((M17/I17),2),"")</f>
        <v>4</v>
      </c>
      <c r="O17" s="205">
        <f t="shared" ref="O17:O31" si="4">IF(D17="O",IF(N17&lt;0,N17,0),0)</f>
        <v>0</v>
      </c>
      <c r="P17" s="206">
        <f t="shared" ref="P17:P31" si="5">IF(N17&gt;= 0,N17,0)</f>
        <v>4</v>
      </c>
      <c r="Q17" s="206">
        <f t="shared" ref="Q17:Q31" si="6">IF(N17&lt;0,N17,0)</f>
        <v>0</v>
      </c>
      <c r="R17" s="206" t="str">
        <f ca="1">IF(AND(OFFSET(Tabla336106734818[[#This Row],[Equity]],1,0)="",Tabla336106734818[[#This Row],[No. of Rs]]&lt;0),"Yes",IF(AND(OFFSET(Tabla336106734818[[#This Row],[Initial Losing Trade]],1,0)="Yes",Tabla336106734818[[#This Row],[No. of Rs]]&lt;0),"Yes","No"))</f>
        <v>No</v>
      </c>
      <c r="S17" s="207">
        <f ca="1">IF(OFFSET(Tabla336106734818[[#This Row],[Equity]],1,0)="",IF(Tabla336106734818[[#This Row],[No. of Rs]]="",$F$11,$F$11+($F$11*Tabla336106734818[[#This Row],[No. of Rs]]/100)),IF(Tabla336106734818[[#This Row],[No. of Rs]]="",OFFSET(Tabla336106734818[[#This Row],[Equity]],1,0),OFFSET(Tabla336106734818[[#This Row],[Equity]],1,0)+($F$11*Tabla336106734818[[#This Row],[No. of Rs]]/100)))</f>
        <v>114570</v>
      </c>
      <c r="T17" s="207">
        <f ca="1">IF(OFFSET(Tabla336106734818[[#This Row],[Equity Peak]],1,0)="",IF(Tabla336106734818[[#This Row],[Initial Losing Trade]]="Yes",$F$11,Tabla336106734818[[#This Row],[Equity]]),IF(OFFSET(Tabla336106734818[[#This Row],[Equity Peak]],1,0)&gt;Tabla336106734818[[#This Row],[Equity]],OFFSET(Tabla336106734818[[#This Row],[Equity Peak]],1,0),Tabla336106734818[[#This Row],[Equity]]))</f>
        <v>114570</v>
      </c>
      <c r="U17" s="208" t="str">
        <f ca="1">IF(Tabla336106734818[[#This Row],[Equity]]&lt;Tabla336106734818[[#This Row],[Equity Peak]],(Tabla336106734818[[#This Row],[Equity Peak]]-Tabla336106734818[[#This Row],[Equity]])/Tabla336106734818[[#This Row],[Equity Peak]],"")</f>
        <v/>
      </c>
      <c r="V17" s="209">
        <f t="shared" ref="V17:V31" si="7">IF(B17="FX",N17,0)</f>
        <v>4</v>
      </c>
      <c r="W17" s="209">
        <f t="shared" ref="W17:W31" si="8">IF(D17="O",IF(V17&lt;0,V17,0),0)</f>
        <v>0</v>
      </c>
      <c r="X17" s="209">
        <f t="shared" ref="X17:X31" si="9">IF(B17="COM",N17,0)</f>
        <v>0</v>
      </c>
      <c r="Y17" s="209">
        <f t="shared" ref="Y17:Y31" si="10">IF(D17="O",IF(X17&lt;0,X17,0),0)</f>
        <v>0</v>
      </c>
      <c r="Z17" s="209">
        <f t="shared" ref="Z17:Z31" si="11">IF(B17="IND",N17,0)</f>
        <v>0</v>
      </c>
      <c r="AA17" s="205">
        <f t="shared" ref="AA17:AA31" si="12">IF(D17="O",IF(Z17&lt;0,Z17,0),0)</f>
        <v>0</v>
      </c>
      <c r="AB17" s="209">
        <f t="shared" ref="AB17:AB31" si="13">IF(B17="CRYPTO",N17,0)</f>
        <v>0</v>
      </c>
      <c r="AC17" s="205">
        <f t="shared" ref="AC17:AC31" si="14">IF(D17="O",IF(AB17&lt;0,AB17,0),0)</f>
        <v>0</v>
      </c>
      <c r="AD17" s="210">
        <f t="shared" ref="AD17:AD31" si="15">IF(K17&lt;&gt;"",K17-E17,0)</f>
        <v>12.34236111111386</v>
      </c>
      <c r="AE17" s="210">
        <f t="shared" ref="AE17:AE31" si="16">IF(N17&gt;0,AD17,0)</f>
        <v>12.34236111111386</v>
      </c>
      <c r="AF17" s="210">
        <f t="shared" ref="AF17:AF31" si="17">IF(N17&lt;0,AD17,0)</f>
        <v>0</v>
      </c>
      <c r="AG17" s="210">
        <f t="shared" ref="AG17:AG31" si="18">IF(N17=0,AD17,0)</f>
        <v>0</v>
      </c>
    </row>
    <row r="18" spans="2:33" ht="15" customHeight="1" x14ac:dyDescent="0.3">
      <c r="B18" s="196" t="s">
        <v>7</v>
      </c>
      <c r="C18" s="197" t="s">
        <v>15</v>
      </c>
      <c r="D18" s="198" t="str">
        <f t="shared" si="0"/>
        <v>C</v>
      </c>
      <c r="E18" s="199">
        <v>43784.333333333336</v>
      </c>
      <c r="F18" s="200" t="s">
        <v>114</v>
      </c>
      <c r="G18" s="201">
        <v>1.28762</v>
      </c>
      <c r="H18" s="201">
        <v>1.2818000000000001</v>
      </c>
      <c r="I18" s="202">
        <f t="shared" si="1"/>
        <v>5.8199999999999363E-3</v>
      </c>
      <c r="J18" s="201">
        <v>1.31091</v>
      </c>
      <c r="K18" s="199">
        <v>43791.438194444447</v>
      </c>
      <c r="L18" s="201">
        <v>1.2875300000000001</v>
      </c>
      <c r="M18" s="203">
        <f t="shared" si="2"/>
        <v>-1E-4</v>
      </c>
      <c r="N18" s="204">
        <f t="shared" si="3"/>
        <v>-0.02</v>
      </c>
      <c r="O18" s="205">
        <f t="shared" si="4"/>
        <v>0</v>
      </c>
      <c r="P18" s="206">
        <f t="shared" si="5"/>
        <v>0</v>
      </c>
      <c r="Q18" s="206">
        <f t="shared" si="6"/>
        <v>-0.02</v>
      </c>
      <c r="R18" s="206" t="str">
        <f ca="1">IF(AND(OFFSET(Tabla336106734818[[#This Row],[Equity]],1,0)="",Tabla336106734818[[#This Row],[No. of Rs]]&lt;0),"Yes",IF(AND(OFFSET(Tabla336106734818[[#This Row],[Initial Losing Trade]],1,0)="Yes",Tabla336106734818[[#This Row],[No. of Rs]]&lt;0),"Yes","No"))</f>
        <v>No</v>
      </c>
      <c r="S18" s="207">
        <f ca="1">IF(OFFSET(Tabla336106734818[[#This Row],[Equity]],1,0)="",IF(Tabla336106734818[[#This Row],[No. of Rs]]="",$F$11,$F$11+($F$11*Tabla336106734818[[#This Row],[No. of Rs]]/100)),IF(Tabla336106734818[[#This Row],[No. of Rs]]="",OFFSET(Tabla336106734818[[#This Row],[Equity]],1,0),OFFSET(Tabla336106734818[[#This Row],[Equity]],1,0)+($F$11*Tabla336106734818[[#This Row],[No. of Rs]]/100)))</f>
        <v>110570</v>
      </c>
      <c r="T18" s="207">
        <f ca="1">IF(OFFSET(Tabla336106734818[[#This Row],[Equity Peak]],1,0)="",IF(Tabla336106734818[[#This Row],[Initial Losing Trade]]="Yes",$F$11,Tabla336106734818[[#This Row],[Equity]]),IF(OFFSET(Tabla336106734818[[#This Row],[Equity Peak]],1,0)&gt;Tabla336106734818[[#This Row],[Equity]],OFFSET(Tabla336106734818[[#This Row],[Equity Peak]],1,0),Tabla336106734818[[#This Row],[Equity]]))</f>
        <v>110590</v>
      </c>
      <c r="U18" s="208">
        <f ca="1">IF(Tabla336106734818[[#This Row],[Equity]]&lt;Tabla336106734818[[#This Row],[Equity Peak]],(Tabla336106734818[[#This Row],[Equity Peak]]-Tabla336106734818[[#This Row],[Equity]])/Tabla336106734818[[#This Row],[Equity Peak]],"")</f>
        <v>1.8084817795460711E-4</v>
      </c>
      <c r="V18" s="209">
        <f t="shared" si="7"/>
        <v>-0.02</v>
      </c>
      <c r="W18" s="209">
        <f t="shared" si="8"/>
        <v>0</v>
      </c>
      <c r="X18" s="209">
        <f t="shared" si="9"/>
        <v>0</v>
      </c>
      <c r="Y18" s="209">
        <f t="shared" si="10"/>
        <v>0</v>
      </c>
      <c r="Z18" s="209">
        <f t="shared" si="11"/>
        <v>0</v>
      </c>
      <c r="AA18" s="205">
        <f t="shared" si="12"/>
        <v>0</v>
      </c>
      <c r="AB18" s="209">
        <f t="shared" si="13"/>
        <v>0</v>
      </c>
      <c r="AC18" s="205">
        <f t="shared" si="14"/>
        <v>0</v>
      </c>
      <c r="AD18" s="210">
        <f t="shared" si="15"/>
        <v>7.1048611111109494</v>
      </c>
      <c r="AE18" s="210">
        <f t="shared" si="16"/>
        <v>0</v>
      </c>
      <c r="AF18" s="210">
        <f t="shared" si="17"/>
        <v>7.1048611111109494</v>
      </c>
      <c r="AG18" s="210">
        <f t="shared" si="18"/>
        <v>0</v>
      </c>
    </row>
    <row r="19" spans="2:33" ht="15" customHeight="1" x14ac:dyDescent="0.3">
      <c r="B19" s="196" t="s">
        <v>7</v>
      </c>
      <c r="C19" s="197" t="s">
        <v>15</v>
      </c>
      <c r="D19" s="198" t="str">
        <f t="shared" si="0"/>
        <v>C</v>
      </c>
      <c r="E19" s="199">
        <v>43749.333333333336</v>
      </c>
      <c r="F19" s="200" t="s">
        <v>114</v>
      </c>
      <c r="G19" s="201">
        <v>1.2448999999999999</v>
      </c>
      <c r="H19" s="201">
        <v>1.23333</v>
      </c>
      <c r="I19" s="202">
        <f t="shared" si="1"/>
        <v>1.1569999999999858E-2</v>
      </c>
      <c r="J19" s="201">
        <v>1.29118</v>
      </c>
      <c r="K19" s="199">
        <v>43755.580555555556</v>
      </c>
      <c r="L19" s="201">
        <v>1.29118</v>
      </c>
      <c r="M19" s="203">
        <f t="shared" si="2"/>
        <v>4.6300000000000001E-2</v>
      </c>
      <c r="N19" s="204">
        <f t="shared" si="3"/>
        <v>4</v>
      </c>
      <c r="O19" s="205">
        <f t="shared" si="4"/>
        <v>0</v>
      </c>
      <c r="P19" s="206">
        <f t="shared" si="5"/>
        <v>4</v>
      </c>
      <c r="Q19" s="206">
        <f t="shared" si="6"/>
        <v>0</v>
      </c>
      <c r="R19" s="206" t="str">
        <f ca="1">IF(AND(OFFSET(Tabla336106734818[[#This Row],[Equity]],1,0)="",Tabla336106734818[[#This Row],[No. of Rs]]&lt;0),"Yes",IF(AND(OFFSET(Tabla336106734818[[#This Row],[Initial Losing Trade]],1,0)="Yes",Tabla336106734818[[#This Row],[No. of Rs]]&lt;0),"Yes","No"))</f>
        <v>No</v>
      </c>
      <c r="S19" s="207">
        <f ca="1">IF(OFFSET(Tabla336106734818[[#This Row],[Equity]],1,0)="",IF(Tabla336106734818[[#This Row],[No. of Rs]]="",$F$11,$F$11+($F$11*Tabla336106734818[[#This Row],[No. of Rs]]/100)),IF(Tabla336106734818[[#This Row],[No. of Rs]]="",OFFSET(Tabla336106734818[[#This Row],[Equity]],1,0),OFFSET(Tabla336106734818[[#This Row],[Equity]],1,0)+($F$11*Tabla336106734818[[#This Row],[No. of Rs]]/100)))</f>
        <v>110590</v>
      </c>
      <c r="T19" s="207">
        <f ca="1">IF(OFFSET(Tabla336106734818[[#This Row],[Equity Peak]],1,0)="",IF(Tabla336106734818[[#This Row],[Initial Losing Trade]]="Yes",$F$11,Tabla336106734818[[#This Row],[Equity]]),IF(OFFSET(Tabla336106734818[[#This Row],[Equity Peak]],1,0)&gt;Tabla336106734818[[#This Row],[Equity]],OFFSET(Tabla336106734818[[#This Row],[Equity Peak]],1,0),Tabla336106734818[[#This Row],[Equity]]))</f>
        <v>110590</v>
      </c>
      <c r="U19" s="208" t="str">
        <f ca="1">IF(Tabla336106734818[[#This Row],[Equity]]&lt;Tabla336106734818[[#This Row],[Equity Peak]],(Tabla336106734818[[#This Row],[Equity Peak]]-Tabla336106734818[[#This Row],[Equity]])/Tabla336106734818[[#This Row],[Equity Peak]],"")</f>
        <v/>
      </c>
      <c r="V19" s="209">
        <f t="shared" si="7"/>
        <v>4</v>
      </c>
      <c r="W19" s="209">
        <f t="shared" si="8"/>
        <v>0</v>
      </c>
      <c r="X19" s="209">
        <f t="shared" si="9"/>
        <v>0</v>
      </c>
      <c r="Y19" s="209">
        <f t="shared" si="10"/>
        <v>0</v>
      </c>
      <c r="Z19" s="209">
        <f t="shared" si="11"/>
        <v>0</v>
      </c>
      <c r="AA19" s="205">
        <f t="shared" si="12"/>
        <v>0</v>
      </c>
      <c r="AB19" s="209">
        <f t="shared" si="13"/>
        <v>0</v>
      </c>
      <c r="AC19" s="205">
        <f t="shared" si="14"/>
        <v>0</v>
      </c>
      <c r="AD19" s="210">
        <f t="shared" si="15"/>
        <v>6.2472222222204437</v>
      </c>
      <c r="AE19" s="210">
        <f t="shared" si="16"/>
        <v>6.2472222222204437</v>
      </c>
      <c r="AF19" s="210">
        <f t="shared" si="17"/>
        <v>0</v>
      </c>
      <c r="AG19" s="210">
        <f t="shared" si="18"/>
        <v>0</v>
      </c>
    </row>
    <row r="20" spans="2:33" ht="15" customHeight="1" x14ac:dyDescent="0.3">
      <c r="B20" s="196" t="s">
        <v>7</v>
      </c>
      <c r="C20" s="197" t="s">
        <v>13</v>
      </c>
      <c r="D20" s="198" t="str">
        <f t="shared" si="0"/>
        <v>C</v>
      </c>
      <c r="E20" s="199">
        <v>43734.166666666664</v>
      </c>
      <c r="F20" s="200" t="s">
        <v>114</v>
      </c>
      <c r="G20" s="201">
        <v>1.2359500000000001</v>
      </c>
      <c r="H20" s="201">
        <v>1.2443299999999999</v>
      </c>
      <c r="I20" s="202">
        <f t="shared" si="1"/>
        <v>8.379999999999832E-3</v>
      </c>
      <c r="J20" s="201">
        <v>1.20244</v>
      </c>
      <c r="K20" s="199">
        <v>43741.605555555558</v>
      </c>
      <c r="L20" s="201">
        <v>1.2369600000000001</v>
      </c>
      <c r="M20" s="203">
        <f t="shared" si="2"/>
        <v>-1E-3</v>
      </c>
      <c r="N20" s="204">
        <f t="shared" si="3"/>
        <v>-0.12</v>
      </c>
      <c r="O20" s="205">
        <f t="shared" si="4"/>
        <v>0</v>
      </c>
      <c r="P20" s="206">
        <f t="shared" si="5"/>
        <v>0</v>
      </c>
      <c r="Q20" s="206">
        <f t="shared" si="6"/>
        <v>-0.12</v>
      </c>
      <c r="R20" s="206" t="str">
        <f ca="1">IF(AND(OFFSET(Tabla336106734818[[#This Row],[Equity]],1,0)="",Tabla336106734818[[#This Row],[No. of Rs]]&lt;0),"Yes",IF(AND(OFFSET(Tabla336106734818[[#This Row],[Initial Losing Trade]],1,0)="Yes",Tabla336106734818[[#This Row],[No. of Rs]]&lt;0),"Yes","No"))</f>
        <v>No</v>
      </c>
      <c r="S20" s="207">
        <f ca="1">IF(OFFSET(Tabla336106734818[[#This Row],[Equity]],1,0)="",IF(Tabla336106734818[[#This Row],[No. of Rs]]="",$F$11,$F$11+($F$11*Tabla336106734818[[#This Row],[No. of Rs]]/100)),IF(Tabla336106734818[[#This Row],[No. of Rs]]="",OFFSET(Tabla336106734818[[#This Row],[Equity]],1,0),OFFSET(Tabla336106734818[[#This Row],[Equity]],1,0)+($F$11*Tabla336106734818[[#This Row],[No. of Rs]]/100)))</f>
        <v>106590</v>
      </c>
      <c r="T20" s="207">
        <f ca="1">IF(OFFSET(Tabla336106734818[[#This Row],[Equity Peak]],1,0)="",IF(Tabla336106734818[[#This Row],[Initial Losing Trade]]="Yes",$F$11,Tabla336106734818[[#This Row],[Equity]]),IF(OFFSET(Tabla336106734818[[#This Row],[Equity Peak]],1,0)&gt;Tabla336106734818[[#This Row],[Equity]],OFFSET(Tabla336106734818[[#This Row],[Equity Peak]],1,0),Tabla336106734818[[#This Row],[Equity]]))</f>
        <v>106710</v>
      </c>
      <c r="U20" s="208">
        <f ca="1">IF(Tabla336106734818[[#This Row],[Equity]]&lt;Tabla336106734818[[#This Row],[Equity Peak]],(Tabla336106734818[[#This Row],[Equity Peak]]-Tabla336106734818[[#This Row],[Equity]])/Tabla336106734818[[#This Row],[Equity Peak]],"")</f>
        <v>1.1245431543435479E-3</v>
      </c>
      <c r="V20" s="209">
        <f t="shared" si="7"/>
        <v>-0.12</v>
      </c>
      <c r="W20" s="209">
        <f t="shared" si="8"/>
        <v>0</v>
      </c>
      <c r="X20" s="209">
        <f t="shared" si="9"/>
        <v>0</v>
      </c>
      <c r="Y20" s="209">
        <f t="shared" si="10"/>
        <v>0</v>
      </c>
      <c r="Z20" s="209">
        <f t="shared" si="11"/>
        <v>0</v>
      </c>
      <c r="AA20" s="205">
        <f t="shared" si="12"/>
        <v>0</v>
      </c>
      <c r="AB20" s="209">
        <f t="shared" si="13"/>
        <v>0</v>
      </c>
      <c r="AC20" s="205">
        <f t="shared" si="14"/>
        <v>0</v>
      </c>
      <c r="AD20" s="210">
        <f t="shared" si="15"/>
        <v>7.4388888888934162</v>
      </c>
      <c r="AE20" s="210">
        <f t="shared" si="16"/>
        <v>0</v>
      </c>
      <c r="AF20" s="210">
        <f t="shared" si="17"/>
        <v>7.4388888888934162</v>
      </c>
      <c r="AG20" s="210">
        <f t="shared" si="18"/>
        <v>0</v>
      </c>
    </row>
    <row r="21" spans="2:33" ht="15" customHeight="1" x14ac:dyDescent="0.3">
      <c r="B21" s="196" t="s">
        <v>7</v>
      </c>
      <c r="C21" s="197" t="s">
        <v>13</v>
      </c>
      <c r="D21" s="198" t="str">
        <f t="shared" si="0"/>
        <v>C</v>
      </c>
      <c r="E21" s="199">
        <v>43710.166666666664</v>
      </c>
      <c r="F21" s="200" t="s">
        <v>114</v>
      </c>
      <c r="G21" s="201">
        <v>1.2148699999999999</v>
      </c>
      <c r="H21" s="201">
        <v>1.2222200000000001</v>
      </c>
      <c r="I21" s="202">
        <f t="shared" si="1"/>
        <v>7.3500000000001897E-3</v>
      </c>
      <c r="J21" s="201">
        <v>1.18546</v>
      </c>
      <c r="K21" s="199">
        <v>43712.414583333331</v>
      </c>
      <c r="L21" s="201">
        <v>1.21445</v>
      </c>
      <c r="M21" s="203">
        <f t="shared" si="2"/>
        <v>4.0000000000000002E-4</v>
      </c>
      <c r="N21" s="204">
        <f t="shared" si="3"/>
        <v>0.05</v>
      </c>
      <c r="O21" s="205">
        <f t="shared" si="4"/>
        <v>0</v>
      </c>
      <c r="P21" s="206">
        <f t="shared" si="5"/>
        <v>0.05</v>
      </c>
      <c r="Q21" s="206">
        <f t="shared" si="6"/>
        <v>0</v>
      </c>
      <c r="R21" s="206" t="str">
        <f ca="1">IF(AND(OFFSET(Tabla336106734818[[#This Row],[Equity]],1,0)="",Tabla336106734818[[#This Row],[No. of Rs]]&lt;0),"Yes",IF(AND(OFFSET(Tabla336106734818[[#This Row],[Initial Losing Trade]],1,0)="Yes",Tabla336106734818[[#This Row],[No. of Rs]]&lt;0),"Yes","No"))</f>
        <v>No</v>
      </c>
      <c r="S21" s="207">
        <f ca="1">IF(OFFSET(Tabla336106734818[[#This Row],[Equity]],1,0)="",IF(Tabla336106734818[[#This Row],[No. of Rs]]="",$F$11,$F$11+($F$11*Tabla336106734818[[#This Row],[No. of Rs]]/100)),IF(Tabla336106734818[[#This Row],[No. of Rs]]="",OFFSET(Tabla336106734818[[#This Row],[Equity]],1,0),OFFSET(Tabla336106734818[[#This Row],[Equity]],1,0)+($F$11*Tabla336106734818[[#This Row],[No. of Rs]]/100)))</f>
        <v>106710</v>
      </c>
      <c r="T21" s="207">
        <f ca="1">IF(OFFSET(Tabla336106734818[[#This Row],[Equity Peak]],1,0)="",IF(Tabla336106734818[[#This Row],[Initial Losing Trade]]="Yes",$F$11,Tabla336106734818[[#This Row],[Equity]]),IF(OFFSET(Tabla336106734818[[#This Row],[Equity Peak]],1,0)&gt;Tabla336106734818[[#This Row],[Equity]],OFFSET(Tabla336106734818[[#This Row],[Equity Peak]],1,0),Tabla336106734818[[#This Row],[Equity]]))</f>
        <v>106710</v>
      </c>
      <c r="U21" s="208" t="str">
        <f ca="1">IF(Tabla336106734818[[#This Row],[Equity]]&lt;Tabla336106734818[[#This Row],[Equity Peak]],(Tabla336106734818[[#This Row],[Equity Peak]]-Tabla336106734818[[#This Row],[Equity]])/Tabla336106734818[[#This Row],[Equity Peak]],"")</f>
        <v/>
      </c>
      <c r="V21" s="209">
        <f t="shared" si="7"/>
        <v>0.05</v>
      </c>
      <c r="W21" s="209">
        <f t="shared" si="8"/>
        <v>0</v>
      </c>
      <c r="X21" s="209">
        <f t="shared" si="9"/>
        <v>0</v>
      </c>
      <c r="Y21" s="209">
        <f t="shared" si="10"/>
        <v>0</v>
      </c>
      <c r="Z21" s="209">
        <f t="shared" si="11"/>
        <v>0</v>
      </c>
      <c r="AA21" s="205">
        <f t="shared" si="12"/>
        <v>0</v>
      </c>
      <c r="AB21" s="209">
        <f t="shared" si="13"/>
        <v>0</v>
      </c>
      <c r="AC21" s="205">
        <f t="shared" si="14"/>
        <v>0</v>
      </c>
      <c r="AD21" s="210">
        <f t="shared" si="15"/>
        <v>2.2479166666671517</v>
      </c>
      <c r="AE21" s="210">
        <f t="shared" si="16"/>
        <v>2.2479166666671517</v>
      </c>
      <c r="AF21" s="210">
        <f t="shared" si="17"/>
        <v>0</v>
      </c>
      <c r="AG21" s="210">
        <f t="shared" si="18"/>
        <v>0</v>
      </c>
    </row>
    <row r="22" spans="2:33" ht="15" customHeight="1" x14ac:dyDescent="0.3">
      <c r="B22" s="196" t="s">
        <v>7</v>
      </c>
      <c r="C22" s="197" t="s">
        <v>13</v>
      </c>
      <c r="D22" s="198" t="str">
        <f t="shared" si="0"/>
        <v>C</v>
      </c>
      <c r="E22" s="199">
        <v>43675.333333333336</v>
      </c>
      <c r="F22" s="200" t="s">
        <v>114</v>
      </c>
      <c r="G22" s="201">
        <v>1.2365900000000001</v>
      </c>
      <c r="H22" s="201">
        <v>1.2432700000000001</v>
      </c>
      <c r="I22" s="202">
        <f t="shared" si="1"/>
        <v>6.6800000000000193E-3</v>
      </c>
      <c r="J22" s="201">
        <v>1.2098800000000001</v>
      </c>
      <c r="K22" s="199">
        <v>43678.600694444445</v>
      </c>
      <c r="L22" s="201">
        <v>1.2098800000000001</v>
      </c>
      <c r="M22" s="203">
        <f t="shared" si="2"/>
        <v>2.6700000000000002E-2</v>
      </c>
      <c r="N22" s="204">
        <f t="shared" si="3"/>
        <v>4</v>
      </c>
      <c r="O22" s="205">
        <f t="shared" si="4"/>
        <v>0</v>
      </c>
      <c r="P22" s="206">
        <f t="shared" si="5"/>
        <v>4</v>
      </c>
      <c r="Q22" s="206">
        <f t="shared" si="6"/>
        <v>0</v>
      </c>
      <c r="R22" s="206" t="str">
        <f ca="1">IF(AND(OFFSET(Tabla336106734818[[#This Row],[Equity]],1,0)="",Tabla336106734818[[#This Row],[No. of Rs]]&lt;0),"Yes",IF(AND(OFFSET(Tabla336106734818[[#This Row],[Initial Losing Trade]],1,0)="Yes",Tabla336106734818[[#This Row],[No. of Rs]]&lt;0),"Yes","No"))</f>
        <v>No</v>
      </c>
      <c r="S22" s="207">
        <f ca="1">IF(OFFSET(Tabla336106734818[[#This Row],[Equity]],1,0)="",IF(Tabla336106734818[[#This Row],[No. of Rs]]="",$F$11,$F$11+($F$11*Tabla336106734818[[#This Row],[No. of Rs]]/100)),IF(Tabla336106734818[[#This Row],[No. of Rs]]="",OFFSET(Tabla336106734818[[#This Row],[Equity]],1,0),OFFSET(Tabla336106734818[[#This Row],[Equity]],1,0)+($F$11*Tabla336106734818[[#This Row],[No. of Rs]]/100)))</f>
        <v>106660</v>
      </c>
      <c r="T22" s="207">
        <f ca="1">IF(OFFSET(Tabla336106734818[[#This Row],[Equity Peak]],1,0)="",IF(Tabla336106734818[[#This Row],[Initial Losing Trade]]="Yes",$F$11,Tabla336106734818[[#This Row],[Equity]]),IF(OFFSET(Tabla336106734818[[#This Row],[Equity Peak]],1,0)&gt;Tabla336106734818[[#This Row],[Equity]],OFFSET(Tabla336106734818[[#This Row],[Equity Peak]],1,0),Tabla336106734818[[#This Row],[Equity]]))</f>
        <v>106660</v>
      </c>
      <c r="U22" s="208" t="str">
        <f ca="1">IF(Tabla336106734818[[#This Row],[Equity]]&lt;Tabla336106734818[[#This Row],[Equity Peak]],(Tabla336106734818[[#This Row],[Equity Peak]]-Tabla336106734818[[#This Row],[Equity]])/Tabla336106734818[[#This Row],[Equity Peak]],"")</f>
        <v/>
      </c>
      <c r="V22" s="209">
        <f t="shared" si="7"/>
        <v>4</v>
      </c>
      <c r="W22" s="209">
        <f t="shared" si="8"/>
        <v>0</v>
      </c>
      <c r="X22" s="209">
        <f t="shared" si="9"/>
        <v>0</v>
      </c>
      <c r="Y22" s="209">
        <f t="shared" si="10"/>
        <v>0</v>
      </c>
      <c r="Z22" s="209">
        <f t="shared" si="11"/>
        <v>0</v>
      </c>
      <c r="AA22" s="205">
        <f t="shared" si="12"/>
        <v>0</v>
      </c>
      <c r="AB22" s="209">
        <f t="shared" si="13"/>
        <v>0</v>
      </c>
      <c r="AC22" s="205">
        <f t="shared" si="14"/>
        <v>0</v>
      </c>
      <c r="AD22" s="210">
        <f t="shared" si="15"/>
        <v>3.2673611111094942</v>
      </c>
      <c r="AE22" s="210">
        <f t="shared" si="16"/>
        <v>3.2673611111094942</v>
      </c>
      <c r="AF22" s="210">
        <f t="shared" si="17"/>
        <v>0</v>
      </c>
      <c r="AG22" s="210">
        <f t="shared" si="18"/>
        <v>0</v>
      </c>
    </row>
    <row r="23" spans="2:33" ht="15" customHeight="1" x14ac:dyDescent="0.3">
      <c r="B23" s="196" t="s">
        <v>7</v>
      </c>
      <c r="C23" s="197" t="s">
        <v>13</v>
      </c>
      <c r="D23" s="198" t="str">
        <f t="shared" si="0"/>
        <v>C</v>
      </c>
      <c r="E23" s="199">
        <v>43647.833333333336</v>
      </c>
      <c r="F23" s="200" t="s">
        <v>114</v>
      </c>
      <c r="G23" s="201">
        <v>1.2635799999999999</v>
      </c>
      <c r="H23" s="201">
        <v>1.27128</v>
      </c>
      <c r="I23" s="202">
        <f t="shared" si="1"/>
        <v>7.7000000000000401E-3</v>
      </c>
      <c r="J23" s="201">
        <v>1.2327699999999999</v>
      </c>
      <c r="K23" s="199">
        <v>43657.368750000001</v>
      </c>
      <c r="L23" s="201">
        <v>1.2539400000000001</v>
      </c>
      <c r="M23" s="203">
        <f t="shared" si="2"/>
        <v>9.5999999999999992E-3</v>
      </c>
      <c r="N23" s="204">
        <f t="shared" si="3"/>
        <v>1.25</v>
      </c>
      <c r="O23" s="205">
        <f t="shared" si="4"/>
        <v>0</v>
      </c>
      <c r="P23" s="206">
        <f t="shared" si="5"/>
        <v>1.25</v>
      </c>
      <c r="Q23" s="206">
        <f t="shared" si="6"/>
        <v>0</v>
      </c>
      <c r="R23" s="206" t="str">
        <f ca="1">IF(AND(OFFSET(Tabla336106734818[[#This Row],[Equity]],1,0)="",Tabla336106734818[[#This Row],[No. of Rs]]&lt;0),"Yes",IF(AND(OFFSET(Tabla336106734818[[#This Row],[Initial Losing Trade]],1,0)="Yes",Tabla336106734818[[#This Row],[No. of Rs]]&lt;0),"Yes","No"))</f>
        <v>No</v>
      </c>
      <c r="S23" s="207">
        <f ca="1">IF(OFFSET(Tabla336106734818[[#This Row],[Equity]],1,0)="",IF(Tabla336106734818[[#This Row],[No. of Rs]]="",$F$11,$F$11+($F$11*Tabla336106734818[[#This Row],[No. of Rs]]/100)),IF(Tabla336106734818[[#This Row],[No. of Rs]]="",OFFSET(Tabla336106734818[[#This Row],[Equity]],1,0),OFFSET(Tabla336106734818[[#This Row],[Equity]],1,0)+($F$11*Tabla336106734818[[#This Row],[No. of Rs]]/100)))</f>
        <v>102660</v>
      </c>
      <c r="T23" s="207">
        <f ca="1">IF(OFFSET(Tabla336106734818[[#This Row],[Equity Peak]],1,0)="",IF(Tabla336106734818[[#This Row],[Initial Losing Trade]]="Yes",$F$11,Tabla336106734818[[#This Row],[Equity]]),IF(OFFSET(Tabla336106734818[[#This Row],[Equity Peak]],1,0)&gt;Tabla336106734818[[#This Row],[Equity]],OFFSET(Tabla336106734818[[#This Row],[Equity Peak]],1,0),Tabla336106734818[[#This Row],[Equity]]))</f>
        <v>102660</v>
      </c>
      <c r="U23" s="208" t="str">
        <f ca="1">IF(Tabla336106734818[[#This Row],[Equity]]&lt;Tabla336106734818[[#This Row],[Equity Peak]],(Tabla336106734818[[#This Row],[Equity Peak]]-Tabla336106734818[[#This Row],[Equity]])/Tabla336106734818[[#This Row],[Equity Peak]],"")</f>
        <v/>
      </c>
      <c r="V23" s="209">
        <f t="shared" si="7"/>
        <v>1.25</v>
      </c>
      <c r="W23" s="209">
        <f t="shared" si="8"/>
        <v>0</v>
      </c>
      <c r="X23" s="209">
        <f t="shared" si="9"/>
        <v>0</v>
      </c>
      <c r="Y23" s="209">
        <f t="shared" si="10"/>
        <v>0</v>
      </c>
      <c r="Z23" s="209">
        <f t="shared" si="11"/>
        <v>0</v>
      </c>
      <c r="AA23" s="205">
        <f t="shared" si="12"/>
        <v>0</v>
      </c>
      <c r="AB23" s="209">
        <f t="shared" si="13"/>
        <v>0</v>
      </c>
      <c r="AC23" s="205">
        <f t="shared" si="14"/>
        <v>0</v>
      </c>
      <c r="AD23" s="210">
        <f t="shared" si="15"/>
        <v>9.5354166666656965</v>
      </c>
      <c r="AE23" s="210">
        <f t="shared" si="16"/>
        <v>9.5354166666656965</v>
      </c>
      <c r="AF23" s="210">
        <f t="shared" si="17"/>
        <v>0</v>
      </c>
      <c r="AG23" s="210">
        <f t="shared" si="18"/>
        <v>0</v>
      </c>
    </row>
    <row r="24" spans="2:33" ht="15" customHeight="1" x14ac:dyDescent="0.3">
      <c r="B24" s="196" t="s">
        <v>7</v>
      </c>
      <c r="C24" s="197" t="s">
        <v>13</v>
      </c>
      <c r="D24" s="198" t="str">
        <f t="shared" si="0"/>
        <v>C</v>
      </c>
      <c r="E24" s="199">
        <v>43630.5</v>
      </c>
      <c r="F24" s="200" t="s">
        <v>114</v>
      </c>
      <c r="G24" s="201">
        <v>1.2661500000000001</v>
      </c>
      <c r="H24" s="201">
        <v>1.2723599999999999</v>
      </c>
      <c r="I24" s="202">
        <f t="shared" si="1"/>
        <v>6.2099999999998268E-3</v>
      </c>
      <c r="J24" s="201">
        <v>1.24132</v>
      </c>
      <c r="K24" s="199">
        <v>43635.771527777775</v>
      </c>
      <c r="L24" s="201">
        <v>1.2631600000000001</v>
      </c>
      <c r="M24" s="203">
        <f t="shared" si="2"/>
        <v>3.0000000000000001E-3</v>
      </c>
      <c r="N24" s="204">
        <f t="shared" si="3"/>
        <v>0.48</v>
      </c>
      <c r="O24" s="205">
        <f t="shared" si="4"/>
        <v>0</v>
      </c>
      <c r="P24" s="206">
        <f t="shared" si="5"/>
        <v>0.48</v>
      </c>
      <c r="Q24" s="206">
        <f t="shared" si="6"/>
        <v>0</v>
      </c>
      <c r="R24" s="206" t="str">
        <f ca="1">IF(AND(OFFSET(Tabla336106734818[[#This Row],[Equity]],1,0)="",Tabla336106734818[[#This Row],[No. of Rs]]&lt;0),"Yes",IF(AND(OFFSET(Tabla336106734818[[#This Row],[Initial Losing Trade]],1,0)="Yes",Tabla336106734818[[#This Row],[No. of Rs]]&lt;0),"Yes","No"))</f>
        <v>No</v>
      </c>
      <c r="S24" s="207">
        <f ca="1">IF(OFFSET(Tabla336106734818[[#This Row],[Equity]],1,0)="",IF(Tabla336106734818[[#This Row],[No. of Rs]]="",$F$11,$F$11+($F$11*Tabla336106734818[[#This Row],[No. of Rs]]/100)),IF(Tabla336106734818[[#This Row],[No. of Rs]]="",OFFSET(Tabla336106734818[[#This Row],[Equity]],1,0),OFFSET(Tabla336106734818[[#This Row],[Equity]],1,0)+($F$11*Tabla336106734818[[#This Row],[No. of Rs]]/100)))</f>
        <v>101410</v>
      </c>
      <c r="T24" s="207">
        <f ca="1">IF(OFFSET(Tabla336106734818[[#This Row],[Equity Peak]],1,0)="",IF(Tabla336106734818[[#This Row],[Initial Losing Trade]]="Yes",$F$11,Tabla336106734818[[#This Row],[Equity]]),IF(OFFSET(Tabla336106734818[[#This Row],[Equity Peak]],1,0)&gt;Tabla336106734818[[#This Row],[Equity]],OFFSET(Tabla336106734818[[#This Row],[Equity Peak]],1,0),Tabla336106734818[[#This Row],[Equity]]))</f>
        <v>101410</v>
      </c>
      <c r="U24" s="208" t="str">
        <f ca="1">IF(Tabla336106734818[[#This Row],[Equity]]&lt;Tabla336106734818[[#This Row],[Equity Peak]],(Tabla336106734818[[#This Row],[Equity Peak]]-Tabla336106734818[[#This Row],[Equity]])/Tabla336106734818[[#This Row],[Equity Peak]],"")</f>
        <v/>
      </c>
      <c r="V24" s="209">
        <f t="shared" si="7"/>
        <v>0.48</v>
      </c>
      <c r="W24" s="209">
        <f t="shared" si="8"/>
        <v>0</v>
      </c>
      <c r="X24" s="209">
        <f t="shared" si="9"/>
        <v>0</v>
      </c>
      <c r="Y24" s="209">
        <f t="shared" si="10"/>
        <v>0</v>
      </c>
      <c r="Z24" s="209">
        <f t="shared" si="11"/>
        <v>0</v>
      </c>
      <c r="AA24" s="205">
        <f t="shared" si="12"/>
        <v>0</v>
      </c>
      <c r="AB24" s="209">
        <f t="shared" si="13"/>
        <v>0</v>
      </c>
      <c r="AC24" s="205">
        <f t="shared" si="14"/>
        <v>0</v>
      </c>
      <c r="AD24" s="210">
        <f t="shared" si="15"/>
        <v>5.2715277777751908</v>
      </c>
      <c r="AE24" s="210">
        <f t="shared" si="16"/>
        <v>5.2715277777751908</v>
      </c>
      <c r="AF24" s="210">
        <f t="shared" si="17"/>
        <v>0</v>
      </c>
      <c r="AG24" s="210">
        <f t="shared" si="18"/>
        <v>0</v>
      </c>
    </row>
    <row r="25" spans="2:33" ht="15" customHeight="1" x14ac:dyDescent="0.3">
      <c r="B25" s="196" t="s">
        <v>7</v>
      </c>
      <c r="C25" s="197" t="s">
        <v>13</v>
      </c>
      <c r="D25" s="198" t="str">
        <f t="shared" si="0"/>
        <v>C</v>
      </c>
      <c r="E25" s="199">
        <v>43595.017361111109</v>
      </c>
      <c r="F25" s="200" t="s">
        <v>114</v>
      </c>
      <c r="G25" s="201">
        <v>1.30043</v>
      </c>
      <c r="H25" s="201">
        <v>1.30796</v>
      </c>
      <c r="I25" s="202">
        <f t="shared" si="1"/>
        <v>7.5300000000000367E-3</v>
      </c>
      <c r="J25" s="201">
        <v>1.2703100000000001</v>
      </c>
      <c r="K25" s="199">
        <v>43606.412499999999</v>
      </c>
      <c r="L25" s="201">
        <v>1.2703100000000001</v>
      </c>
      <c r="M25" s="203">
        <f t="shared" si="2"/>
        <v>3.0099999999999998E-2</v>
      </c>
      <c r="N25" s="204">
        <f t="shared" si="3"/>
        <v>4</v>
      </c>
      <c r="O25" s="205">
        <f t="shared" si="4"/>
        <v>0</v>
      </c>
      <c r="P25" s="206">
        <f t="shared" si="5"/>
        <v>4</v>
      </c>
      <c r="Q25" s="206">
        <f t="shared" si="6"/>
        <v>0</v>
      </c>
      <c r="R25" s="206" t="str">
        <f ca="1">IF(AND(OFFSET(Tabla336106734818[[#This Row],[Equity]],1,0)="",Tabla336106734818[[#This Row],[No. of Rs]]&lt;0),"Yes",IF(AND(OFFSET(Tabla336106734818[[#This Row],[Initial Losing Trade]],1,0)="Yes",Tabla336106734818[[#This Row],[No. of Rs]]&lt;0),"Yes","No"))</f>
        <v>No</v>
      </c>
      <c r="S25" s="207">
        <f ca="1">IF(OFFSET(Tabla336106734818[[#This Row],[Equity]],1,0)="",IF(Tabla336106734818[[#This Row],[No. of Rs]]="",$F$11,$F$11+($F$11*Tabla336106734818[[#This Row],[No. of Rs]]/100)),IF(Tabla336106734818[[#This Row],[No. of Rs]]="",OFFSET(Tabla336106734818[[#This Row],[Equity]],1,0),OFFSET(Tabla336106734818[[#This Row],[Equity]],1,0)+($F$11*Tabla336106734818[[#This Row],[No. of Rs]]/100)))</f>
        <v>100930</v>
      </c>
      <c r="T25" s="207">
        <f ca="1">IF(OFFSET(Tabla336106734818[[#This Row],[Equity Peak]],1,0)="",IF(Tabla336106734818[[#This Row],[Initial Losing Trade]]="Yes",$F$11,Tabla336106734818[[#This Row],[Equity]]),IF(OFFSET(Tabla336106734818[[#This Row],[Equity Peak]],1,0)&gt;Tabla336106734818[[#This Row],[Equity]],OFFSET(Tabla336106734818[[#This Row],[Equity Peak]],1,0),Tabla336106734818[[#This Row],[Equity]]))</f>
        <v>100930</v>
      </c>
      <c r="U25" s="208" t="str">
        <f ca="1">IF(Tabla336106734818[[#This Row],[Equity]]&lt;Tabla336106734818[[#This Row],[Equity Peak]],(Tabla336106734818[[#This Row],[Equity Peak]]-Tabla336106734818[[#This Row],[Equity]])/Tabla336106734818[[#This Row],[Equity Peak]],"")</f>
        <v/>
      </c>
      <c r="V25" s="209">
        <f t="shared" si="7"/>
        <v>4</v>
      </c>
      <c r="W25" s="209">
        <f t="shared" si="8"/>
        <v>0</v>
      </c>
      <c r="X25" s="209">
        <f t="shared" si="9"/>
        <v>0</v>
      </c>
      <c r="Y25" s="209">
        <f t="shared" si="10"/>
        <v>0</v>
      </c>
      <c r="Z25" s="209">
        <f t="shared" si="11"/>
        <v>0</v>
      </c>
      <c r="AA25" s="205">
        <f t="shared" si="12"/>
        <v>0</v>
      </c>
      <c r="AB25" s="209">
        <f t="shared" si="13"/>
        <v>0</v>
      </c>
      <c r="AC25" s="205">
        <f t="shared" si="14"/>
        <v>0</v>
      </c>
      <c r="AD25" s="210">
        <f t="shared" si="15"/>
        <v>11.395138888889051</v>
      </c>
      <c r="AE25" s="210">
        <f t="shared" si="16"/>
        <v>11.395138888889051</v>
      </c>
      <c r="AF25" s="210">
        <f t="shared" si="17"/>
        <v>0</v>
      </c>
      <c r="AG25" s="210">
        <f t="shared" si="18"/>
        <v>0</v>
      </c>
    </row>
    <row r="26" spans="2:33" ht="15" customHeight="1" x14ac:dyDescent="0.3">
      <c r="B26" s="196" t="s">
        <v>7</v>
      </c>
      <c r="C26" s="197" t="s">
        <v>15</v>
      </c>
      <c r="D26" s="198" t="str">
        <f t="shared" si="0"/>
        <v>C</v>
      </c>
      <c r="E26" s="199">
        <v>43586.333333333336</v>
      </c>
      <c r="F26" s="200" t="s">
        <v>114</v>
      </c>
      <c r="G26" s="201">
        <v>1.3040799999999999</v>
      </c>
      <c r="H26" s="201">
        <v>1.29802</v>
      </c>
      <c r="I26" s="202">
        <f t="shared" si="1"/>
        <v>6.0599999999999543E-3</v>
      </c>
      <c r="J26" s="201">
        <v>1.3283100000000001</v>
      </c>
      <c r="K26" s="199">
        <v>43593.442361111112</v>
      </c>
      <c r="L26" s="201">
        <v>1.30365</v>
      </c>
      <c r="M26" s="203">
        <f t="shared" si="2"/>
        <v>-4.0000000000000002E-4</v>
      </c>
      <c r="N26" s="204">
        <f t="shared" si="3"/>
        <v>-7.0000000000000007E-2</v>
      </c>
      <c r="O26" s="205">
        <f t="shared" si="4"/>
        <v>0</v>
      </c>
      <c r="P26" s="206">
        <f t="shared" si="5"/>
        <v>0</v>
      </c>
      <c r="Q26" s="206">
        <f t="shared" si="6"/>
        <v>-7.0000000000000007E-2</v>
      </c>
      <c r="R26" s="206" t="str">
        <f ca="1">IF(AND(OFFSET(Tabla336106734818[[#This Row],[Equity]],1,0)="",Tabla336106734818[[#This Row],[No. of Rs]]&lt;0),"Yes",IF(AND(OFFSET(Tabla336106734818[[#This Row],[Initial Losing Trade]],1,0)="Yes",Tabla336106734818[[#This Row],[No. of Rs]]&lt;0),"Yes","No"))</f>
        <v>No</v>
      </c>
      <c r="S26" s="207">
        <f ca="1">IF(OFFSET(Tabla336106734818[[#This Row],[Equity]],1,0)="",IF(Tabla336106734818[[#This Row],[No. of Rs]]="",$F$11,$F$11+($F$11*Tabla336106734818[[#This Row],[No. of Rs]]/100)),IF(Tabla336106734818[[#This Row],[No. of Rs]]="",OFFSET(Tabla336106734818[[#This Row],[Equity]],1,0),OFFSET(Tabla336106734818[[#This Row],[Equity]],1,0)+($F$11*Tabla336106734818[[#This Row],[No. of Rs]]/100)))</f>
        <v>96930</v>
      </c>
      <c r="T26" s="207">
        <f ca="1">IF(OFFSET(Tabla336106734818[[#This Row],[Equity Peak]],1,0)="",IF(Tabla336106734818[[#This Row],[Initial Losing Trade]]="Yes",$F$11,Tabla336106734818[[#This Row],[Equity]]),IF(OFFSET(Tabla336106734818[[#This Row],[Equity Peak]],1,0)&gt;Tabla336106734818[[#This Row],[Equity]],OFFSET(Tabla336106734818[[#This Row],[Equity Peak]],1,0),Tabla336106734818[[#This Row],[Equity]]))</f>
        <v>100000</v>
      </c>
      <c r="U26" s="208">
        <f ca="1">IF(Tabla336106734818[[#This Row],[Equity]]&lt;Tabla336106734818[[#This Row],[Equity Peak]],(Tabla336106734818[[#This Row],[Equity Peak]]-Tabla336106734818[[#This Row],[Equity]])/Tabla336106734818[[#This Row],[Equity Peak]],"")</f>
        <v>3.0700000000000002E-2</v>
      </c>
      <c r="V26" s="209">
        <f t="shared" si="7"/>
        <v>-7.0000000000000007E-2</v>
      </c>
      <c r="W26" s="209">
        <f t="shared" si="8"/>
        <v>0</v>
      </c>
      <c r="X26" s="209">
        <f t="shared" si="9"/>
        <v>0</v>
      </c>
      <c r="Y26" s="209">
        <f t="shared" si="10"/>
        <v>0</v>
      </c>
      <c r="Z26" s="209">
        <f t="shared" si="11"/>
        <v>0</v>
      </c>
      <c r="AA26" s="205">
        <f t="shared" si="12"/>
        <v>0</v>
      </c>
      <c r="AB26" s="209">
        <f t="shared" si="13"/>
        <v>0</v>
      </c>
      <c r="AC26" s="205">
        <f t="shared" si="14"/>
        <v>0</v>
      </c>
      <c r="AD26" s="210">
        <f t="shared" si="15"/>
        <v>7.109027777776646</v>
      </c>
      <c r="AE26" s="210">
        <f t="shared" si="16"/>
        <v>0</v>
      </c>
      <c r="AF26" s="210">
        <f t="shared" si="17"/>
        <v>7.109027777776646</v>
      </c>
      <c r="AG26" s="210">
        <f t="shared" si="18"/>
        <v>0</v>
      </c>
    </row>
    <row r="27" spans="2:33" ht="15" customHeight="1" x14ac:dyDescent="0.3">
      <c r="B27" s="196" t="s">
        <v>7</v>
      </c>
      <c r="C27" s="197" t="s">
        <v>15</v>
      </c>
      <c r="D27" s="198" t="str">
        <f t="shared" si="0"/>
        <v>C</v>
      </c>
      <c r="E27" s="199">
        <v>43571.166666666664</v>
      </c>
      <c r="F27" s="200" t="s">
        <v>114</v>
      </c>
      <c r="G27" s="201">
        <v>1.3099099999999999</v>
      </c>
      <c r="H27" s="201">
        <v>1.3030200000000001</v>
      </c>
      <c r="I27" s="202">
        <f t="shared" si="1"/>
        <v>6.8899999999998407E-3</v>
      </c>
      <c r="J27" s="201">
        <v>1.3374900000000001</v>
      </c>
      <c r="K27" s="199">
        <v>43572.775694444441</v>
      </c>
      <c r="L27" s="201">
        <v>1.3030200000000001</v>
      </c>
      <c r="M27" s="203">
        <f t="shared" si="2"/>
        <v>-6.8999999999999999E-3</v>
      </c>
      <c r="N27" s="204">
        <f t="shared" si="3"/>
        <v>-1</v>
      </c>
      <c r="O27" s="205">
        <f t="shared" si="4"/>
        <v>0</v>
      </c>
      <c r="P27" s="206">
        <f t="shared" si="5"/>
        <v>0</v>
      </c>
      <c r="Q27" s="206">
        <f t="shared" si="6"/>
        <v>-1</v>
      </c>
      <c r="R27" s="206" t="str">
        <f ca="1">IF(AND(OFFSET(Tabla336106734818[[#This Row],[Equity]],1,0)="",Tabla336106734818[[#This Row],[No. of Rs]]&lt;0),"Yes",IF(AND(OFFSET(Tabla336106734818[[#This Row],[Initial Losing Trade]],1,0)="Yes",Tabla336106734818[[#This Row],[No. of Rs]]&lt;0),"Yes","No"))</f>
        <v>No</v>
      </c>
      <c r="S27" s="207">
        <f ca="1">IF(OFFSET(Tabla336106734818[[#This Row],[Equity]],1,0)="",IF(Tabla336106734818[[#This Row],[No. of Rs]]="",$F$11,$F$11+($F$11*Tabla336106734818[[#This Row],[No. of Rs]]/100)),IF(Tabla336106734818[[#This Row],[No. of Rs]]="",OFFSET(Tabla336106734818[[#This Row],[Equity]],1,0),OFFSET(Tabla336106734818[[#This Row],[Equity]],1,0)+($F$11*Tabla336106734818[[#This Row],[No. of Rs]]/100)))</f>
        <v>97000</v>
      </c>
      <c r="T27" s="207">
        <f ca="1">IF(OFFSET(Tabla336106734818[[#This Row],[Equity Peak]],1,0)="",IF(Tabla336106734818[[#This Row],[Initial Losing Trade]]="Yes",$F$11,Tabla336106734818[[#This Row],[Equity]]),IF(OFFSET(Tabla336106734818[[#This Row],[Equity Peak]],1,0)&gt;Tabla336106734818[[#This Row],[Equity]],OFFSET(Tabla336106734818[[#This Row],[Equity Peak]],1,0),Tabla336106734818[[#This Row],[Equity]]))</f>
        <v>100000</v>
      </c>
      <c r="U27" s="208">
        <f ca="1">IF(Tabla336106734818[[#This Row],[Equity]]&lt;Tabla336106734818[[#This Row],[Equity Peak]],(Tabla336106734818[[#This Row],[Equity Peak]]-Tabla336106734818[[#This Row],[Equity]])/Tabla336106734818[[#This Row],[Equity Peak]],"")</f>
        <v>0.03</v>
      </c>
      <c r="V27" s="209">
        <f t="shared" si="7"/>
        <v>-1</v>
      </c>
      <c r="W27" s="209">
        <f t="shared" si="8"/>
        <v>0</v>
      </c>
      <c r="X27" s="209">
        <f t="shared" si="9"/>
        <v>0</v>
      </c>
      <c r="Y27" s="209">
        <f t="shared" si="10"/>
        <v>0</v>
      </c>
      <c r="Z27" s="209">
        <f t="shared" si="11"/>
        <v>0</v>
      </c>
      <c r="AA27" s="205">
        <f t="shared" si="12"/>
        <v>0</v>
      </c>
      <c r="AB27" s="209">
        <f t="shared" si="13"/>
        <v>0</v>
      </c>
      <c r="AC27" s="205">
        <f t="shared" si="14"/>
        <v>0</v>
      </c>
      <c r="AD27" s="210">
        <f t="shared" si="15"/>
        <v>1.609027777776646</v>
      </c>
      <c r="AE27" s="210">
        <f t="shared" si="16"/>
        <v>0</v>
      </c>
      <c r="AF27" s="210">
        <f t="shared" si="17"/>
        <v>1.609027777776646</v>
      </c>
      <c r="AG27" s="210">
        <f t="shared" si="18"/>
        <v>0</v>
      </c>
    </row>
    <row r="28" spans="2:33" ht="15" customHeight="1" x14ac:dyDescent="0.3">
      <c r="B28" s="196" t="s">
        <v>7</v>
      </c>
      <c r="C28" s="197" t="s">
        <v>15</v>
      </c>
      <c r="D28" s="198" t="str">
        <f t="shared" si="0"/>
        <v>C</v>
      </c>
      <c r="E28" s="199">
        <v>43551.166666666664</v>
      </c>
      <c r="F28" s="200" t="s">
        <v>114</v>
      </c>
      <c r="G28" s="201">
        <v>1.3206199999999999</v>
      </c>
      <c r="H28" s="201">
        <v>1.3088299999999999</v>
      </c>
      <c r="I28" s="202">
        <f t="shared" si="1"/>
        <v>1.1789999999999967E-2</v>
      </c>
      <c r="J28" s="201">
        <v>1.3677600000000001</v>
      </c>
      <c r="K28" s="199">
        <v>43552.740277777775</v>
      </c>
      <c r="L28" s="201">
        <v>1.3088299999999999</v>
      </c>
      <c r="M28" s="203">
        <f t="shared" si="2"/>
        <v>-1.18E-2</v>
      </c>
      <c r="N28" s="204">
        <f t="shared" si="3"/>
        <v>-1</v>
      </c>
      <c r="O28" s="205">
        <f t="shared" si="4"/>
        <v>0</v>
      </c>
      <c r="P28" s="206">
        <f t="shared" si="5"/>
        <v>0</v>
      </c>
      <c r="Q28" s="206">
        <f t="shared" si="6"/>
        <v>-1</v>
      </c>
      <c r="R28" s="206" t="str">
        <f ca="1">IF(AND(OFFSET(Tabla336106734818[[#This Row],[Equity]],1,0)="",Tabla336106734818[[#This Row],[No. of Rs]]&lt;0),"Yes",IF(AND(OFFSET(Tabla336106734818[[#This Row],[Initial Losing Trade]],1,0)="Yes",Tabla336106734818[[#This Row],[No. of Rs]]&lt;0),"Yes","No"))</f>
        <v>No</v>
      </c>
      <c r="S28" s="207">
        <f ca="1">IF(OFFSET(Tabla336106734818[[#This Row],[Equity]],1,0)="",IF(Tabla336106734818[[#This Row],[No. of Rs]]="",$F$11,$F$11+($F$11*Tabla336106734818[[#This Row],[No. of Rs]]/100)),IF(Tabla336106734818[[#This Row],[No. of Rs]]="",OFFSET(Tabla336106734818[[#This Row],[Equity]],1,0),OFFSET(Tabla336106734818[[#This Row],[Equity]],1,0)+($F$11*Tabla336106734818[[#This Row],[No. of Rs]]/100)))</f>
        <v>98000</v>
      </c>
      <c r="T28" s="207">
        <f ca="1">IF(OFFSET(Tabla336106734818[[#This Row],[Equity Peak]],1,0)="",IF(Tabla336106734818[[#This Row],[Initial Losing Trade]]="Yes",$F$11,Tabla336106734818[[#This Row],[Equity]]),IF(OFFSET(Tabla336106734818[[#This Row],[Equity Peak]],1,0)&gt;Tabla336106734818[[#This Row],[Equity]],OFFSET(Tabla336106734818[[#This Row],[Equity Peak]],1,0),Tabla336106734818[[#This Row],[Equity]]))</f>
        <v>100000</v>
      </c>
      <c r="U28" s="208">
        <f ca="1">IF(Tabla336106734818[[#This Row],[Equity]]&lt;Tabla336106734818[[#This Row],[Equity Peak]],(Tabla336106734818[[#This Row],[Equity Peak]]-Tabla336106734818[[#This Row],[Equity]])/Tabla336106734818[[#This Row],[Equity Peak]],"")</f>
        <v>0.02</v>
      </c>
      <c r="V28" s="209">
        <f t="shared" si="7"/>
        <v>-1</v>
      </c>
      <c r="W28" s="209">
        <f t="shared" si="8"/>
        <v>0</v>
      </c>
      <c r="X28" s="209">
        <f t="shared" si="9"/>
        <v>0</v>
      </c>
      <c r="Y28" s="209">
        <f t="shared" si="10"/>
        <v>0</v>
      </c>
      <c r="Z28" s="209">
        <f t="shared" si="11"/>
        <v>0</v>
      </c>
      <c r="AA28" s="205">
        <f t="shared" si="12"/>
        <v>0</v>
      </c>
      <c r="AB28" s="209">
        <f t="shared" si="13"/>
        <v>0</v>
      </c>
      <c r="AC28" s="205">
        <f t="shared" si="14"/>
        <v>0</v>
      </c>
      <c r="AD28" s="210">
        <f t="shared" si="15"/>
        <v>1.5736111111109494</v>
      </c>
      <c r="AE28" s="210">
        <f t="shared" si="16"/>
        <v>0</v>
      </c>
      <c r="AF28" s="210">
        <f t="shared" si="17"/>
        <v>1.5736111111109494</v>
      </c>
      <c r="AG28" s="210">
        <f t="shared" si="18"/>
        <v>0</v>
      </c>
    </row>
    <row r="29" spans="2:33" ht="15" customHeight="1" x14ac:dyDescent="0.3">
      <c r="B29" s="196" t="s">
        <v>7</v>
      </c>
      <c r="C29" s="197" t="s">
        <v>15</v>
      </c>
      <c r="D29" s="198" t="str">
        <f t="shared" si="0"/>
        <v>C</v>
      </c>
      <c r="E29" s="199">
        <v>43538.017361111109</v>
      </c>
      <c r="F29" s="200" t="s">
        <v>114</v>
      </c>
      <c r="G29" s="201">
        <v>1.33128</v>
      </c>
      <c r="H29" s="201">
        <v>1.3103199999999999</v>
      </c>
      <c r="I29" s="202">
        <f t="shared" si="1"/>
        <v>2.096000000000009E-2</v>
      </c>
      <c r="J29" s="201">
        <v>1.4151199999999999</v>
      </c>
      <c r="K29" s="199">
        <v>43545.576388888891</v>
      </c>
      <c r="L29" s="201">
        <v>1.3144899999999999</v>
      </c>
      <c r="M29" s="203">
        <f t="shared" si="2"/>
        <v>-1.6799999999999999E-2</v>
      </c>
      <c r="N29" s="204">
        <f t="shared" si="3"/>
        <v>-0.8</v>
      </c>
      <c r="O29" s="205">
        <f t="shared" si="4"/>
        <v>0</v>
      </c>
      <c r="P29" s="206">
        <f t="shared" si="5"/>
        <v>0</v>
      </c>
      <c r="Q29" s="206">
        <f t="shared" si="6"/>
        <v>-0.8</v>
      </c>
      <c r="R29" s="206" t="str">
        <f ca="1">IF(AND(OFFSET(Tabla336106734818[[#This Row],[Equity]],1,0)="",Tabla336106734818[[#This Row],[No. of Rs]]&lt;0),"Yes",IF(AND(OFFSET(Tabla336106734818[[#This Row],[Initial Losing Trade]],1,0)="Yes",Tabla336106734818[[#This Row],[No. of Rs]]&lt;0),"Yes","No"))</f>
        <v>No</v>
      </c>
      <c r="S29" s="207">
        <f ca="1">IF(OFFSET(Tabla336106734818[[#This Row],[Equity]],1,0)="",IF(Tabla336106734818[[#This Row],[No. of Rs]]="",$F$11,$F$11+($F$11*Tabla336106734818[[#This Row],[No. of Rs]]/100)),IF(Tabla336106734818[[#This Row],[No. of Rs]]="",OFFSET(Tabla336106734818[[#This Row],[Equity]],1,0),OFFSET(Tabla336106734818[[#This Row],[Equity]],1,0)+($F$11*Tabla336106734818[[#This Row],[No. of Rs]]/100)))</f>
        <v>99000</v>
      </c>
      <c r="T29" s="207">
        <f ca="1">IF(OFFSET(Tabla336106734818[[#This Row],[Equity Peak]],1,0)="",IF(Tabla336106734818[[#This Row],[Initial Losing Trade]]="Yes",$F$11,Tabla336106734818[[#This Row],[Equity]]),IF(OFFSET(Tabla336106734818[[#This Row],[Equity Peak]],1,0)&gt;Tabla336106734818[[#This Row],[Equity]],OFFSET(Tabla336106734818[[#This Row],[Equity Peak]],1,0),Tabla336106734818[[#This Row],[Equity]]))</f>
        <v>100000</v>
      </c>
      <c r="U29" s="208">
        <f ca="1">IF(Tabla336106734818[[#This Row],[Equity]]&lt;Tabla336106734818[[#This Row],[Equity Peak]],(Tabla336106734818[[#This Row],[Equity Peak]]-Tabla336106734818[[#This Row],[Equity]])/Tabla336106734818[[#This Row],[Equity Peak]],"")</f>
        <v>0.01</v>
      </c>
      <c r="V29" s="209">
        <f t="shared" si="7"/>
        <v>-0.8</v>
      </c>
      <c r="W29" s="209">
        <f t="shared" si="8"/>
        <v>0</v>
      </c>
      <c r="X29" s="209">
        <f t="shared" si="9"/>
        <v>0</v>
      </c>
      <c r="Y29" s="209">
        <f t="shared" si="10"/>
        <v>0</v>
      </c>
      <c r="Z29" s="209">
        <f t="shared" si="11"/>
        <v>0</v>
      </c>
      <c r="AA29" s="205">
        <f t="shared" si="12"/>
        <v>0</v>
      </c>
      <c r="AB29" s="209">
        <f t="shared" si="13"/>
        <v>0</v>
      </c>
      <c r="AC29" s="205">
        <f t="shared" si="14"/>
        <v>0</v>
      </c>
      <c r="AD29" s="210">
        <f t="shared" si="15"/>
        <v>7.5590277777810115</v>
      </c>
      <c r="AE29" s="210">
        <f t="shared" si="16"/>
        <v>0</v>
      </c>
      <c r="AF29" s="210">
        <f t="shared" si="17"/>
        <v>7.5590277777810115</v>
      </c>
      <c r="AG29" s="210">
        <f t="shared" si="18"/>
        <v>0</v>
      </c>
    </row>
    <row r="30" spans="2:33" ht="15" customHeight="1" x14ac:dyDescent="0.3">
      <c r="B30" s="196" t="s">
        <v>7</v>
      </c>
      <c r="C30" s="197" t="s">
        <v>15</v>
      </c>
      <c r="D30" s="198" t="str">
        <f t="shared" si="0"/>
        <v>C</v>
      </c>
      <c r="E30" s="199">
        <v>43516.017361111109</v>
      </c>
      <c r="F30" s="200" t="s">
        <v>114</v>
      </c>
      <c r="G30" s="201">
        <v>1.30575</v>
      </c>
      <c r="H30" s="201">
        <v>1.2965800000000001</v>
      </c>
      <c r="I30" s="202">
        <f t="shared" si="1"/>
        <v>9.1699999999999005E-3</v>
      </c>
      <c r="J30" s="201">
        <v>1.3424400000000001</v>
      </c>
      <c r="K30" s="199">
        <v>43529.582638888889</v>
      </c>
      <c r="L30" s="201">
        <v>1.31307</v>
      </c>
      <c r="M30" s="203">
        <f t="shared" si="2"/>
        <v>7.3000000000000001E-3</v>
      </c>
      <c r="N30" s="204">
        <f t="shared" si="3"/>
        <v>0.8</v>
      </c>
      <c r="O30" s="205">
        <f t="shared" si="4"/>
        <v>0</v>
      </c>
      <c r="P30" s="206">
        <f t="shared" si="5"/>
        <v>0.8</v>
      </c>
      <c r="Q30" s="206">
        <f t="shared" si="6"/>
        <v>0</v>
      </c>
      <c r="R30" s="206" t="str">
        <f ca="1">IF(AND(OFFSET(Tabla336106734818[[#This Row],[Equity]],1,0)="",Tabla336106734818[[#This Row],[No. of Rs]]&lt;0),"Yes",IF(AND(OFFSET(Tabla336106734818[[#This Row],[Initial Losing Trade]],1,0)="Yes",Tabla336106734818[[#This Row],[No. of Rs]]&lt;0),"Yes","No"))</f>
        <v>No</v>
      </c>
      <c r="S30" s="207">
        <f ca="1">IF(OFFSET(Tabla336106734818[[#This Row],[Equity]],1,0)="",IF(Tabla336106734818[[#This Row],[No. of Rs]]="",$F$11,$F$11+($F$11*Tabla336106734818[[#This Row],[No. of Rs]]/100)),IF(Tabla336106734818[[#This Row],[No. of Rs]]="",OFFSET(Tabla336106734818[[#This Row],[Equity]],1,0),OFFSET(Tabla336106734818[[#This Row],[Equity]],1,0)+($F$11*Tabla336106734818[[#This Row],[No. of Rs]]/100)))</f>
        <v>99800</v>
      </c>
      <c r="T30" s="207">
        <f ca="1">IF(OFFSET(Tabla336106734818[[#This Row],[Equity Peak]],1,0)="",IF(Tabla336106734818[[#This Row],[Initial Losing Trade]]="Yes",$F$11,Tabla336106734818[[#This Row],[Equity]]),IF(OFFSET(Tabla336106734818[[#This Row],[Equity Peak]],1,0)&gt;Tabla336106734818[[#This Row],[Equity]],OFFSET(Tabla336106734818[[#This Row],[Equity Peak]],1,0),Tabla336106734818[[#This Row],[Equity]]))</f>
        <v>100000</v>
      </c>
      <c r="U30" s="208">
        <f ca="1">IF(Tabla336106734818[[#This Row],[Equity]]&lt;Tabla336106734818[[#This Row],[Equity Peak]],(Tabla336106734818[[#This Row],[Equity Peak]]-Tabla336106734818[[#This Row],[Equity]])/Tabla336106734818[[#This Row],[Equity Peak]],"")</f>
        <v>2E-3</v>
      </c>
      <c r="V30" s="209">
        <f t="shared" si="7"/>
        <v>0.8</v>
      </c>
      <c r="W30" s="209">
        <f t="shared" si="8"/>
        <v>0</v>
      </c>
      <c r="X30" s="209">
        <f t="shared" si="9"/>
        <v>0</v>
      </c>
      <c r="Y30" s="209">
        <f t="shared" si="10"/>
        <v>0</v>
      </c>
      <c r="Z30" s="209">
        <f t="shared" si="11"/>
        <v>0</v>
      </c>
      <c r="AA30" s="205">
        <f t="shared" si="12"/>
        <v>0</v>
      </c>
      <c r="AB30" s="209">
        <f t="shared" si="13"/>
        <v>0</v>
      </c>
      <c r="AC30" s="205">
        <f t="shared" si="14"/>
        <v>0</v>
      </c>
      <c r="AD30" s="210">
        <f t="shared" si="15"/>
        <v>13.565277777779556</v>
      </c>
      <c r="AE30" s="210">
        <f t="shared" si="16"/>
        <v>13.565277777779556</v>
      </c>
      <c r="AF30" s="210">
        <f t="shared" si="17"/>
        <v>0</v>
      </c>
      <c r="AG30" s="210">
        <f t="shared" si="18"/>
        <v>0</v>
      </c>
    </row>
    <row r="31" spans="2:33" ht="15" customHeight="1" x14ac:dyDescent="0.3">
      <c r="B31" s="196" t="s">
        <v>7</v>
      </c>
      <c r="C31" s="197" t="s">
        <v>13</v>
      </c>
      <c r="D31" s="198" t="str">
        <f t="shared" si="0"/>
        <v>C</v>
      </c>
      <c r="E31" s="199">
        <v>43468.333333333336</v>
      </c>
      <c r="F31" s="200" t="s">
        <v>114</v>
      </c>
      <c r="G31" s="201">
        <v>1.25454</v>
      </c>
      <c r="H31" s="201">
        <v>1.26946</v>
      </c>
      <c r="I31" s="202">
        <f t="shared" si="1"/>
        <v>1.4920000000000044E-2</v>
      </c>
      <c r="J31" s="201">
        <v>1.1948799999999999</v>
      </c>
      <c r="K31" s="199">
        <v>43469.540277777778</v>
      </c>
      <c r="L31" s="201">
        <v>1.26946</v>
      </c>
      <c r="M31" s="203">
        <f t="shared" si="2"/>
        <v>-1.49E-2</v>
      </c>
      <c r="N31" s="204">
        <f t="shared" si="3"/>
        <v>-1</v>
      </c>
      <c r="O31" s="205">
        <f t="shared" si="4"/>
        <v>0</v>
      </c>
      <c r="P31" s="206">
        <f t="shared" si="5"/>
        <v>0</v>
      </c>
      <c r="Q31" s="206">
        <f t="shared" si="6"/>
        <v>-1</v>
      </c>
      <c r="R31" s="206" t="str">
        <f ca="1">IF(AND(OFFSET(Tabla336106734818[[#This Row],[Equity]],1,0)="",Tabla336106734818[[#This Row],[No. of Rs]]&lt;0),"Yes",IF(AND(OFFSET(Tabla336106734818[[#This Row],[Initial Losing Trade]],1,0)="Yes",Tabla336106734818[[#This Row],[No. of Rs]]&lt;0),"Yes","No"))</f>
        <v>Yes</v>
      </c>
      <c r="S31" s="207">
        <f ca="1">IF(OFFSET(Tabla336106734818[[#This Row],[Equity]],1,0)="",IF(Tabla336106734818[[#This Row],[No. of Rs]]="",$F$11,$F$11+($F$11*Tabla336106734818[[#This Row],[No. of Rs]]/100)),IF(Tabla336106734818[[#This Row],[No. of Rs]]="",OFFSET(Tabla336106734818[[#This Row],[Equity]],1,0),OFFSET(Tabla336106734818[[#This Row],[Equity]],1,0)+($F$11*Tabla336106734818[[#This Row],[No. of Rs]]/100)))</f>
        <v>99000</v>
      </c>
      <c r="T31" s="207">
        <f ca="1">IF(OFFSET(Tabla336106734818[[#This Row],[Equity Peak]],1,0)="",IF(Tabla336106734818[[#This Row],[Initial Losing Trade]]="Yes",$F$11,Tabla336106734818[[#This Row],[Equity]]),IF(OFFSET(Tabla336106734818[[#This Row],[Equity Peak]],1,0)&gt;Tabla336106734818[[#This Row],[Equity]],OFFSET(Tabla336106734818[[#This Row],[Equity Peak]],1,0),Tabla336106734818[[#This Row],[Equity]]))</f>
        <v>100000</v>
      </c>
      <c r="U31" s="208">
        <f ca="1">IF(Tabla336106734818[[#This Row],[Equity]]&lt;Tabla336106734818[[#This Row],[Equity Peak]],(Tabla336106734818[[#This Row],[Equity Peak]]-Tabla336106734818[[#This Row],[Equity]])/Tabla336106734818[[#This Row],[Equity Peak]],"")</f>
        <v>0.01</v>
      </c>
      <c r="V31" s="209">
        <f t="shared" si="7"/>
        <v>-1</v>
      </c>
      <c r="W31" s="209">
        <f t="shared" si="8"/>
        <v>0</v>
      </c>
      <c r="X31" s="209">
        <f t="shared" si="9"/>
        <v>0</v>
      </c>
      <c r="Y31" s="209">
        <f t="shared" si="10"/>
        <v>0</v>
      </c>
      <c r="Z31" s="209">
        <f t="shared" si="11"/>
        <v>0</v>
      </c>
      <c r="AA31" s="205">
        <f t="shared" si="12"/>
        <v>0</v>
      </c>
      <c r="AB31" s="209">
        <f t="shared" si="13"/>
        <v>0</v>
      </c>
      <c r="AC31" s="205">
        <f t="shared" si="14"/>
        <v>0</v>
      </c>
      <c r="AD31" s="210">
        <f t="shared" si="15"/>
        <v>1.2069444444423425</v>
      </c>
      <c r="AE31" s="210">
        <f t="shared" si="16"/>
        <v>0</v>
      </c>
      <c r="AF31" s="210">
        <f t="shared" si="17"/>
        <v>1.2069444444423425</v>
      </c>
      <c r="AG31" s="210">
        <f t="shared" si="18"/>
        <v>0</v>
      </c>
    </row>
  </sheetData>
  <sheetProtection algorithmName="SHA-512" hashValue="YVDNUBs3RaqjiSQjkiTuOUesqSWm/bIdXMcLHiigecvCr3JCXsS7385iE1+yYqAYOOWGG108Cpz7XPeIBZG7yQ==" saltValue="kdbdG1vtp2qa4sF4YRX5SA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545" priority="3" operator="equal">
      <formula>"OK"</formula>
    </cfRule>
    <cfRule type="cellIs" dxfId="544" priority="4" operator="equal">
      <formula>"warning"</formula>
    </cfRule>
  </conditionalFormatting>
  <conditionalFormatting sqref="F13">
    <cfRule type="cellIs" dxfId="543" priority="1" operator="equal">
      <formula>"OK"</formula>
    </cfRule>
    <cfRule type="cellIs" dxfId="542" priority="2" operator="equal">
      <formula>"Error!!"</formula>
    </cfRule>
  </conditionalFormatting>
  <conditionalFormatting sqref="E15:H15 K15:L15">
    <cfRule type="expression" dxfId="541" priority="5">
      <formula>+$D15=#REF!</formula>
    </cfRule>
    <cfRule type="expression" dxfId="540" priority="6">
      <formula>+$D15=#REF!</formula>
    </cfRule>
  </conditionalFormatting>
  <conditionalFormatting sqref="D15 K16:L16 D16:H31 J17:L31">
    <cfRule type="expression" dxfId="539" priority="7">
      <formula>+$D15=$AG$8</formula>
    </cfRule>
    <cfRule type="expression" dxfId="538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5:B16" xr:uid="{74430E19-B7C6-4606-B45D-52259E45DEF7}">
      <formula1>$AE$4:$AE$6</formula1>
    </dataValidation>
    <dataValidation type="list" allowBlank="1" showInputMessage="1" showErrorMessage="1" promptTitle="Trade Direction" prompt="Select from List" sqref="C15:C16" xr:uid="{0F0D2601-24E1-49FC-8168-5936E721E7C3}">
      <formula1>$AG$4:$AG$5</formula1>
    </dataValidation>
    <dataValidation type="list" allowBlank="1" showInputMessage="1" showErrorMessage="1" promptTitle="Instrument Type" prompt="Select Type from List_x000a_" sqref="B17:B31" xr:uid="{310AEE15-7DB6-4357-95BA-9149F5ADF72B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82745-527A-499B-811D-4C52A4FD05B1}">
  <sheetPr codeName="Hoja14">
    <pageSetUpPr fitToPage="1"/>
  </sheetPr>
  <dimension ref="A1:AX37"/>
  <sheetViews>
    <sheetView showGridLines="0" showZeros="0" tabSelected="1" zoomScale="115" zoomScaleNormal="115" zoomScalePageLayoutView="99" workbookViewId="0">
      <pane ySplit="16" topLeftCell="A17" activePane="bottomLeft" state="frozen"/>
      <selection activeCell="E2" sqref="E2:N5"/>
      <selection pane="bottomLeft" activeCell="E2" sqref="E2:N5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123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COUNTA(Tabla33610673487[Inst])</f>
        <v>21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4.3199999999999994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4.3199999999999994</v>
      </c>
      <c r="W6" s="18"/>
      <c r="X6" s="17">
        <f>+X13</f>
        <v>0</v>
      </c>
      <c r="Y6" s="19"/>
      <c r="Z6" s="17">
        <f>+Z13</f>
        <v>0</v>
      </c>
      <c r="AA6" s="19"/>
      <c r="AB6" s="17">
        <f>+AB13</f>
        <v>0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COUNTIF(Tabla33610673487[No. of Rs],"&gt;0")</f>
        <v>7</v>
      </c>
      <c r="G7" s="24">
        <f>IFERROR((F7/$F$6),"")</f>
        <v>0.33333333333333331</v>
      </c>
      <c r="H7" s="78">
        <f>IFERROR((+P13/F7),"")</f>
        <v>1.172857142857143</v>
      </c>
      <c r="I7" s="227">
        <f>H7/H9</f>
        <v>4.2210796915167101</v>
      </c>
      <c r="J7" s="227">
        <f>AVERAGE(Tabla33610673487[No. of Rs])</f>
        <v>0.20571428571428568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1</v>
      </c>
      <c r="W7" s="27"/>
      <c r="X7" s="26">
        <f>IFERROR((X6/N6),"")</f>
        <v>0</v>
      </c>
      <c r="Y7" s="28"/>
      <c r="Z7" s="26">
        <f>IFERROR((Z6/N6),"")</f>
        <v>0</v>
      </c>
      <c r="AA7" s="28"/>
      <c r="AB7" s="26">
        <f>IFERROR((AB6/N6),"")</f>
        <v>0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COUNTIF(Tabla33610673487[No. of Rs],"=0")</f>
        <v>0</v>
      </c>
      <c r="G8" s="24">
        <f>IFERROR((F8/$F$6),"")</f>
        <v>0</v>
      </c>
      <c r="H8" s="78"/>
      <c r="I8" s="228"/>
      <c r="J8" s="228"/>
      <c r="K8" s="163"/>
      <c r="L8" s="212" t="s">
        <v>112</v>
      </c>
      <c r="M8" s="213"/>
      <c r="N8" s="195">
        <f ca="1">OFFSET(Tabla33610673487[[#Headers],[Equity]],1,0)</f>
        <v>104320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COUNTIF(Tabla33610673487[No. of Rs],"&lt;0")</f>
        <v>14</v>
      </c>
      <c r="G9" s="32">
        <f>IFERROR((F9/$F$6),"")</f>
        <v>0.66666666666666663</v>
      </c>
      <c r="H9" s="79">
        <f>IFERROR((-Q13/F9),"")</f>
        <v>0.27785714285714286</v>
      </c>
      <c r="I9" s="229"/>
      <c r="J9" s="229"/>
      <c r="K9" s="149"/>
      <c r="L9" s="230" t="s">
        <v>106</v>
      </c>
      <c r="M9" s="231"/>
      <c r="N9" s="125">
        <f ca="1">MAX(Tabla33610673487[Drawdown])</f>
        <v>2.4839973249259576E-2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>
        <f ca="1">OFFSET(Tabla33610673487[[#Headers],[Drawdown]],1,0)</f>
        <v>3.3438425527849433E-3</v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COUNTIF(Tabla33610673487[Heat],"&lt;0")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IF(COUNTIFS(Tabla33610673487[O/C],"O")&lt;1,"None",COUNTIFS(Tabla33610673487[O/C],"O"))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SUM(Tabla33610673487[No. of Rs])</f>
        <v>4.3199999999999994</v>
      </c>
      <c r="O13" s="42">
        <f>SUM(Tabla33610673487[Heat])</f>
        <v>0</v>
      </c>
      <c r="P13" s="43">
        <f>SUM(Tabla33610673487[[ TR WIN]])</f>
        <v>8.2100000000000009</v>
      </c>
      <c r="Q13" s="43">
        <f>SUM(Tabla33610673487[[ TR LOSS]])</f>
        <v>-3.8899999999999997</v>
      </c>
      <c r="R13" s="114"/>
      <c r="S13" s="115"/>
      <c r="T13" s="115"/>
      <c r="U13" s="121"/>
      <c r="V13" s="44">
        <f>SUM(Tabla33610673487[Currency])</f>
        <v>4.3199999999999994</v>
      </c>
      <c r="W13" s="44">
        <f>SUM(Tabla33610673487[Heat3])</f>
        <v>0</v>
      </c>
      <c r="X13" s="44">
        <f>SUM(Tabla33610673487[Commodities])</f>
        <v>0</v>
      </c>
      <c r="Y13" s="44">
        <f>SUM(Tabla33610673487[Heat4])</f>
        <v>0</v>
      </c>
      <c r="Z13" s="44">
        <f>SUM(Tabla33610673487[Index])</f>
        <v>0</v>
      </c>
      <c r="AA13" s="44">
        <f>SUM(Tabla33610673487[Heat5])</f>
        <v>0</v>
      </c>
      <c r="AB13" s="44">
        <f>SUM(Tabla33610673487[Cryptocurrency])</f>
        <v>0</v>
      </c>
      <c r="AC13" s="44">
        <f>SUM(Tabla33610673487[Heat6])</f>
        <v>0</v>
      </c>
      <c r="AD13" s="75">
        <f>AVERAGEIF(Tabla33610673487[Length of 
Trade],"&lt;&gt;0")</f>
        <v>2.7318783068788304</v>
      </c>
      <c r="AE13" s="75">
        <f>AVERAGEIF(Tabla33610673487[Win],"&lt;&gt;0")</f>
        <v>4.4575396825405607</v>
      </c>
      <c r="AF13" s="75">
        <f>AVERAGEIF(Tabla33610673487[Loss],"&lt;&gt;0")</f>
        <v>1.8690476190479655</v>
      </c>
      <c r="AG13" s="76" t="e">
        <f>AVERAGEIF(Tabla33610673487[Breakeven],"&lt;&gt;0")</f>
        <v>#DIV/0!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2:33" ht="15" customHeight="1" x14ac:dyDescent="0.3">
      <c r="B17" s="196" t="s">
        <v>7</v>
      </c>
      <c r="C17" s="197" t="s">
        <v>15</v>
      </c>
      <c r="D17" s="198" t="str">
        <f t="shared" ref="D17:D37" si="0">IF(E17&lt;&gt;"",IF(K17&lt;&gt;"","C","O"),"")</f>
        <v>C</v>
      </c>
      <c r="E17" s="199">
        <v>43812.017361111109</v>
      </c>
      <c r="F17" s="200" t="s">
        <v>113</v>
      </c>
      <c r="G17" s="201">
        <v>108.97499999999999</v>
      </c>
      <c r="H17" s="201">
        <v>108.35599999999999</v>
      </c>
      <c r="I17" s="202">
        <f t="shared" ref="I17:I37" si="1">ABS(G17-H17)</f>
        <v>0.61899999999999977</v>
      </c>
      <c r="J17" s="201">
        <v>111.86499999999999</v>
      </c>
      <c r="K17" s="199">
        <v>43818.606944444444</v>
      </c>
      <c r="L17" s="201">
        <v>109.383</v>
      </c>
      <c r="M17" s="203">
        <f t="shared" ref="M17:M37" si="2">ROUND(IF(C17="L",(L17-G17),(G17-L17)),4)</f>
        <v>0.40799999999999997</v>
      </c>
      <c r="N17" s="204">
        <f t="shared" ref="N17:N37" si="3">IFERROR(ROUND((M17/I17),2),"")</f>
        <v>0.66</v>
      </c>
      <c r="O17" s="205">
        <f t="shared" ref="O17:O37" si="4">IF(D17="O",IF(N17&lt;0,N17,0),0)</f>
        <v>0</v>
      </c>
      <c r="P17" s="206">
        <f t="shared" ref="P17:P37" si="5">IF(N17&gt;= 0,N17,0)</f>
        <v>0.66</v>
      </c>
      <c r="Q17" s="206">
        <f t="shared" ref="Q17:Q37" si="6">IF(N17&lt;0,N17,0)</f>
        <v>0</v>
      </c>
      <c r="R17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17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104320</v>
      </c>
      <c r="T17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104670</v>
      </c>
      <c r="U17" s="208">
        <f ca="1">IF(Tabla33610673487[[#This Row],[Equity]]&lt;Tabla33610673487[[#This Row],[Equity Peak]],(Tabla33610673487[[#This Row],[Equity Peak]]-Tabla33610673487[[#This Row],[Equity]])/Tabla33610673487[[#This Row],[Equity Peak]],"")</f>
        <v>3.3438425527849433E-3</v>
      </c>
      <c r="V17" s="209">
        <f t="shared" ref="V17:V37" si="7">IF(B17="FX",N17,0)</f>
        <v>0.66</v>
      </c>
      <c r="W17" s="209">
        <f t="shared" ref="W17:W37" si="8">IF(D17="O",IF(V17&lt;0,V17,0),0)</f>
        <v>0</v>
      </c>
      <c r="X17" s="209">
        <f t="shared" ref="X17:X37" si="9">IF(B17="COM",N17,0)</f>
        <v>0</v>
      </c>
      <c r="Y17" s="209">
        <f t="shared" ref="Y17:Y37" si="10">IF(D17="O",IF(X17&lt;0,X17,0),0)</f>
        <v>0</v>
      </c>
      <c r="Z17" s="209">
        <f t="shared" ref="Z17:Z37" si="11">IF(B17="IND",N17,0)</f>
        <v>0</v>
      </c>
      <c r="AA17" s="205">
        <f t="shared" ref="AA17:AA37" si="12">IF(D17="O",IF(Z17&lt;0,Z17,0),0)</f>
        <v>0</v>
      </c>
      <c r="AB17" s="209">
        <f t="shared" ref="AB17:AB37" si="13">IF(B17="CRYPTO",N17,0)</f>
        <v>0</v>
      </c>
      <c r="AC17" s="205">
        <f t="shared" ref="AC17:AC37" si="14">IF(D17="O",IF(AB17&lt;0,AB17,0),0)</f>
        <v>0</v>
      </c>
      <c r="AD17" s="210">
        <f t="shared" ref="AD17:AD37" si="15">IF(K17&lt;&gt;"",K17-E17,0)</f>
        <v>6.5895833333343035</v>
      </c>
      <c r="AE17" s="210">
        <f t="shared" ref="AE17:AE37" si="16">IF(N17&gt;0,AD17,0)</f>
        <v>6.5895833333343035</v>
      </c>
      <c r="AF17" s="210">
        <f t="shared" ref="AF17:AF37" si="17">IF(N17&lt;0,AD17,0)</f>
        <v>0</v>
      </c>
      <c r="AG17" s="210">
        <f t="shared" ref="AG17:AG37" si="18">IF(N17=0,AD17,0)</f>
        <v>0</v>
      </c>
    </row>
    <row r="18" spans="2:33" ht="15" customHeight="1" x14ac:dyDescent="0.3">
      <c r="B18" s="196" t="s">
        <v>7</v>
      </c>
      <c r="C18" s="197" t="s">
        <v>15</v>
      </c>
      <c r="D18" s="198" t="str">
        <f t="shared" si="0"/>
        <v>C</v>
      </c>
      <c r="E18" s="199">
        <v>43794.5</v>
      </c>
      <c r="F18" s="200" t="s">
        <v>113</v>
      </c>
      <c r="G18" s="201">
        <v>108.85599999999999</v>
      </c>
      <c r="H18" s="201">
        <v>108.46899999999999</v>
      </c>
      <c r="I18" s="202">
        <f t="shared" si="1"/>
        <v>0.38700000000000045</v>
      </c>
      <c r="J18" s="201">
        <v>110.663</v>
      </c>
      <c r="K18" s="199">
        <v>43798.808333333334</v>
      </c>
      <c r="L18" s="201">
        <v>109.43600000000001</v>
      </c>
      <c r="M18" s="203">
        <f t="shared" si="2"/>
        <v>0.57999999999999996</v>
      </c>
      <c r="N18" s="204">
        <f t="shared" si="3"/>
        <v>1.5</v>
      </c>
      <c r="O18" s="205">
        <f t="shared" si="4"/>
        <v>0</v>
      </c>
      <c r="P18" s="206">
        <f t="shared" si="5"/>
        <v>1.5</v>
      </c>
      <c r="Q18" s="206">
        <f t="shared" si="6"/>
        <v>0</v>
      </c>
      <c r="R18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18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103660</v>
      </c>
      <c r="T18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104670</v>
      </c>
      <c r="U18" s="208">
        <f ca="1">IF(Tabla33610673487[[#This Row],[Equity]]&lt;Tabla33610673487[[#This Row],[Equity Peak]],(Tabla33610673487[[#This Row],[Equity Peak]]-Tabla33610673487[[#This Row],[Equity]])/Tabla33610673487[[#This Row],[Equity Peak]],"")</f>
        <v>9.6493742237508361E-3</v>
      </c>
      <c r="V18" s="209">
        <f t="shared" si="7"/>
        <v>1.5</v>
      </c>
      <c r="W18" s="209">
        <f t="shared" si="8"/>
        <v>0</v>
      </c>
      <c r="X18" s="209">
        <f t="shared" si="9"/>
        <v>0</v>
      </c>
      <c r="Y18" s="209">
        <f t="shared" si="10"/>
        <v>0</v>
      </c>
      <c r="Z18" s="209">
        <f t="shared" si="11"/>
        <v>0</v>
      </c>
      <c r="AA18" s="205">
        <f t="shared" si="12"/>
        <v>0</v>
      </c>
      <c r="AB18" s="209">
        <f t="shared" si="13"/>
        <v>0</v>
      </c>
      <c r="AC18" s="205">
        <f t="shared" si="14"/>
        <v>0</v>
      </c>
      <c r="AD18" s="210">
        <f t="shared" si="15"/>
        <v>4.3083333333343035</v>
      </c>
      <c r="AE18" s="210">
        <f t="shared" si="16"/>
        <v>4.3083333333343035</v>
      </c>
      <c r="AF18" s="210">
        <f t="shared" si="17"/>
        <v>0</v>
      </c>
      <c r="AG18" s="210">
        <f t="shared" si="18"/>
        <v>0</v>
      </c>
    </row>
    <row r="19" spans="2:33" ht="15" customHeight="1" x14ac:dyDescent="0.3">
      <c r="B19" s="196" t="s">
        <v>7</v>
      </c>
      <c r="C19" s="197" t="s">
        <v>15</v>
      </c>
      <c r="D19" s="198" t="str">
        <f t="shared" si="0"/>
        <v>C</v>
      </c>
      <c r="E19" s="199">
        <v>43774.333333333336</v>
      </c>
      <c r="F19" s="200" t="s">
        <v>113</v>
      </c>
      <c r="G19" s="201">
        <v>108.77200000000001</v>
      </c>
      <c r="H19" s="201">
        <v>108.304</v>
      </c>
      <c r="I19" s="202">
        <f t="shared" si="1"/>
        <v>0.46800000000000352</v>
      </c>
      <c r="J19" s="201">
        <v>110.956</v>
      </c>
      <c r="K19" s="199">
        <v>43776.103472222225</v>
      </c>
      <c r="L19" s="201">
        <v>108.81399999999999</v>
      </c>
      <c r="M19" s="203">
        <f t="shared" si="2"/>
        <v>4.2000000000000003E-2</v>
      </c>
      <c r="N19" s="204">
        <f t="shared" si="3"/>
        <v>0.09</v>
      </c>
      <c r="O19" s="205">
        <f t="shared" si="4"/>
        <v>0</v>
      </c>
      <c r="P19" s="206">
        <f t="shared" si="5"/>
        <v>0.09</v>
      </c>
      <c r="Q19" s="206">
        <f t="shared" si="6"/>
        <v>0</v>
      </c>
      <c r="R19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19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102160</v>
      </c>
      <c r="T19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104670</v>
      </c>
      <c r="U19" s="208">
        <f ca="1">IF(Tabla33610673487[[#This Row],[Equity]]&lt;Tabla33610673487[[#This Row],[Equity Peak]],(Tabla33610673487[[#This Row],[Equity Peak]]-Tabla33610673487[[#This Row],[Equity]])/Tabla33610673487[[#This Row],[Equity Peak]],"")</f>
        <v>2.3980128021400593E-2</v>
      </c>
      <c r="V19" s="209">
        <f t="shared" si="7"/>
        <v>0.09</v>
      </c>
      <c r="W19" s="209">
        <f t="shared" si="8"/>
        <v>0</v>
      </c>
      <c r="X19" s="209">
        <f t="shared" si="9"/>
        <v>0</v>
      </c>
      <c r="Y19" s="209">
        <f t="shared" si="10"/>
        <v>0</v>
      </c>
      <c r="Z19" s="209">
        <f t="shared" si="11"/>
        <v>0</v>
      </c>
      <c r="AA19" s="205">
        <f t="shared" si="12"/>
        <v>0</v>
      </c>
      <c r="AB19" s="209">
        <f t="shared" si="13"/>
        <v>0</v>
      </c>
      <c r="AC19" s="205">
        <f t="shared" si="14"/>
        <v>0</v>
      </c>
      <c r="AD19" s="210">
        <f t="shared" si="15"/>
        <v>1.7701388888890506</v>
      </c>
      <c r="AE19" s="210">
        <f t="shared" si="16"/>
        <v>1.7701388888890506</v>
      </c>
      <c r="AF19" s="210">
        <f t="shared" si="17"/>
        <v>0</v>
      </c>
      <c r="AG19" s="210">
        <f t="shared" si="18"/>
        <v>0</v>
      </c>
    </row>
    <row r="20" spans="2:33" ht="15" customHeight="1" x14ac:dyDescent="0.3">
      <c r="B20" s="196" t="s">
        <v>7</v>
      </c>
      <c r="C20" s="197" t="s">
        <v>13</v>
      </c>
      <c r="D20" s="198" t="str">
        <f t="shared" si="0"/>
        <v>C</v>
      </c>
      <c r="E20" s="199">
        <v>43740.833333333336</v>
      </c>
      <c r="F20" s="200" t="s">
        <v>113</v>
      </c>
      <c r="G20" s="201">
        <v>107.11</v>
      </c>
      <c r="H20" s="201">
        <v>108.014</v>
      </c>
      <c r="I20" s="202">
        <f t="shared" si="1"/>
        <v>0.90399999999999636</v>
      </c>
      <c r="J20" s="201">
        <v>102.89</v>
      </c>
      <c r="K20" s="199">
        <v>43745.771527777775</v>
      </c>
      <c r="L20" s="201">
        <v>107.13500000000001</v>
      </c>
      <c r="M20" s="203">
        <f t="shared" si="2"/>
        <v>-2.5000000000000001E-2</v>
      </c>
      <c r="N20" s="204">
        <f t="shared" si="3"/>
        <v>-0.03</v>
      </c>
      <c r="O20" s="205">
        <f t="shared" si="4"/>
        <v>0</v>
      </c>
      <c r="P20" s="206">
        <f t="shared" si="5"/>
        <v>0</v>
      </c>
      <c r="Q20" s="206">
        <f t="shared" si="6"/>
        <v>-0.03</v>
      </c>
      <c r="R20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20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102070</v>
      </c>
      <c r="T20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104670</v>
      </c>
      <c r="U20" s="208">
        <f ca="1">IF(Tabla33610673487[[#This Row],[Equity]]&lt;Tabla33610673487[[#This Row],[Equity Peak]],(Tabla33610673487[[#This Row],[Equity Peak]]-Tabla33610673487[[#This Row],[Equity]])/Tabla33610673487[[#This Row],[Equity Peak]],"")</f>
        <v>2.4839973249259576E-2</v>
      </c>
      <c r="V20" s="209">
        <f t="shared" si="7"/>
        <v>-0.03</v>
      </c>
      <c r="W20" s="209">
        <f t="shared" si="8"/>
        <v>0</v>
      </c>
      <c r="X20" s="209">
        <f t="shared" si="9"/>
        <v>0</v>
      </c>
      <c r="Y20" s="209">
        <f t="shared" si="10"/>
        <v>0</v>
      </c>
      <c r="Z20" s="209">
        <f t="shared" si="11"/>
        <v>0</v>
      </c>
      <c r="AA20" s="205">
        <f t="shared" si="12"/>
        <v>0</v>
      </c>
      <c r="AB20" s="209">
        <f t="shared" si="13"/>
        <v>0</v>
      </c>
      <c r="AC20" s="205">
        <f t="shared" si="14"/>
        <v>0</v>
      </c>
      <c r="AD20" s="210">
        <f t="shared" si="15"/>
        <v>4.9381944444394321</v>
      </c>
      <c r="AE20" s="210">
        <f t="shared" si="16"/>
        <v>0</v>
      </c>
      <c r="AF20" s="210">
        <f t="shared" si="17"/>
        <v>4.9381944444394321</v>
      </c>
      <c r="AG20" s="210">
        <f t="shared" si="18"/>
        <v>0</v>
      </c>
    </row>
    <row r="21" spans="2:33" ht="15" customHeight="1" x14ac:dyDescent="0.3">
      <c r="B21" s="196" t="s">
        <v>7</v>
      </c>
      <c r="C21" s="197" t="s">
        <v>15</v>
      </c>
      <c r="D21" s="198" t="str">
        <f t="shared" si="0"/>
        <v>C</v>
      </c>
      <c r="E21" s="199">
        <v>43735.017361111109</v>
      </c>
      <c r="F21" s="200" t="s">
        <v>113</v>
      </c>
      <c r="G21" s="201">
        <v>107.828</v>
      </c>
      <c r="H21" s="201">
        <v>107.133</v>
      </c>
      <c r="I21" s="202">
        <f t="shared" si="1"/>
        <v>0.69500000000000739</v>
      </c>
      <c r="J21" s="201">
        <v>111.07299999999999</v>
      </c>
      <c r="K21" s="199">
        <v>43738.368055555555</v>
      </c>
      <c r="L21" s="201">
        <v>107.756</v>
      </c>
      <c r="M21" s="203">
        <f t="shared" si="2"/>
        <v>-7.1999999999999995E-2</v>
      </c>
      <c r="N21" s="204">
        <f t="shared" si="3"/>
        <v>-0.1</v>
      </c>
      <c r="O21" s="205">
        <f t="shared" si="4"/>
        <v>0</v>
      </c>
      <c r="P21" s="206">
        <f t="shared" si="5"/>
        <v>0</v>
      </c>
      <c r="Q21" s="206">
        <f t="shared" si="6"/>
        <v>-0.1</v>
      </c>
      <c r="R21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21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102100</v>
      </c>
      <c r="T21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104670</v>
      </c>
      <c r="U21" s="208">
        <f ca="1">IF(Tabla33610673487[[#This Row],[Equity]]&lt;Tabla33610673487[[#This Row],[Equity Peak]],(Tabla33610673487[[#This Row],[Equity Peak]]-Tabla33610673487[[#This Row],[Equity]])/Tabla33610673487[[#This Row],[Equity Peak]],"")</f>
        <v>2.4553358173306582E-2</v>
      </c>
      <c r="V21" s="209">
        <f t="shared" si="7"/>
        <v>-0.1</v>
      </c>
      <c r="W21" s="209">
        <f t="shared" si="8"/>
        <v>0</v>
      </c>
      <c r="X21" s="209">
        <f t="shared" si="9"/>
        <v>0</v>
      </c>
      <c r="Y21" s="209">
        <f t="shared" si="10"/>
        <v>0</v>
      </c>
      <c r="Z21" s="209">
        <f t="shared" si="11"/>
        <v>0</v>
      </c>
      <c r="AA21" s="205">
        <f t="shared" si="12"/>
        <v>0</v>
      </c>
      <c r="AB21" s="209">
        <f t="shared" si="13"/>
        <v>0</v>
      </c>
      <c r="AC21" s="205">
        <f t="shared" si="14"/>
        <v>0</v>
      </c>
      <c r="AD21" s="210">
        <f t="shared" si="15"/>
        <v>3.3506944444452529</v>
      </c>
      <c r="AE21" s="210">
        <f t="shared" si="16"/>
        <v>0</v>
      </c>
      <c r="AF21" s="210">
        <f t="shared" si="17"/>
        <v>3.3506944444452529</v>
      </c>
      <c r="AG21" s="210">
        <f t="shared" si="18"/>
        <v>0</v>
      </c>
    </row>
    <row r="22" spans="2:33" ht="15" customHeight="1" x14ac:dyDescent="0.3">
      <c r="B22" s="196" t="s">
        <v>7</v>
      </c>
      <c r="C22" s="197" t="s">
        <v>13</v>
      </c>
      <c r="D22" s="198" t="str">
        <f t="shared" si="0"/>
        <v>C</v>
      </c>
      <c r="E22" s="199">
        <v>43731.666666666664</v>
      </c>
      <c r="F22" s="200" t="s">
        <v>113</v>
      </c>
      <c r="G22" s="201">
        <v>107.53400000000001</v>
      </c>
      <c r="H22" s="201">
        <v>108.169</v>
      </c>
      <c r="I22" s="202">
        <f t="shared" si="1"/>
        <v>0.63499999999999091</v>
      </c>
      <c r="J22" s="201">
        <v>104.572</v>
      </c>
      <c r="K22" s="199">
        <v>43733.719444444447</v>
      </c>
      <c r="L22" s="201">
        <v>107.584</v>
      </c>
      <c r="M22" s="203">
        <f t="shared" si="2"/>
        <v>-0.05</v>
      </c>
      <c r="N22" s="204">
        <f t="shared" si="3"/>
        <v>-0.08</v>
      </c>
      <c r="O22" s="205">
        <f t="shared" si="4"/>
        <v>0</v>
      </c>
      <c r="P22" s="206">
        <f t="shared" si="5"/>
        <v>0</v>
      </c>
      <c r="Q22" s="206">
        <f t="shared" si="6"/>
        <v>-0.08</v>
      </c>
      <c r="R22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22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102200</v>
      </c>
      <c r="T22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104670</v>
      </c>
      <c r="U22" s="208">
        <f ca="1">IF(Tabla33610673487[[#This Row],[Equity]]&lt;Tabla33610673487[[#This Row],[Equity Peak]],(Tabla33610673487[[#This Row],[Equity Peak]]-Tabla33610673487[[#This Row],[Equity]])/Tabla33610673487[[#This Row],[Equity Peak]],"")</f>
        <v>2.3597974586796598E-2</v>
      </c>
      <c r="V22" s="209">
        <f t="shared" si="7"/>
        <v>-0.08</v>
      </c>
      <c r="W22" s="209">
        <f t="shared" si="8"/>
        <v>0</v>
      </c>
      <c r="X22" s="209">
        <f t="shared" si="9"/>
        <v>0</v>
      </c>
      <c r="Y22" s="209">
        <f t="shared" si="10"/>
        <v>0</v>
      </c>
      <c r="Z22" s="209">
        <f t="shared" si="11"/>
        <v>0</v>
      </c>
      <c r="AA22" s="205">
        <f t="shared" si="12"/>
        <v>0</v>
      </c>
      <c r="AB22" s="209">
        <f t="shared" si="13"/>
        <v>0</v>
      </c>
      <c r="AC22" s="205">
        <f t="shared" si="14"/>
        <v>0</v>
      </c>
      <c r="AD22" s="210">
        <f t="shared" si="15"/>
        <v>2.0527777777824667</v>
      </c>
      <c r="AE22" s="210">
        <f t="shared" si="16"/>
        <v>0</v>
      </c>
      <c r="AF22" s="210">
        <f t="shared" si="17"/>
        <v>2.0527777777824667</v>
      </c>
      <c r="AG22" s="210">
        <f t="shared" si="18"/>
        <v>0</v>
      </c>
    </row>
    <row r="23" spans="2:33" ht="15" customHeight="1" x14ac:dyDescent="0.3">
      <c r="B23" s="196" t="s">
        <v>7</v>
      </c>
      <c r="C23" s="197" t="s">
        <v>13</v>
      </c>
      <c r="D23" s="198" t="str">
        <f t="shared" si="0"/>
        <v>C</v>
      </c>
      <c r="E23" s="199">
        <v>43711.833333333336</v>
      </c>
      <c r="F23" s="200" t="s">
        <v>113</v>
      </c>
      <c r="G23" s="201">
        <v>105.873</v>
      </c>
      <c r="H23" s="201">
        <v>106.59099999999999</v>
      </c>
      <c r="I23" s="202">
        <f t="shared" si="1"/>
        <v>0.71799999999998931</v>
      </c>
      <c r="J23" s="201">
        <v>102.521</v>
      </c>
      <c r="K23" s="199">
        <v>43712.439583333333</v>
      </c>
      <c r="L23" s="201">
        <v>106.23099999999999</v>
      </c>
      <c r="M23" s="203">
        <f t="shared" si="2"/>
        <v>-0.35799999999999998</v>
      </c>
      <c r="N23" s="204">
        <f t="shared" si="3"/>
        <v>-0.5</v>
      </c>
      <c r="O23" s="205">
        <f t="shared" si="4"/>
        <v>0</v>
      </c>
      <c r="P23" s="206">
        <f t="shared" si="5"/>
        <v>0</v>
      </c>
      <c r="Q23" s="206">
        <f t="shared" si="6"/>
        <v>-0.5</v>
      </c>
      <c r="R23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23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102280</v>
      </c>
      <c r="T23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104670</v>
      </c>
      <c r="U23" s="208">
        <f ca="1">IF(Tabla33610673487[[#This Row],[Equity]]&lt;Tabla33610673487[[#This Row],[Equity Peak]],(Tabla33610673487[[#This Row],[Equity Peak]]-Tabla33610673487[[#This Row],[Equity]])/Tabla33610673487[[#This Row],[Equity Peak]],"")</f>
        <v>2.2833667717588612E-2</v>
      </c>
      <c r="V23" s="209">
        <f t="shared" si="7"/>
        <v>-0.5</v>
      </c>
      <c r="W23" s="209">
        <f t="shared" si="8"/>
        <v>0</v>
      </c>
      <c r="X23" s="209">
        <f t="shared" si="9"/>
        <v>0</v>
      </c>
      <c r="Y23" s="209">
        <f t="shared" si="10"/>
        <v>0</v>
      </c>
      <c r="Z23" s="209">
        <f t="shared" si="11"/>
        <v>0</v>
      </c>
      <c r="AA23" s="205">
        <f t="shared" si="12"/>
        <v>0</v>
      </c>
      <c r="AB23" s="209">
        <f t="shared" si="13"/>
        <v>0</v>
      </c>
      <c r="AC23" s="205">
        <f t="shared" si="14"/>
        <v>0</v>
      </c>
      <c r="AD23" s="210">
        <f t="shared" si="15"/>
        <v>0.60624999999708962</v>
      </c>
      <c r="AE23" s="210">
        <f t="shared" si="16"/>
        <v>0</v>
      </c>
      <c r="AF23" s="210">
        <f t="shared" si="17"/>
        <v>0.60624999999708962</v>
      </c>
      <c r="AG23" s="210">
        <f t="shared" si="18"/>
        <v>0</v>
      </c>
    </row>
    <row r="24" spans="2:33" ht="15" customHeight="1" x14ac:dyDescent="0.3">
      <c r="B24" s="196" t="s">
        <v>7</v>
      </c>
      <c r="C24" s="197" t="s">
        <v>13</v>
      </c>
      <c r="D24" s="198" t="str">
        <f t="shared" si="0"/>
        <v>C</v>
      </c>
      <c r="E24" s="199">
        <v>43700.833333333336</v>
      </c>
      <c r="F24" s="200" t="s">
        <v>113</v>
      </c>
      <c r="G24" s="201">
        <v>105.407</v>
      </c>
      <c r="H24" s="201">
        <v>106.389</v>
      </c>
      <c r="I24" s="202">
        <f t="shared" si="1"/>
        <v>0.98199999999999932</v>
      </c>
      <c r="J24" s="201">
        <v>100.82299999999999</v>
      </c>
      <c r="K24" s="199">
        <v>43703.254861111112</v>
      </c>
      <c r="L24" s="201">
        <v>105.742</v>
      </c>
      <c r="M24" s="203">
        <f t="shared" si="2"/>
        <v>-0.33500000000000002</v>
      </c>
      <c r="N24" s="204">
        <f t="shared" si="3"/>
        <v>-0.34</v>
      </c>
      <c r="O24" s="205">
        <f t="shared" si="4"/>
        <v>0</v>
      </c>
      <c r="P24" s="206">
        <f t="shared" si="5"/>
        <v>0</v>
      </c>
      <c r="Q24" s="206">
        <f t="shared" si="6"/>
        <v>-0.34</v>
      </c>
      <c r="R24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24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102780</v>
      </c>
      <c r="T24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104670</v>
      </c>
      <c r="U24" s="208">
        <f ca="1">IF(Tabla33610673487[[#This Row],[Equity]]&lt;Tabla33610673487[[#This Row],[Equity Peak]],(Tabla33610673487[[#This Row],[Equity Peak]]-Tabla33610673487[[#This Row],[Equity]])/Tabla33610673487[[#This Row],[Equity Peak]],"")</f>
        <v>1.8056749785038694E-2</v>
      </c>
      <c r="V24" s="209">
        <f t="shared" si="7"/>
        <v>-0.34</v>
      </c>
      <c r="W24" s="209">
        <f t="shared" si="8"/>
        <v>0</v>
      </c>
      <c r="X24" s="209">
        <f t="shared" si="9"/>
        <v>0</v>
      </c>
      <c r="Y24" s="209">
        <f t="shared" si="10"/>
        <v>0</v>
      </c>
      <c r="Z24" s="209">
        <f t="shared" si="11"/>
        <v>0</v>
      </c>
      <c r="AA24" s="205">
        <f t="shared" si="12"/>
        <v>0</v>
      </c>
      <c r="AB24" s="209">
        <f t="shared" si="13"/>
        <v>0</v>
      </c>
      <c r="AC24" s="205">
        <f t="shared" si="14"/>
        <v>0</v>
      </c>
      <c r="AD24" s="210">
        <f t="shared" si="15"/>
        <v>2.421527777776646</v>
      </c>
      <c r="AE24" s="210">
        <f t="shared" si="16"/>
        <v>0</v>
      </c>
      <c r="AF24" s="210">
        <f t="shared" si="17"/>
        <v>2.421527777776646</v>
      </c>
      <c r="AG24" s="210">
        <f t="shared" si="18"/>
        <v>0</v>
      </c>
    </row>
    <row r="25" spans="2:33" ht="15" customHeight="1" x14ac:dyDescent="0.3">
      <c r="B25" s="196" t="s">
        <v>7</v>
      </c>
      <c r="C25" s="197" t="s">
        <v>13</v>
      </c>
      <c r="D25" s="198" t="str">
        <f t="shared" si="0"/>
        <v>C</v>
      </c>
      <c r="E25" s="199">
        <v>43679.166666666664</v>
      </c>
      <c r="F25" s="200" t="s">
        <v>113</v>
      </c>
      <c r="G25" s="201">
        <v>107.123</v>
      </c>
      <c r="H25" s="201">
        <v>108.39100000000001</v>
      </c>
      <c r="I25" s="202">
        <f t="shared" si="1"/>
        <v>1.2680000000000007</v>
      </c>
      <c r="J25" s="201">
        <v>101.20699999999999</v>
      </c>
      <c r="K25" s="199">
        <v>43683.247916666667</v>
      </c>
      <c r="L25" s="201">
        <v>106.688</v>
      </c>
      <c r="M25" s="203">
        <f t="shared" si="2"/>
        <v>0.435</v>
      </c>
      <c r="N25" s="204">
        <f t="shared" si="3"/>
        <v>0.34</v>
      </c>
      <c r="O25" s="205">
        <f t="shared" si="4"/>
        <v>0</v>
      </c>
      <c r="P25" s="206">
        <f t="shared" si="5"/>
        <v>0.34</v>
      </c>
      <c r="Q25" s="206">
        <f t="shared" si="6"/>
        <v>0</v>
      </c>
      <c r="R25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25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103120</v>
      </c>
      <c r="T25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104670</v>
      </c>
      <c r="U25" s="208">
        <f ca="1">IF(Tabla33610673487[[#This Row],[Equity]]&lt;Tabla33610673487[[#This Row],[Equity Peak]],(Tabla33610673487[[#This Row],[Equity Peak]]-Tabla33610673487[[#This Row],[Equity]])/Tabla33610673487[[#This Row],[Equity Peak]],"")</f>
        <v>1.4808445590904749E-2</v>
      </c>
      <c r="V25" s="209">
        <f t="shared" si="7"/>
        <v>0.34</v>
      </c>
      <c r="W25" s="209">
        <f t="shared" si="8"/>
        <v>0</v>
      </c>
      <c r="X25" s="209">
        <f t="shared" si="9"/>
        <v>0</v>
      </c>
      <c r="Y25" s="209">
        <f t="shared" si="10"/>
        <v>0</v>
      </c>
      <c r="Z25" s="209">
        <f t="shared" si="11"/>
        <v>0</v>
      </c>
      <c r="AA25" s="205">
        <f t="shared" si="12"/>
        <v>0</v>
      </c>
      <c r="AB25" s="209">
        <f t="shared" si="13"/>
        <v>0</v>
      </c>
      <c r="AC25" s="205">
        <f t="shared" si="14"/>
        <v>0</v>
      </c>
      <c r="AD25" s="210">
        <f t="shared" si="15"/>
        <v>4.0812500000029104</v>
      </c>
      <c r="AE25" s="210">
        <f t="shared" si="16"/>
        <v>4.0812500000029104</v>
      </c>
      <c r="AF25" s="210">
        <f t="shared" si="17"/>
        <v>0</v>
      </c>
      <c r="AG25" s="210">
        <f t="shared" si="18"/>
        <v>0</v>
      </c>
    </row>
    <row r="26" spans="2:33" ht="15" customHeight="1" x14ac:dyDescent="0.3">
      <c r="B26" s="196" t="s">
        <v>7</v>
      </c>
      <c r="C26" s="197" t="s">
        <v>13</v>
      </c>
      <c r="D26" s="198" t="str">
        <f t="shared" si="0"/>
        <v>C</v>
      </c>
      <c r="E26" s="199">
        <v>43661.017361111109</v>
      </c>
      <c r="F26" s="200" t="s">
        <v>113</v>
      </c>
      <c r="G26" s="201">
        <v>107.908</v>
      </c>
      <c r="H26" s="201">
        <v>108.571</v>
      </c>
      <c r="I26" s="202">
        <f t="shared" si="1"/>
        <v>0.6629999999999967</v>
      </c>
      <c r="J26" s="201">
        <v>104.815</v>
      </c>
      <c r="K26" s="199">
        <v>43662.581250000003</v>
      </c>
      <c r="L26" s="201">
        <v>108.143</v>
      </c>
      <c r="M26" s="203">
        <f t="shared" si="2"/>
        <v>-0.23499999999999999</v>
      </c>
      <c r="N26" s="204">
        <f t="shared" si="3"/>
        <v>-0.35</v>
      </c>
      <c r="O26" s="205">
        <f t="shared" si="4"/>
        <v>0</v>
      </c>
      <c r="P26" s="206">
        <f t="shared" si="5"/>
        <v>0</v>
      </c>
      <c r="Q26" s="206">
        <f t="shared" si="6"/>
        <v>-0.35</v>
      </c>
      <c r="R26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26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102780</v>
      </c>
      <c r="T26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104670</v>
      </c>
      <c r="U26" s="208">
        <f ca="1">IF(Tabla33610673487[[#This Row],[Equity]]&lt;Tabla33610673487[[#This Row],[Equity Peak]],(Tabla33610673487[[#This Row],[Equity Peak]]-Tabla33610673487[[#This Row],[Equity]])/Tabla33610673487[[#This Row],[Equity Peak]],"")</f>
        <v>1.8056749785038694E-2</v>
      </c>
      <c r="V26" s="209">
        <f t="shared" si="7"/>
        <v>-0.35</v>
      </c>
      <c r="W26" s="209">
        <f t="shared" si="8"/>
        <v>0</v>
      </c>
      <c r="X26" s="209">
        <f t="shared" si="9"/>
        <v>0</v>
      </c>
      <c r="Y26" s="209">
        <f t="shared" si="10"/>
        <v>0</v>
      </c>
      <c r="Z26" s="209">
        <f t="shared" si="11"/>
        <v>0</v>
      </c>
      <c r="AA26" s="205">
        <f t="shared" si="12"/>
        <v>0</v>
      </c>
      <c r="AB26" s="209">
        <f t="shared" si="13"/>
        <v>0</v>
      </c>
      <c r="AC26" s="205">
        <f t="shared" si="14"/>
        <v>0</v>
      </c>
      <c r="AD26" s="210">
        <f t="shared" si="15"/>
        <v>1.5638888888934162</v>
      </c>
      <c r="AE26" s="210">
        <f t="shared" si="16"/>
        <v>0</v>
      </c>
      <c r="AF26" s="210">
        <f t="shared" si="17"/>
        <v>1.5638888888934162</v>
      </c>
      <c r="AG26" s="210">
        <f t="shared" si="18"/>
        <v>0</v>
      </c>
    </row>
    <row r="27" spans="2:33" ht="15" customHeight="1" x14ac:dyDescent="0.3">
      <c r="B27" s="196" t="s">
        <v>7</v>
      </c>
      <c r="C27" s="197" t="s">
        <v>13</v>
      </c>
      <c r="D27" s="198" t="str">
        <f t="shared" si="0"/>
        <v>C</v>
      </c>
      <c r="E27" s="199">
        <v>43649.5</v>
      </c>
      <c r="F27" s="200" t="s">
        <v>113</v>
      </c>
      <c r="G27" s="201">
        <v>107.691</v>
      </c>
      <c r="H27" s="201">
        <v>108.282</v>
      </c>
      <c r="I27" s="202">
        <f t="shared" si="1"/>
        <v>0.59099999999999397</v>
      </c>
      <c r="J27" s="201">
        <v>104.93300000000001</v>
      </c>
      <c r="K27" s="199">
        <v>43651.408333333333</v>
      </c>
      <c r="L27" s="201">
        <v>107.971</v>
      </c>
      <c r="M27" s="203">
        <f t="shared" si="2"/>
        <v>-0.28000000000000003</v>
      </c>
      <c r="N27" s="204">
        <f t="shared" si="3"/>
        <v>-0.47</v>
      </c>
      <c r="O27" s="205">
        <f t="shared" si="4"/>
        <v>0</v>
      </c>
      <c r="P27" s="206">
        <f t="shared" si="5"/>
        <v>0</v>
      </c>
      <c r="Q27" s="206">
        <f t="shared" si="6"/>
        <v>-0.47</v>
      </c>
      <c r="R27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27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103130</v>
      </c>
      <c r="T27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104670</v>
      </c>
      <c r="U27" s="208">
        <f ca="1">IF(Tabla33610673487[[#This Row],[Equity]]&lt;Tabla33610673487[[#This Row],[Equity Peak]],(Tabla33610673487[[#This Row],[Equity Peak]]-Tabla33610673487[[#This Row],[Equity]])/Tabla33610673487[[#This Row],[Equity Peak]],"")</f>
        <v>1.471290723225375E-2</v>
      </c>
      <c r="V27" s="209">
        <f t="shared" si="7"/>
        <v>-0.47</v>
      </c>
      <c r="W27" s="209">
        <f t="shared" si="8"/>
        <v>0</v>
      </c>
      <c r="X27" s="209">
        <f t="shared" si="9"/>
        <v>0</v>
      </c>
      <c r="Y27" s="209">
        <f t="shared" si="10"/>
        <v>0</v>
      </c>
      <c r="Z27" s="209">
        <f t="shared" si="11"/>
        <v>0</v>
      </c>
      <c r="AA27" s="205">
        <f t="shared" si="12"/>
        <v>0</v>
      </c>
      <c r="AB27" s="209">
        <f t="shared" si="13"/>
        <v>0</v>
      </c>
      <c r="AC27" s="205">
        <f t="shared" si="14"/>
        <v>0</v>
      </c>
      <c r="AD27" s="210">
        <f t="shared" si="15"/>
        <v>1.9083333333328483</v>
      </c>
      <c r="AE27" s="210">
        <f t="shared" si="16"/>
        <v>0</v>
      </c>
      <c r="AF27" s="210">
        <f t="shared" si="17"/>
        <v>1.9083333333328483</v>
      </c>
      <c r="AG27" s="210">
        <f t="shared" si="18"/>
        <v>0</v>
      </c>
    </row>
    <row r="28" spans="2:33" ht="15" customHeight="1" x14ac:dyDescent="0.3">
      <c r="B28" s="196" t="s">
        <v>7</v>
      </c>
      <c r="C28" s="197" t="s">
        <v>13</v>
      </c>
      <c r="D28" s="198" t="str">
        <f t="shared" si="0"/>
        <v>C</v>
      </c>
      <c r="E28" s="199">
        <v>43636.166666666664</v>
      </c>
      <c r="F28" s="200" t="s">
        <v>113</v>
      </c>
      <c r="G28" s="201">
        <v>107.642</v>
      </c>
      <c r="H28" s="201">
        <v>108.49</v>
      </c>
      <c r="I28" s="202">
        <f t="shared" si="1"/>
        <v>0.84799999999999898</v>
      </c>
      <c r="J28" s="201">
        <v>103.68600000000001</v>
      </c>
      <c r="K28" s="199">
        <v>43641.776388888888</v>
      </c>
      <c r="L28" s="201">
        <v>107.273</v>
      </c>
      <c r="M28" s="203">
        <f t="shared" si="2"/>
        <v>0.36899999999999999</v>
      </c>
      <c r="N28" s="204">
        <f t="shared" si="3"/>
        <v>0.44</v>
      </c>
      <c r="O28" s="205">
        <f t="shared" si="4"/>
        <v>0</v>
      </c>
      <c r="P28" s="206">
        <f t="shared" si="5"/>
        <v>0.44</v>
      </c>
      <c r="Q28" s="206">
        <f t="shared" si="6"/>
        <v>0</v>
      </c>
      <c r="R28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28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103600</v>
      </c>
      <c r="T28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104670</v>
      </c>
      <c r="U28" s="208">
        <f ca="1">IF(Tabla33610673487[[#This Row],[Equity]]&lt;Tabla33610673487[[#This Row],[Equity Peak]],(Tabla33610673487[[#This Row],[Equity Peak]]-Tabla33610673487[[#This Row],[Equity]])/Tabla33610673487[[#This Row],[Equity Peak]],"")</f>
        <v>1.0222604375656827E-2</v>
      </c>
      <c r="V28" s="209">
        <f t="shared" si="7"/>
        <v>0.44</v>
      </c>
      <c r="W28" s="209">
        <f t="shared" si="8"/>
        <v>0</v>
      </c>
      <c r="X28" s="209">
        <f t="shared" si="9"/>
        <v>0</v>
      </c>
      <c r="Y28" s="209">
        <f t="shared" si="10"/>
        <v>0</v>
      </c>
      <c r="Z28" s="209">
        <f t="shared" si="11"/>
        <v>0</v>
      </c>
      <c r="AA28" s="205">
        <f t="shared" si="12"/>
        <v>0</v>
      </c>
      <c r="AB28" s="209">
        <f t="shared" si="13"/>
        <v>0</v>
      </c>
      <c r="AC28" s="205">
        <f t="shared" si="14"/>
        <v>0</v>
      </c>
      <c r="AD28" s="210">
        <f t="shared" si="15"/>
        <v>5.609722222223354</v>
      </c>
      <c r="AE28" s="210">
        <f t="shared" si="16"/>
        <v>5.609722222223354</v>
      </c>
      <c r="AF28" s="210">
        <f t="shared" si="17"/>
        <v>0</v>
      </c>
      <c r="AG28" s="210">
        <f t="shared" si="18"/>
        <v>0</v>
      </c>
    </row>
    <row r="29" spans="2:33" ht="15" customHeight="1" x14ac:dyDescent="0.3">
      <c r="B29" s="196" t="s">
        <v>7</v>
      </c>
      <c r="C29" s="197" t="s">
        <v>13</v>
      </c>
      <c r="D29" s="198" t="str">
        <f t="shared" si="0"/>
        <v>C</v>
      </c>
      <c r="E29" s="199">
        <v>43608.833333333336</v>
      </c>
      <c r="F29" s="200" t="s">
        <v>113</v>
      </c>
      <c r="G29" s="201">
        <v>109.515</v>
      </c>
      <c r="H29" s="201">
        <v>110.21599999999999</v>
      </c>
      <c r="I29" s="202">
        <f t="shared" si="1"/>
        <v>0.70099999999999341</v>
      </c>
      <c r="J29" s="201">
        <v>106.246</v>
      </c>
      <c r="K29" s="199">
        <v>43613.589583333334</v>
      </c>
      <c r="L29" s="201">
        <v>109.52200000000001</v>
      </c>
      <c r="M29" s="203">
        <f t="shared" si="2"/>
        <v>-7.0000000000000001E-3</v>
      </c>
      <c r="N29" s="204">
        <f t="shared" si="3"/>
        <v>-0.01</v>
      </c>
      <c r="O29" s="205">
        <f t="shared" si="4"/>
        <v>0</v>
      </c>
      <c r="P29" s="206">
        <f t="shared" si="5"/>
        <v>0</v>
      </c>
      <c r="Q29" s="206">
        <f t="shared" si="6"/>
        <v>-0.01</v>
      </c>
      <c r="R29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29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103160</v>
      </c>
      <c r="T29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104670</v>
      </c>
      <c r="U29" s="208">
        <f ca="1">IF(Tabla33610673487[[#This Row],[Equity]]&lt;Tabla33610673487[[#This Row],[Equity Peak]],(Tabla33610673487[[#This Row],[Equity Peak]]-Tabla33610673487[[#This Row],[Equity]])/Tabla33610673487[[#This Row],[Equity Peak]],"")</f>
        <v>1.4426292156300756E-2</v>
      </c>
      <c r="V29" s="209">
        <f t="shared" si="7"/>
        <v>-0.01</v>
      </c>
      <c r="W29" s="209">
        <f t="shared" si="8"/>
        <v>0</v>
      </c>
      <c r="X29" s="209">
        <f t="shared" si="9"/>
        <v>0</v>
      </c>
      <c r="Y29" s="209">
        <f t="shared" si="10"/>
        <v>0</v>
      </c>
      <c r="Z29" s="209">
        <f t="shared" si="11"/>
        <v>0</v>
      </c>
      <c r="AA29" s="205">
        <f t="shared" si="12"/>
        <v>0</v>
      </c>
      <c r="AB29" s="209">
        <f t="shared" si="13"/>
        <v>0</v>
      </c>
      <c r="AC29" s="205">
        <f t="shared" si="14"/>
        <v>0</v>
      </c>
      <c r="AD29" s="210">
        <f t="shared" si="15"/>
        <v>4.7562499999985448</v>
      </c>
      <c r="AE29" s="210">
        <f t="shared" si="16"/>
        <v>0</v>
      </c>
      <c r="AF29" s="210">
        <f t="shared" si="17"/>
        <v>4.7562499999985448</v>
      </c>
      <c r="AG29" s="210">
        <f t="shared" si="18"/>
        <v>0</v>
      </c>
    </row>
    <row r="30" spans="2:33" ht="15" customHeight="1" x14ac:dyDescent="0.3">
      <c r="B30" s="196" t="s">
        <v>7</v>
      </c>
      <c r="C30" s="197" t="s">
        <v>15</v>
      </c>
      <c r="D30" s="198" t="str">
        <f t="shared" si="0"/>
        <v>C</v>
      </c>
      <c r="E30" s="199">
        <v>43566.833333333336</v>
      </c>
      <c r="F30" s="200" t="s">
        <v>113</v>
      </c>
      <c r="G30" s="201">
        <v>111.569</v>
      </c>
      <c r="H30" s="201">
        <v>110.98399999999999</v>
      </c>
      <c r="I30" s="202">
        <f t="shared" si="1"/>
        <v>0.58500000000000796</v>
      </c>
      <c r="J30" s="201">
        <v>114.29900000000001</v>
      </c>
      <c r="K30" s="199">
        <v>43573.406944444447</v>
      </c>
      <c r="L30" s="201">
        <v>111.87</v>
      </c>
      <c r="M30" s="203">
        <f t="shared" si="2"/>
        <v>0.30099999999999999</v>
      </c>
      <c r="N30" s="204">
        <f t="shared" si="3"/>
        <v>0.51</v>
      </c>
      <c r="O30" s="205">
        <f t="shared" si="4"/>
        <v>0</v>
      </c>
      <c r="P30" s="206">
        <f t="shared" si="5"/>
        <v>0.51</v>
      </c>
      <c r="Q30" s="206">
        <f t="shared" si="6"/>
        <v>0</v>
      </c>
      <c r="R30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30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103170</v>
      </c>
      <c r="T30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104670</v>
      </c>
      <c r="U30" s="208">
        <f ca="1">IF(Tabla33610673487[[#This Row],[Equity]]&lt;Tabla33610673487[[#This Row],[Equity Peak]],(Tabla33610673487[[#This Row],[Equity Peak]]-Tabla33610673487[[#This Row],[Equity]])/Tabla33610673487[[#This Row],[Equity Peak]],"")</f>
        <v>1.4330753797649757E-2</v>
      </c>
      <c r="V30" s="209">
        <f t="shared" si="7"/>
        <v>0.51</v>
      </c>
      <c r="W30" s="209">
        <f t="shared" si="8"/>
        <v>0</v>
      </c>
      <c r="X30" s="209">
        <f t="shared" si="9"/>
        <v>0</v>
      </c>
      <c r="Y30" s="209">
        <f t="shared" si="10"/>
        <v>0</v>
      </c>
      <c r="Z30" s="209">
        <f t="shared" si="11"/>
        <v>0</v>
      </c>
      <c r="AA30" s="205">
        <f t="shared" si="12"/>
        <v>0</v>
      </c>
      <c r="AB30" s="209">
        <f t="shared" si="13"/>
        <v>0</v>
      </c>
      <c r="AC30" s="205">
        <f t="shared" si="14"/>
        <v>0</v>
      </c>
      <c r="AD30" s="210">
        <f t="shared" si="15"/>
        <v>6.5736111111109494</v>
      </c>
      <c r="AE30" s="210">
        <f t="shared" si="16"/>
        <v>6.5736111111109494</v>
      </c>
      <c r="AF30" s="210">
        <f t="shared" si="17"/>
        <v>0</v>
      </c>
      <c r="AG30" s="210">
        <f t="shared" si="18"/>
        <v>0</v>
      </c>
    </row>
    <row r="31" spans="2:33" ht="15" customHeight="1" x14ac:dyDescent="0.3">
      <c r="B31" s="196" t="s">
        <v>7</v>
      </c>
      <c r="C31" s="197" t="s">
        <v>13</v>
      </c>
      <c r="D31" s="198" t="str">
        <f t="shared" si="0"/>
        <v>C</v>
      </c>
      <c r="E31" s="199">
        <v>43545.017361111109</v>
      </c>
      <c r="F31" s="200" t="s">
        <v>113</v>
      </c>
      <c r="G31" s="201">
        <v>110.605</v>
      </c>
      <c r="H31" s="201">
        <v>111.364</v>
      </c>
      <c r="I31" s="202">
        <f t="shared" si="1"/>
        <v>0.75900000000000034</v>
      </c>
      <c r="J31" s="201">
        <v>107.06399999999999</v>
      </c>
      <c r="K31" s="199">
        <v>43545.768055555556</v>
      </c>
      <c r="L31" s="201">
        <v>110.85899999999999</v>
      </c>
      <c r="M31" s="203">
        <f t="shared" si="2"/>
        <v>-0.254</v>
      </c>
      <c r="N31" s="204">
        <f t="shared" si="3"/>
        <v>-0.33</v>
      </c>
      <c r="O31" s="205">
        <f t="shared" si="4"/>
        <v>0</v>
      </c>
      <c r="P31" s="206">
        <f t="shared" si="5"/>
        <v>0</v>
      </c>
      <c r="Q31" s="206">
        <f t="shared" si="6"/>
        <v>-0.33</v>
      </c>
      <c r="R31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31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102660</v>
      </c>
      <c r="T31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104670</v>
      </c>
      <c r="U31" s="208">
        <f ca="1">IF(Tabla33610673487[[#This Row],[Equity]]&lt;Tabla33610673487[[#This Row],[Equity Peak]],(Tabla33610673487[[#This Row],[Equity Peak]]-Tabla33610673487[[#This Row],[Equity]])/Tabla33610673487[[#This Row],[Equity Peak]],"")</f>
        <v>1.9203210088850675E-2</v>
      </c>
      <c r="V31" s="209">
        <f t="shared" si="7"/>
        <v>-0.33</v>
      </c>
      <c r="W31" s="209">
        <f t="shared" si="8"/>
        <v>0</v>
      </c>
      <c r="X31" s="209">
        <f t="shared" si="9"/>
        <v>0</v>
      </c>
      <c r="Y31" s="209">
        <f t="shared" si="10"/>
        <v>0</v>
      </c>
      <c r="Z31" s="209">
        <f t="shared" si="11"/>
        <v>0</v>
      </c>
      <c r="AA31" s="205">
        <f t="shared" si="12"/>
        <v>0</v>
      </c>
      <c r="AB31" s="209">
        <f t="shared" si="13"/>
        <v>0</v>
      </c>
      <c r="AC31" s="205">
        <f t="shared" si="14"/>
        <v>0</v>
      </c>
      <c r="AD31" s="210">
        <f t="shared" si="15"/>
        <v>0.75069444444670808</v>
      </c>
      <c r="AE31" s="210">
        <f t="shared" si="16"/>
        <v>0</v>
      </c>
      <c r="AF31" s="210">
        <f t="shared" si="17"/>
        <v>0.75069444444670808</v>
      </c>
      <c r="AG31" s="210">
        <f t="shared" si="18"/>
        <v>0</v>
      </c>
    </row>
    <row r="32" spans="2:33" ht="15" customHeight="1" x14ac:dyDescent="0.3">
      <c r="B32" s="196" t="s">
        <v>7</v>
      </c>
      <c r="C32" s="197" t="s">
        <v>15</v>
      </c>
      <c r="D32" s="198" t="str">
        <f t="shared" si="0"/>
        <v>C</v>
      </c>
      <c r="E32" s="199">
        <v>43544.166666666664</v>
      </c>
      <c r="F32" s="200" t="s">
        <v>113</v>
      </c>
      <c r="G32" s="201">
        <v>111.61499999999999</v>
      </c>
      <c r="H32" s="201">
        <v>111.01300000000001</v>
      </c>
      <c r="I32" s="202">
        <f t="shared" si="1"/>
        <v>0.60199999999998965</v>
      </c>
      <c r="J32" s="201">
        <v>114.425</v>
      </c>
      <c r="K32" s="199">
        <v>43544.86041666667</v>
      </c>
      <c r="L32" s="201">
        <v>111.328</v>
      </c>
      <c r="M32" s="203">
        <f t="shared" si="2"/>
        <v>-0.28699999999999998</v>
      </c>
      <c r="N32" s="204">
        <f t="shared" si="3"/>
        <v>-0.48</v>
      </c>
      <c r="O32" s="205">
        <f t="shared" si="4"/>
        <v>0</v>
      </c>
      <c r="P32" s="206">
        <f t="shared" si="5"/>
        <v>0</v>
      </c>
      <c r="Q32" s="206">
        <f t="shared" si="6"/>
        <v>-0.48</v>
      </c>
      <c r="R32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32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102990</v>
      </c>
      <c r="T32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104670</v>
      </c>
      <c r="U32" s="208">
        <f ca="1">IF(Tabla33610673487[[#This Row],[Equity]]&lt;Tabla33610673487[[#This Row],[Equity Peak]],(Tabla33610673487[[#This Row],[Equity Peak]]-Tabla33610673487[[#This Row],[Equity]])/Tabla33610673487[[#This Row],[Equity Peak]],"")</f>
        <v>1.6050444253367727E-2</v>
      </c>
      <c r="V32" s="209">
        <f t="shared" si="7"/>
        <v>-0.48</v>
      </c>
      <c r="W32" s="209">
        <f t="shared" si="8"/>
        <v>0</v>
      </c>
      <c r="X32" s="209">
        <f t="shared" si="9"/>
        <v>0</v>
      </c>
      <c r="Y32" s="209">
        <f t="shared" si="10"/>
        <v>0</v>
      </c>
      <c r="Z32" s="209">
        <f t="shared" si="11"/>
        <v>0</v>
      </c>
      <c r="AA32" s="205">
        <f t="shared" si="12"/>
        <v>0</v>
      </c>
      <c r="AB32" s="209">
        <f t="shared" si="13"/>
        <v>0</v>
      </c>
      <c r="AC32" s="205">
        <f t="shared" si="14"/>
        <v>0</v>
      </c>
      <c r="AD32" s="210">
        <f t="shared" si="15"/>
        <v>0.69375000000582077</v>
      </c>
      <c r="AE32" s="210">
        <f t="shared" si="16"/>
        <v>0</v>
      </c>
      <c r="AF32" s="210">
        <f t="shared" si="17"/>
        <v>0.69375000000582077</v>
      </c>
      <c r="AG32" s="210">
        <f t="shared" si="18"/>
        <v>0</v>
      </c>
    </row>
    <row r="33" spans="2:33" ht="15" customHeight="1" x14ac:dyDescent="0.3">
      <c r="B33" s="196" t="s">
        <v>7</v>
      </c>
      <c r="C33" s="197" t="s">
        <v>15</v>
      </c>
      <c r="D33" s="198" t="str">
        <f t="shared" si="0"/>
        <v>C</v>
      </c>
      <c r="E33" s="199">
        <v>43538.333333333336</v>
      </c>
      <c r="F33" s="200" t="s">
        <v>113</v>
      </c>
      <c r="G33" s="201">
        <v>111.593</v>
      </c>
      <c r="H33" s="201">
        <v>110.95699999999999</v>
      </c>
      <c r="I33" s="202">
        <f t="shared" si="1"/>
        <v>0.63600000000000989</v>
      </c>
      <c r="J33" s="201">
        <v>114.562</v>
      </c>
      <c r="K33" s="199">
        <v>43539.275694444441</v>
      </c>
      <c r="L33" s="201">
        <v>111.51300000000001</v>
      </c>
      <c r="M33" s="203">
        <f t="shared" si="2"/>
        <v>-0.08</v>
      </c>
      <c r="N33" s="204">
        <f t="shared" si="3"/>
        <v>-0.13</v>
      </c>
      <c r="O33" s="205">
        <f t="shared" si="4"/>
        <v>0</v>
      </c>
      <c r="P33" s="206">
        <f t="shared" si="5"/>
        <v>0</v>
      </c>
      <c r="Q33" s="206">
        <f t="shared" si="6"/>
        <v>-0.13</v>
      </c>
      <c r="R33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33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103470</v>
      </c>
      <c r="T33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104670</v>
      </c>
      <c r="U33" s="208">
        <f ca="1">IF(Tabla33610673487[[#This Row],[Equity]]&lt;Tabla33610673487[[#This Row],[Equity Peak]],(Tabla33610673487[[#This Row],[Equity Peak]]-Tabla33610673487[[#This Row],[Equity]])/Tabla33610673487[[#This Row],[Equity Peak]],"")</f>
        <v>1.1464603038119804E-2</v>
      </c>
      <c r="V33" s="209">
        <f t="shared" si="7"/>
        <v>-0.13</v>
      </c>
      <c r="W33" s="209">
        <f t="shared" si="8"/>
        <v>0</v>
      </c>
      <c r="X33" s="209">
        <f t="shared" si="9"/>
        <v>0</v>
      </c>
      <c r="Y33" s="209">
        <f t="shared" si="10"/>
        <v>0</v>
      </c>
      <c r="Z33" s="209">
        <f t="shared" si="11"/>
        <v>0</v>
      </c>
      <c r="AA33" s="205">
        <f t="shared" si="12"/>
        <v>0</v>
      </c>
      <c r="AB33" s="209">
        <f t="shared" si="13"/>
        <v>0</v>
      </c>
      <c r="AC33" s="205">
        <f t="shared" si="14"/>
        <v>0</v>
      </c>
      <c r="AD33" s="210">
        <f t="shared" si="15"/>
        <v>0.94236111110512866</v>
      </c>
      <c r="AE33" s="210">
        <f t="shared" si="16"/>
        <v>0</v>
      </c>
      <c r="AF33" s="210">
        <f t="shared" si="17"/>
        <v>0.94236111110512866</v>
      </c>
      <c r="AG33" s="210">
        <f t="shared" si="18"/>
        <v>0</v>
      </c>
    </row>
    <row r="34" spans="2:33" ht="15" customHeight="1" x14ac:dyDescent="0.3">
      <c r="B34" s="196" t="s">
        <v>7</v>
      </c>
      <c r="C34" s="197" t="s">
        <v>15</v>
      </c>
      <c r="D34" s="198" t="str">
        <f t="shared" si="0"/>
        <v>C</v>
      </c>
      <c r="E34" s="199">
        <v>43537.666666666664</v>
      </c>
      <c r="F34" s="200" t="s">
        <v>113</v>
      </c>
      <c r="G34" s="201">
        <v>111.39400000000001</v>
      </c>
      <c r="H34" s="201">
        <v>110.809</v>
      </c>
      <c r="I34" s="202">
        <f t="shared" si="1"/>
        <v>0.58500000000000796</v>
      </c>
      <c r="J34" s="201">
        <v>114.124</v>
      </c>
      <c r="K34" s="199">
        <v>43537.915972222225</v>
      </c>
      <c r="L34" s="201">
        <v>111.102</v>
      </c>
      <c r="M34" s="203">
        <f t="shared" si="2"/>
        <v>-0.29199999999999998</v>
      </c>
      <c r="N34" s="204">
        <f t="shared" si="3"/>
        <v>-0.5</v>
      </c>
      <c r="O34" s="205">
        <f t="shared" si="4"/>
        <v>0</v>
      </c>
      <c r="P34" s="206">
        <f t="shared" si="5"/>
        <v>0</v>
      </c>
      <c r="Q34" s="206">
        <f t="shared" si="6"/>
        <v>-0.5</v>
      </c>
      <c r="R34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34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103600</v>
      </c>
      <c r="T34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104670</v>
      </c>
      <c r="U34" s="208">
        <f ca="1">IF(Tabla33610673487[[#This Row],[Equity]]&lt;Tabla33610673487[[#This Row],[Equity Peak]],(Tabla33610673487[[#This Row],[Equity Peak]]-Tabla33610673487[[#This Row],[Equity]])/Tabla33610673487[[#This Row],[Equity Peak]],"")</f>
        <v>1.0222604375656827E-2</v>
      </c>
      <c r="V34" s="209">
        <f t="shared" si="7"/>
        <v>-0.5</v>
      </c>
      <c r="W34" s="209">
        <f t="shared" si="8"/>
        <v>0</v>
      </c>
      <c r="X34" s="209">
        <f t="shared" si="9"/>
        <v>0</v>
      </c>
      <c r="Y34" s="209">
        <f t="shared" si="10"/>
        <v>0</v>
      </c>
      <c r="Z34" s="209">
        <f t="shared" si="11"/>
        <v>0</v>
      </c>
      <c r="AA34" s="205">
        <f t="shared" si="12"/>
        <v>0</v>
      </c>
      <c r="AB34" s="209">
        <f t="shared" si="13"/>
        <v>0</v>
      </c>
      <c r="AC34" s="205">
        <f t="shared" si="14"/>
        <v>0</v>
      </c>
      <c r="AD34" s="210">
        <f t="shared" si="15"/>
        <v>0.24930555556056788</v>
      </c>
      <c r="AE34" s="210">
        <f t="shared" si="16"/>
        <v>0</v>
      </c>
      <c r="AF34" s="210">
        <f t="shared" si="17"/>
        <v>0.24930555556056788</v>
      </c>
      <c r="AG34" s="210">
        <f t="shared" si="18"/>
        <v>0</v>
      </c>
    </row>
    <row r="35" spans="2:33" ht="15" customHeight="1" x14ac:dyDescent="0.3">
      <c r="B35" s="196" t="s">
        <v>7</v>
      </c>
      <c r="C35" s="197" t="s">
        <v>13</v>
      </c>
      <c r="D35" s="198" t="str">
        <f t="shared" si="0"/>
        <v>C</v>
      </c>
      <c r="E35" s="199">
        <v>43496.017361111109</v>
      </c>
      <c r="F35" s="200" t="s">
        <v>113</v>
      </c>
      <c r="G35" s="201">
        <v>109.04</v>
      </c>
      <c r="H35" s="201">
        <v>109.804</v>
      </c>
      <c r="I35" s="202">
        <f t="shared" si="1"/>
        <v>0.76399999999999579</v>
      </c>
      <c r="J35" s="201">
        <v>105.473</v>
      </c>
      <c r="K35" s="199">
        <v>43497.673611111109</v>
      </c>
      <c r="L35" s="201">
        <v>109.093</v>
      </c>
      <c r="M35" s="203">
        <f t="shared" si="2"/>
        <v>-5.2999999999999999E-2</v>
      </c>
      <c r="N35" s="204">
        <f t="shared" si="3"/>
        <v>-7.0000000000000007E-2</v>
      </c>
      <c r="O35" s="205">
        <f t="shared" si="4"/>
        <v>0</v>
      </c>
      <c r="P35" s="206">
        <f t="shared" si="5"/>
        <v>0</v>
      </c>
      <c r="Q35" s="206">
        <f t="shared" si="6"/>
        <v>-7.0000000000000007E-2</v>
      </c>
      <c r="R35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35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104100</v>
      </c>
      <c r="T35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104670</v>
      </c>
      <c r="U35" s="208">
        <f ca="1">IF(Tabla33610673487[[#This Row],[Equity]]&lt;Tabla33610673487[[#This Row],[Equity Peak]],(Tabla33610673487[[#This Row],[Equity Peak]]-Tabla33610673487[[#This Row],[Equity]])/Tabla33610673487[[#This Row],[Equity Peak]],"")</f>
        <v>5.445686443106907E-3</v>
      </c>
      <c r="V35" s="209">
        <f t="shared" si="7"/>
        <v>-7.0000000000000007E-2</v>
      </c>
      <c r="W35" s="209">
        <f t="shared" si="8"/>
        <v>0</v>
      </c>
      <c r="X35" s="209">
        <f t="shared" si="9"/>
        <v>0</v>
      </c>
      <c r="Y35" s="209">
        <f t="shared" si="10"/>
        <v>0</v>
      </c>
      <c r="Z35" s="209">
        <f t="shared" si="11"/>
        <v>0</v>
      </c>
      <c r="AA35" s="205">
        <f t="shared" si="12"/>
        <v>0</v>
      </c>
      <c r="AB35" s="209">
        <f t="shared" si="13"/>
        <v>0</v>
      </c>
      <c r="AC35" s="205">
        <f t="shared" si="14"/>
        <v>0</v>
      </c>
      <c r="AD35" s="210">
        <f t="shared" si="15"/>
        <v>1.65625</v>
      </c>
      <c r="AE35" s="210">
        <f t="shared" si="16"/>
        <v>0</v>
      </c>
      <c r="AF35" s="210">
        <f t="shared" si="17"/>
        <v>1.65625</v>
      </c>
      <c r="AG35" s="210">
        <f t="shared" si="18"/>
        <v>0</v>
      </c>
    </row>
    <row r="36" spans="2:33" ht="15" customHeight="1" x14ac:dyDescent="0.3">
      <c r="B36" s="196" t="s">
        <v>7</v>
      </c>
      <c r="C36" s="197" t="s">
        <v>13</v>
      </c>
      <c r="D36" s="198" t="str">
        <f t="shared" si="0"/>
        <v>C</v>
      </c>
      <c r="E36" s="199">
        <v>43495.333333333336</v>
      </c>
      <c r="F36" s="200" t="s">
        <v>113</v>
      </c>
      <c r="G36" s="201">
        <v>109.273</v>
      </c>
      <c r="H36" s="201">
        <v>109.878</v>
      </c>
      <c r="I36" s="202">
        <f t="shared" si="1"/>
        <v>0.60500000000000398</v>
      </c>
      <c r="J36" s="201">
        <v>106.44799999999999</v>
      </c>
      <c r="K36" s="199">
        <v>43495.609722222223</v>
      </c>
      <c r="L36" s="201">
        <v>109.57599999999999</v>
      </c>
      <c r="M36" s="203">
        <f t="shared" si="2"/>
        <v>-0.30299999999999999</v>
      </c>
      <c r="N36" s="204">
        <f t="shared" si="3"/>
        <v>-0.5</v>
      </c>
      <c r="O36" s="205">
        <f t="shared" si="4"/>
        <v>0</v>
      </c>
      <c r="P36" s="206">
        <f t="shared" si="5"/>
        <v>0</v>
      </c>
      <c r="Q36" s="206">
        <f t="shared" si="6"/>
        <v>-0.5</v>
      </c>
      <c r="R36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36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104170</v>
      </c>
      <c r="T36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104670</v>
      </c>
      <c r="U36" s="208">
        <f ca="1">IF(Tabla33610673487[[#This Row],[Equity]]&lt;Tabla33610673487[[#This Row],[Equity Peak]],(Tabla33610673487[[#This Row],[Equity Peak]]-Tabla33610673487[[#This Row],[Equity]])/Tabla33610673487[[#This Row],[Equity Peak]],"")</f>
        <v>4.7769179325499187E-3</v>
      </c>
      <c r="V36" s="209">
        <f t="shared" si="7"/>
        <v>-0.5</v>
      </c>
      <c r="W36" s="209">
        <f t="shared" si="8"/>
        <v>0</v>
      </c>
      <c r="X36" s="209">
        <f t="shared" si="9"/>
        <v>0</v>
      </c>
      <c r="Y36" s="209">
        <f t="shared" si="10"/>
        <v>0</v>
      </c>
      <c r="Z36" s="209">
        <f t="shared" si="11"/>
        <v>0</v>
      </c>
      <c r="AA36" s="205">
        <f t="shared" si="12"/>
        <v>0</v>
      </c>
      <c r="AB36" s="209">
        <f t="shared" si="13"/>
        <v>0</v>
      </c>
      <c r="AC36" s="205">
        <f t="shared" si="14"/>
        <v>0</v>
      </c>
      <c r="AD36" s="210">
        <f t="shared" si="15"/>
        <v>0.27638888888759539</v>
      </c>
      <c r="AE36" s="210">
        <f t="shared" si="16"/>
        <v>0</v>
      </c>
      <c r="AF36" s="210">
        <f t="shared" si="17"/>
        <v>0.27638888888759539</v>
      </c>
      <c r="AG36" s="210">
        <f t="shared" si="18"/>
        <v>0</v>
      </c>
    </row>
    <row r="37" spans="2:33" ht="15" customHeight="1" x14ac:dyDescent="0.3">
      <c r="B37" s="196" t="s">
        <v>7</v>
      </c>
      <c r="C37" s="197" t="s">
        <v>13</v>
      </c>
      <c r="D37" s="198" t="str">
        <f t="shared" si="0"/>
        <v>C</v>
      </c>
      <c r="E37" s="199">
        <v>43465.833333333336</v>
      </c>
      <c r="F37" s="200" t="s">
        <v>113</v>
      </c>
      <c r="G37" s="201">
        <v>109.655</v>
      </c>
      <c r="H37" s="201">
        <v>110.492</v>
      </c>
      <c r="I37" s="202">
        <f t="shared" si="1"/>
        <v>0.8370000000000033</v>
      </c>
      <c r="J37" s="201">
        <v>105.748</v>
      </c>
      <c r="K37" s="199">
        <v>43468.103472222225</v>
      </c>
      <c r="L37" s="201">
        <v>105.748</v>
      </c>
      <c r="M37" s="203">
        <f t="shared" si="2"/>
        <v>3.907</v>
      </c>
      <c r="N37" s="204">
        <f t="shared" si="3"/>
        <v>4.67</v>
      </c>
      <c r="O37" s="205">
        <f t="shared" si="4"/>
        <v>0</v>
      </c>
      <c r="P37" s="206">
        <f t="shared" si="5"/>
        <v>4.67</v>
      </c>
      <c r="Q37" s="206">
        <f t="shared" si="6"/>
        <v>0</v>
      </c>
      <c r="R37" s="206" t="str">
        <f ca="1">IF(AND(OFFSET(Tabla33610673487[[#This Row],[Equity]],1,0)="",Tabla33610673487[[#This Row],[No. of Rs]]&lt;0),"Yes",IF(AND(OFFSET(Tabla33610673487[[#This Row],[Initial Losing Trade]],1,0)="Yes",Tabla33610673487[[#This Row],[No. of Rs]]&lt;0),"Yes","No"))</f>
        <v>No</v>
      </c>
      <c r="S37" s="207">
        <f ca="1">IF(OFFSET(Tabla33610673487[[#This Row],[Equity]],1,0)="",IF(Tabla33610673487[[#This Row],[No. of Rs]]="",$F$11,$F$11+($F$11*Tabla33610673487[[#This Row],[No. of Rs]]/100)),IF(Tabla33610673487[[#This Row],[No. of Rs]]="",OFFSET(Tabla33610673487[[#This Row],[Equity]],1,0),OFFSET(Tabla33610673487[[#This Row],[Equity]],1,0)+($F$11*Tabla33610673487[[#This Row],[No. of Rs]]/100)))</f>
        <v>104670</v>
      </c>
      <c r="T37" s="207">
        <f ca="1">IF(OFFSET(Tabla33610673487[[#This Row],[Equity Peak]],1,0)="",IF(Tabla33610673487[[#This Row],[Initial Losing Trade]]="Yes",$F$11,Tabla33610673487[[#This Row],[Equity]]),IF(OFFSET(Tabla33610673487[[#This Row],[Equity Peak]],1,0)&gt;Tabla33610673487[[#This Row],[Equity]],OFFSET(Tabla33610673487[[#This Row],[Equity Peak]],1,0),Tabla33610673487[[#This Row],[Equity]]))</f>
        <v>104670</v>
      </c>
      <c r="U37" s="208" t="str">
        <f ca="1">IF(Tabla33610673487[[#This Row],[Equity]]&lt;Tabla33610673487[[#This Row],[Equity Peak]],(Tabla33610673487[[#This Row],[Equity Peak]]-Tabla33610673487[[#This Row],[Equity]])/Tabla33610673487[[#This Row],[Equity Peak]],"")</f>
        <v/>
      </c>
      <c r="V37" s="209">
        <f t="shared" si="7"/>
        <v>4.67</v>
      </c>
      <c r="W37" s="209">
        <f t="shared" si="8"/>
        <v>0</v>
      </c>
      <c r="X37" s="209">
        <f t="shared" si="9"/>
        <v>0</v>
      </c>
      <c r="Y37" s="209">
        <f t="shared" si="10"/>
        <v>0</v>
      </c>
      <c r="Z37" s="209">
        <f t="shared" si="11"/>
        <v>0</v>
      </c>
      <c r="AA37" s="205">
        <f t="shared" si="12"/>
        <v>0</v>
      </c>
      <c r="AB37" s="209">
        <f t="shared" si="13"/>
        <v>0</v>
      </c>
      <c r="AC37" s="205">
        <f t="shared" si="14"/>
        <v>0</v>
      </c>
      <c r="AD37" s="210">
        <f t="shared" si="15"/>
        <v>2.2701388888890506</v>
      </c>
      <c r="AE37" s="210">
        <f t="shared" si="16"/>
        <v>2.2701388888890506</v>
      </c>
      <c r="AF37" s="210">
        <f t="shared" si="17"/>
        <v>0</v>
      </c>
      <c r="AG37" s="210">
        <f t="shared" si="18"/>
        <v>0</v>
      </c>
    </row>
  </sheetData>
  <sheetProtection algorithmName="SHA-512" hashValue="CQokEq1txXAK/xiOVEjCo0dMnR3EPVOjLAOVpopBAPTcrl14ZT+Q7I9KUrirOHDJwm0DvZhvzEmBOcD9pq5BrQ==" saltValue="vzPvfSt0CC2yQqwmDeEZHw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503" priority="3" operator="equal">
      <formula>"OK"</formula>
    </cfRule>
    <cfRule type="cellIs" dxfId="502" priority="4" operator="equal">
      <formula>"warning"</formula>
    </cfRule>
  </conditionalFormatting>
  <conditionalFormatting sqref="F13">
    <cfRule type="cellIs" dxfId="501" priority="1" operator="equal">
      <formula>"OK"</formula>
    </cfRule>
    <cfRule type="cellIs" dxfId="500" priority="2" operator="equal">
      <formula>"Error!!"</formula>
    </cfRule>
  </conditionalFormatting>
  <conditionalFormatting sqref="E15:H15 K15:L15">
    <cfRule type="expression" dxfId="499" priority="5">
      <formula>+$D15=#REF!</formula>
    </cfRule>
    <cfRule type="expression" dxfId="498" priority="6">
      <formula>+$D15=#REF!</formula>
    </cfRule>
  </conditionalFormatting>
  <conditionalFormatting sqref="D15 K16:L16 D16:H37 J17:L37">
    <cfRule type="expression" dxfId="497" priority="7">
      <formula>+$D15=$AG$8</formula>
    </cfRule>
    <cfRule type="expression" dxfId="496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5:B16" xr:uid="{E02DF4FB-26E3-4931-86B9-5CBD72BC10FC}">
      <formula1>$AE$4:$AE$6</formula1>
    </dataValidation>
    <dataValidation type="list" allowBlank="1" showInputMessage="1" showErrorMessage="1" promptTitle="Trade Direction" prompt="Select from List" sqref="C15:C16" xr:uid="{8B2CD69A-6E38-429C-9C4B-4B88E19C5E68}">
      <formula1>$AG$4:$AG$5</formula1>
    </dataValidation>
    <dataValidation type="list" allowBlank="1" showInputMessage="1" showErrorMessage="1" promptTitle="Instrument Type" prompt="Select Type from List_x000a_" sqref="B17:B37" xr:uid="{C8B75768-2A9C-4DDB-978F-19794C356DE7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1F841-3DF8-4F72-ADE2-2220CC30A5C0}">
  <sheetPr codeName="Hoja26">
    <pageSetUpPr fitToPage="1"/>
  </sheetPr>
  <dimension ref="A1:AX35"/>
  <sheetViews>
    <sheetView showGridLines="0" showZeros="0" tabSelected="1" zoomScale="115" zoomScaleNormal="115" zoomScalePageLayoutView="99" workbookViewId="0">
      <pane ySplit="16" topLeftCell="A17" activePane="bottomLeft" state="frozen"/>
      <selection activeCell="E2" sqref="E2:N5"/>
      <selection pane="bottomLeft" activeCell="E2" sqref="E2:N5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123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COUNTA(Tabla336106734820[Inst])</f>
        <v>19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14.780000000000001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0</v>
      </c>
      <c r="W6" s="18"/>
      <c r="X6" s="17">
        <f>+X13</f>
        <v>14.780000000000001</v>
      </c>
      <c r="Y6" s="19"/>
      <c r="Z6" s="17">
        <f>+Z13</f>
        <v>0</v>
      </c>
      <c r="AA6" s="19"/>
      <c r="AB6" s="17">
        <f>+AB13</f>
        <v>0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COUNTIF(Tabla336106734820[No. of Rs],"&gt;0")</f>
        <v>9</v>
      </c>
      <c r="G7" s="24">
        <f>IFERROR((F7/$F$6),"")</f>
        <v>0.47368421052631576</v>
      </c>
      <c r="H7" s="78">
        <f>IFERROR((+P13/F7),"")</f>
        <v>2.27</v>
      </c>
      <c r="I7" s="227">
        <f>H7/H9</f>
        <v>4.0176991150442474</v>
      </c>
      <c r="J7" s="227">
        <f>AVERAGE(Tabla336106734820[No. of Rs])</f>
        <v>0.77789473684210531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0</v>
      </c>
      <c r="W7" s="27"/>
      <c r="X7" s="26">
        <f>IFERROR((X6/N6),"")</f>
        <v>1</v>
      </c>
      <c r="Y7" s="28"/>
      <c r="Z7" s="26">
        <f>IFERROR((Z6/N6),"")</f>
        <v>0</v>
      </c>
      <c r="AA7" s="28"/>
      <c r="AB7" s="26">
        <f>IFERROR((AB6/N6),"")</f>
        <v>0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COUNTIF(Tabla336106734820[No. of Rs],"=0")</f>
        <v>0</v>
      </c>
      <c r="G8" s="24">
        <f>IFERROR((F8/$F$6),"")</f>
        <v>0</v>
      </c>
      <c r="H8" s="78"/>
      <c r="I8" s="228"/>
      <c r="J8" s="228"/>
      <c r="K8" s="163"/>
      <c r="L8" s="212" t="s">
        <v>112</v>
      </c>
      <c r="M8" s="213"/>
      <c r="N8" s="195">
        <f ca="1">OFFSET(Tabla336106734820[[#Headers],[Equity]],1,0)</f>
        <v>114780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COUNTIF(Tabla336106734820[No. of Rs],"&lt;0")</f>
        <v>10</v>
      </c>
      <c r="G9" s="32">
        <f>IFERROR((F9/$F$6),"")</f>
        <v>0.52631578947368418</v>
      </c>
      <c r="H9" s="79">
        <f>IFERROR((-Q13/F9),"")</f>
        <v>0.56500000000000006</v>
      </c>
      <c r="I9" s="229"/>
      <c r="J9" s="229"/>
      <c r="K9" s="149"/>
      <c r="L9" s="230" t="s">
        <v>106</v>
      </c>
      <c r="M9" s="231"/>
      <c r="N9" s="125">
        <f ca="1">MAX(Tabla336106734820[Drawdown])</f>
        <v>2.1274565922533867E-2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 t="str">
        <f ca="1">OFFSET(Tabla336106734820[[#Headers],[Drawdown]],1,0)</f>
        <v/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COUNTIF(Tabla336106734820[Heat],"&lt;0")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IF(COUNTIFS(Tabla336106734820[O/C],"O")&lt;1,"None",COUNTIFS(Tabla336106734820[O/C],"O"))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SUM(Tabla336106734820[No. of Rs])</f>
        <v>14.780000000000001</v>
      </c>
      <c r="O13" s="42">
        <f>SUM(Tabla336106734820[Heat])</f>
        <v>0</v>
      </c>
      <c r="P13" s="43">
        <f>SUM(Tabla336106734820[[ TR WIN]])</f>
        <v>20.43</v>
      </c>
      <c r="Q13" s="43">
        <f>SUM(Tabla336106734820[[ TR LOSS]])</f>
        <v>-5.65</v>
      </c>
      <c r="R13" s="114"/>
      <c r="S13" s="115"/>
      <c r="T13" s="115"/>
      <c r="U13" s="121"/>
      <c r="V13" s="44">
        <f>SUM(Tabla336106734820[Currency])</f>
        <v>0</v>
      </c>
      <c r="W13" s="44">
        <f>SUM(Tabla336106734820[Heat3])</f>
        <v>0</v>
      </c>
      <c r="X13" s="44">
        <f>SUM(Tabla336106734820[Commodities])</f>
        <v>14.780000000000001</v>
      </c>
      <c r="Y13" s="44">
        <f>SUM(Tabla336106734820[Heat4])</f>
        <v>0</v>
      </c>
      <c r="Z13" s="44">
        <f>SUM(Tabla336106734820[Index])</f>
        <v>0</v>
      </c>
      <c r="AA13" s="44">
        <f>SUM(Tabla336106734820[Heat5])</f>
        <v>0</v>
      </c>
      <c r="AB13" s="44">
        <f>SUM(Tabla336106734820[Cryptocurrency])</f>
        <v>0</v>
      </c>
      <c r="AC13" s="44">
        <f>SUM(Tabla336106734820[Heat6])</f>
        <v>0</v>
      </c>
      <c r="AD13" s="75">
        <f>AVERAGEIF(Tabla336106734820[Length of 
Trade],"&lt;&gt;0")</f>
        <v>6.0010233918127547</v>
      </c>
      <c r="AE13" s="75">
        <f>AVERAGEIF(Tabla336106734820[Win],"&lt;&gt;0")</f>
        <v>6.5244598765437125</v>
      </c>
      <c r="AF13" s="75">
        <f>AVERAGEIF(Tabla336106734820[Loss],"&lt;&gt;0")</f>
        <v>5.529930555554893</v>
      </c>
      <c r="AG13" s="76" t="e">
        <f>AVERAGEIF(Tabla336106734820[Breakeven],"&lt;&gt;0")</f>
        <v>#DIV/0!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2:33" ht="15" customHeight="1" x14ac:dyDescent="0.3">
      <c r="B17" s="196" t="s">
        <v>19</v>
      </c>
      <c r="C17" s="197" t="s">
        <v>15</v>
      </c>
      <c r="D17" s="198" t="str">
        <f t="shared" ref="D17:D28" si="0">IF(E17&lt;&gt;"",IF(K17&lt;&gt;"","C","O"),"")</f>
        <v>C</v>
      </c>
      <c r="E17" s="199">
        <v>43815.541666666664</v>
      </c>
      <c r="F17" s="200" t="s">
        <v>89</v>
      </c>
      <c r="G17" s="201">
        <v>17.061</v>
      </c>
      <c r="H17" s="201">
        <v>16.844999999999999</v>
      </c>
      <c r="I17" s="202">
        <f t="shared" ref="I17:I28" si="1">ABS(G17-H17)</f>
        <v>0.21600000000000108</v>
      </c>
      <c r="J17" s="201">
        <v>18.100000000000001</v>
      </c>
      <c r="K17" s="199">
        <v>43825.80972222222</v>
      </c>
      <c r="L17" s="201">
        <v>17.84</v>
      </c>
      <c r="M17" s="203">
        <f t="shared" ref="M17:M28" si="2">ROUND(IF(C17="L",(L17-G17),(G17-L17)),4)</f>
        <v>0.77900000000000003</v>
      </c>
      <c r="N17" s="204">
        <f t="shared" ref="N17:N28" si="3">IFERROR(ROUND((M17/I17),2),"")</f>
        <v>3.61</v>
      </c>
      <c r="O17" s="205">
        <f t="shared" ref="O17:O28" si="4">IF(D17="O",IF(N17&lt;0,N17,0),0)</f>
        <v>0</v>
      </c>
      <c r="P17" s="206">
        <f t="shared" ref="P17:P28" si="5">IF(N17&gt;= 0,N17,0)</f>
        <v>3.61</v>
      </c>
      <c r="Q17" s="206">
        <f t="shared" ref="Q17:Q28" si="6">IF(N17&lt;0,N17,0)</f>
        <v>0</v>
      </c>
      <c r="R17" s="206" t="str">
        <f ca="1">IF(AND(OFFSET(Tabla336106734820[[#This Row],[Equity]],1,0)="",Tabla336106734820[[#This Row],[No. of Rs]]&lt;0),"Yes",IF(AND(OFFSET(Tabla336106734820[[#This Row],[Initial Losing Trade]],1,0)="Yes",Tabla336106734820[[#This Row],[No. of Rs]]&lt;0),"Yes","No"))</f>
        <v>No</v>
      </c>
      <c r="S17" s="207">
        <f ca="1">IF(OFFSET(Tabla336106734820[[#This Row],[Equity]],1,0)="",IF(Tabla336106734820[[#This Row],[No. of Rs]]="",$F$11,$F$11+($F$11*Tabla336106734820[[#This Row],[No. of Rs]]/100)),IF(Tabla336106734820[[#This Row],[No. of Rs]]="",OFFSET(Tabla336106734820[[#This Row],[Equity]],1,0),OFFSET(Tabla336106734820[[#This Row],[Equity]],1,0)+($F$11*Tabla336106734820[[#This Row],[No. of Rs]]/100)))</f>
        <v>114780</v>
      </c>
      <c r="T17" s="207">
        <f ca="1">IF(OFFSET(Tabla336106734820[[#This Row],[Equity Peak]],1,0)="",IF(Tabla336106734820[[#This Row],[Initial Losing Trade]]="Yes",$F$11,Tabla336106734820[[#This Row],[Equity]]),IF(OFFSET(Tabla336106734820[[#This Row],[Equity Peak]],1,0)&gt;Tabla336106734820[[#This Row],[Equity]],OFFSET(Tabla336106734820[[#This Row],[Equity Peak]],1,0),Tabla336106734820[[#This Row],[Equity]]))</f>
        <v>114780</v>
      </c>
      <c r="U17" s="208" t="str">
        <f ca="1">IF(Tabla336106734820[[#This Row],[Equity]]&lt;Tabla336106734820[[#This Row],[Equity Peak]],(Tabla336106734820[[#This Row],[Equity Peak]]-Tabla336106734820[[#This Row],[Equity]])/Tabla336106734820[[#This Row],[Equity Peak]],"")</f>
        <v/>
      </c>
      <c r="V17" s="209">
        <f t="shared" ref="V17:V28" si="7">IF(B17="FX",N17,0)</f>
        <v>0</v>
      </c>
      <c r="W17" s="209">
        <f t="shared" ref="W17:W28" si="8">IF(D17="O",IF(V17&lt;0,V17,0),0)</f>
        <v>0</v>
      </c>
      <c r="X17" s="209">
        <f t="shared" ref="X17:X28" si="9">IF(B17="COM",N17,0)</f>
        <v>3.61</v>
      </c>
      <c r="Y17" s="209">
        <f t="shared" ref="Y17:Y28" si="10">IF(D17="O",IF(X17&lt;0,X17,0),0)</f>
        <v>0</v>
      </c>
      <c r="Z17" s="209">
        <f t="shared" ref="Z17:Z28" si="11">IF(B17="IND",N17,0)</f>
        <v>0</v>
      </c>
      <c r="AA17" s="205">
        <f t="shared" ref="AA17:AA28" si="12">IF(D17="O",IF(Z17&lt;0,Z17,0),0)</f>
        <v>0</v>
      </c>
      <c r="AB17" s="209">
        <f t="shared" ref="AB17:AB28" si="13">IF(B17="CRYPTO",N17,0)</f>
        <v>0</v>
      </c>
      <c r="AC17" s="205">
        <f t="shared" ref="AC17:AC28" si="14">IF(D17="O",IF(AB17&lt;0,AB17,0),0)</f>
        <v>0</v>
      </c>
      <c r="AD17" s="210">
        <f t="shared" ref="AD17:AD28" si="15">IF(K17&lt;&gt;"",K17-E17,0)</f>
        <v>10.268055555556202</v>
      </c>
      <c r="AE17" s="210">
        <f t="shared" ref="AE17:AE28" si="16">IF(N17&gt;0,AD17,0)</f>
        <v>10.268055555556202</v>
      </c>
      <c r="AF17" s="210">
        <f t="shared" ref="AF17:AF28" si="17">IF(N17&lt;0,AD17,0)</f>
        <v>0</v>
      </c>
      <c r="AG17" s="210">
        <f t="shared" ref="AG17:AG28" si="18">IF(N17=0,AD17,0)</f>
        <v>0</v>
      </c>
    </row>
    <row r="18" spans="2:33" ht="15" customHeight="1" x14ac:dyDescent="0.3">
      <c r="B18" s="196" t="s">
        <v>19</v>
      </c>
      <c r="C18" s="197" t="s">
        <v>13</v>
      </c>
      <c r="D18" s="198" t="str">
        <f t="shared" si="0"/>
        <v>C</v>
      </c>
      <c r="E18" s="199">
        <v>43775.875</v>
      </c>
      <c r="F18" s="200" t="s">
        <v>89</v>
      </c>
      <c r="G18" s="201">
        <v>17.594999999999999</v>
      </c>
      <c r="H18" s="201">
        <v>17.885999999999999</v>
      </c>
      <c r="I18" s="202">
        <f t="shared" si="1"/>
        <v>0.29100000000000037</v>
      </c>
      <c r="J18" s="201">
        <v>16.196000000000002</v>
      </c>
      <c r="K18" s="199">
        <v>43782.288194444445</v>
      </c>
      <c r="L18" s="201">
        <v>16.943999999999999</v>
      </c>
      <c r="M18" s="203">
        <f t="shared" si="2"/>
        <v>0.65100000000000002</v>
      </c>
      <c r="N18" s="204">
        <f t="shared" si="3"/>
        <v>2.2400000000000002</v>
      </c>
      <c r="O18" s="205">
        <f t="shared" si="4"/>
        <v>0</v>
      </c>
      <c r="P18" s="206">
        <f t="shared" si="5"/>
        <v>2.2400000000000002</v>
      </c>
      <c r="Q18" s="206">
        <f t="shared" si="6"/>
        <v>0</v>
      </c>
      <c r="R18" s="206" t="str">
        <f ca="1">IF(AND(OFFSET(Tabla336106734820[[#This Row],[Equity]],1,0)="",Tabla336106734820[[#This Row],[No. of Rs]]&lt;0),"Yes",IF(AND(OFFSET(Tabla336106734820[[#This Row],[Initial Losing Trade]],1,0)="Yes",Tabla336106734820[[#This Row],[No. of Rs]]&lt;0),"Yes","No"))</f>
        <v>No</v>
      </c>
      <c r="S18" s="207">
        <f ca="1">IF(OFFSET(Tabla336106734820[[#This Row],[Equity]],1,0)="",IF(Tabla336106734820[[#This Row],[No. of Rs]]="",$F$11,$F$11+($F$11*Tabla336106734820[[#This Row],[No. of Rs]]/100)),IF(Tabla336106734820[[#This Row],[No. of Rs]]="",OFFSET(Tabla336106734820[[#This Row],[Equity]],1,0),OFFSET(Tabla336106734820[[#This Row],[Equity]],1,0)+($F$11*Tabla336106734820[[#This Row],[No. of Rs]]/100)))</f>
        <v>111170</v>
      </c>
      <c r="T18" s="207">
        <f ca="1">IF(OFFSET(Tabla336106734820[[#This Row],[Equity Peak]],1,0)="",IF(Tabla336106734820[[#This Row],[Initial Losing Trade]]="Yes",$F$11,Tabla336106734820[[#This Row],[Equity]]),IF(OFFSET(Tabla336106734820[[#This Row],[Equity Peak]],1,0)&gt;Tabla336106734820[[#This Row],[Equity]],OFFSET(Tabla336106734820[[#This Row],[Equity Peak]],1,0),Tabla336106734820[[#This Row],[Equity]]))</f>
        <v>111170</v>
      </c>
      <c r="U18" s="208" t="str">
        <f ca="1">IF(Tabla336106734820[[#This Row],[Equity]]&lt;Tabla336106734820[[#This Row],[Equity Peak]],(Tabla336106734820[[#This Row],[Equity Peak]]-Tabla336106734820[[#This Row],[Equity]])/Tabla336106734820[[#This Row],[Equity Peak]],"")</f>
        <v/>
      </c>
      <c r="V18" s="209">
        <f t="shared" si="7"/>
        <v>0</v>
      </c>
      <c r="W18" s="209">
        <f t="shared" si="8"/>
        <v>0</v>
      </c>
      <c r="X18" s="209">
        <f t="shared" si="9"/>
        <v>2.2400000000000002</v>
      </c>
      <c r="Y18" s="209">
        <f t="shared" si="10"/>
        <v>0</v>
      </c>
      <c r="Z18" s="209">
        <f t="shared" si="11"/>
        <v>0</v>
      </c>
      <c r="AA18" s="205">
        <f t="shared" si="12"/>
        <v>0</v>
      </c>
      <c r="AB18" s="209">
        <f t="shared" si="13"/>
        <v>0</v>
      </c>
      <c r="AC18" s="205">
        <f t="shared" si="14"/>
        <v>0</v>
      </c>
      <c r="AD18" s="210">
        <f t="shared" si="15"/>
        <v>6.4131944444452529</v>
      </c>
      <c r="AE18" s="210">
        <f t="shared" si="16"/>
        <v>6.4131944444452529</v>
      </c>
      <c r="AF18" s="210">
        <f t="shared" si="17"/>
        <v>0</v>
      </c>
      <c r="AG18" s="210">
        <f t="shared" si="18"/>
        <v>0</v>
      </c>
    </row>
    <row r="19" spans="2:33" ht="15" customHeight="1" x14ac:dyDescent="0.3">
      <c r="B19" s="196" t="s">
        <v>19</v>
      </c>
      <c r="C19" s="197" t="s">
        <v>15</v>
      </c>
      <c r="D19" s="198" t="str">
        <f t="shared" si="0"/>
        <v>C</v>
      </c>
      <c r="E19" s="199">
        <v>43762.875</v>
      </c>
      <c r="F19" s="200" t="s">
        <v>89</v>
      </c>
      <c r="G19" s="201">
        <v>17.8</v>
      </c>
      <c r="H19" s="201">
        <v>17.491</v>
      </c>
      <c r="I19" s="202">
        <f t="shared" si="1"/>
        <v>0.30900000000000105</v>
      </c>
      <c r="J19" s="201">
        <v>19.283999999999999</v>
      </c>
      <c r="K19" s="199">
        <v>43766.652083333334</v>
      </c>
      <c r="L19" s="201">
        <v>17.78</v>
      </c>
      <c r="M19" s="203">
        <f t="shared" si="2"/>
        <v>-0.02</v>
      </c>
      <c r="N19" s="204">
        <f t="shared" si="3"/>
        <v>-0.06</v>
      </c>
      <c r="O19" s="205">
        <f t="shared" si="4"/>
        <v>0</v>
      </c>
      <c r="P19" s="206">
        <f t="shared" si="5"/>
        <v>0</v>
      </c>
      <c r="Q19" s="206">
        <f t="shared" si="6"/>
        <v>-0.06</v>
      </c>
      <c r="R19" s="206" t="str">
        <f ca="1">IF(AND(OFFSET(Tabla336106734820[[#This Row],[Equity]],1,0)="",Tabla336106734820[[#This Row],[No. of Rs]]&lt;0),"Yes",IF(AND(OFFSET(Tabla336106734820[[#This Row],[Initial Losing Trade]],1,0)="Yes",Tabla336106734820[[#This Row],[No. of Rs]]&lt;0),"Yes","No"))</f>
        <v>No</v>
      </c>
      <c r="S19" s="207">
        <f ca="1">IF(OFFSET(Tabla336106734820[[#This Row],[Equity]],1,0)="",IF(Tabla336106734820[[#This Row],[No. of Rs]]="",$F$11,$F$11+($F$11*Tabla336106734820[[#This Row],[No. of Rs]]/100)),IF(Tabla336106734820[[#This Row],[No. of Rs]]="",OFFSET(Tabla336106734820[[#This Row],[Equity]],1,0),OFFSET(Tabla336106734820[[#This Row],[Equity]],1,0)+($F$11*Tabla336106734820[[#This Row],[No. of Rs]]/100)))</f>
        <v>108930</v>
      </c>
      <c r="T19" s="207">
        <f ca="1">IF(OFFSET(Tabla336106734820[[#This Row],[Equity Peak]],1,0)="",IF(Tabla336106734820[[#This Row],[Initial Losing Trade]]="Yes",$F$11,Tabla336106734820[[#This Row],[Equity]]),IF(OFFSET(Tabla336106734820[[#This Row],[Equity Peak]],1,0)&gt;Tabla336106734820[[#This Row],[Equity]],OFFSET(Tabla336106734820[[#This Row],[Equity Peak]],1,0),Tabla336106734820[[#This Row],[Equity]]))</f>
        <v>109100</v>
      </c>
      <c r="U19" s="208">
        <f ca="1">IF(Tabla336106734820[[#This Row],[Equity]]&lt;Tabla336106734820[[#This Row],[Equity Peak]],(Tabla336106734820[[#This Row],[Equity Peak]]-Tabla336106734820[[#This Row],[Equity]])/Tabla336106734820[[#This Row],[Equity Peak]],"")</f>
        <v>1.5582034830430797E-3</v>
      </c>
      <c r="V19" s="209">
        <f t="shared" si="7"/>
        <v>0</v>
      </c>
      <c r="W19" s="209">
        <f t="shared" si="8"/>
        <v>0</v>
      </c>
      <c r="X19" s="209">
        <f t="shared" si="9"/>
        <v>-0.06</v>
      </c>
      <c r="Y19" s="209">
        <f t="shared" si="10"/>
        <v>0</v>
      </c>
      <c r="Z19" s="209">
        <f t="shared" si="11"/>
        <v>0</v>
      </c>
      <c r="AA19" s="205">
        <f t="shared" si="12"/>
        <v>0</v>
      </c>
      <c r="AB19" s="209">
        <f t="shared" si="13"/>
        <v>0</v>
      </c>
      <c r="AC19" s="205">
        <f t="shared" si="14"/>
        <v>0</v>
      </c>
      <c r="AD19" s="210">
        <f t="shared" si="15"/>
        <v>3.7770833333343035</v>
      </c>
      <c r="AE19" s="210">
        <f t="shared" si="16"/>
        <v>0</v>
      </c>
      <c r="AF19" s="210">
        <f t="shared" si="17"/>
        <v>3.7770833333343035</v>
      </c>
      <c r="AG19" s="210">
        <f t="shared" si="18"/>
        <v>0</v>
      </c>
    </row>
    <row r="20" spans="2:33" ht="15" customHeight="1" x14ac:dyDescent="0.3">
      <c r="B20" s="196" t="s">
        <v>19</v>
      </c>
      <c r="C20" s="197" t="s">
        <v>13</v>
      </c>
      <c r="D20" s="198" t="str">
        <f t="shared" si="0"/>
        <v>C</v>
      </c>
      <c r="E20" s="199">
        <v>43735.208333333336</v>
      </c>
      <c r="F20" s="200" t="s">
        <v>89</v>
      </c>
      <c r="G20" s="201">
        <v>17.837</v>
      </c>
      <c r="H20" s="201">
        <v>18.292999999999999</v>
      </c>
      <c r="I20" s="202">
        <f t="shared" si="1"/>
        <v>0.45599999999999952</v>
      </c>
      <c r="J20" s="201">
        <v>15.648</v>
      </c>
      <c r="K20" s="199">
        <v>43739.787499999999</v>
      </c>
      <c r="L20" s="201">
        <v>17.268000000000001</v>
      </c>
      <c r="M20" s="203">
        <f t="shared" si="2"/>
        <v>0.56899999999999995</v>
      </c>
      <c r="N20" s="204">
        <f t="shared" si="3"/>
        <v>1.25</v>
      </c>
      <c r="O20" s="205">
        <f t="shared" si="4"/>
        <v>0</v>
      </c>
      <c r="P20" s="206">
        <f t="shared" si="5"/>
        <v>1.25</v>
      </c>
      <c r="Q20" s="206">
        <f t="shared" si="6"/>
        <v>0</v>
      </c>
      <c r="R20" s="206" t="str">
        <f ca="1">IF(AND(OFFSET(Tabla336106734820[[#This Row],[Equity]],1,0)="",Tabla336106734820[[#This Row],[No. of Rs]]&lt;0),"Yes",IF(AND(OFFSET(Tabla336106734820[[#This Row],[Initial Losing Trade]],1,0)="Yes",Tabla336106734820[[#This Row],[No. of Rs]]&lt;0),"Yes","No"))</f>
        <v>No</v>
      </c>
      <c r="S20" s="207">
        <f ca="1">IF(OFFSET(Tabla336106734820[[#This Row],[Equity]],1,0)="",IF(Tabla336106734820[[#This Row],[No. of Rs]]="",$F$11,$F$11+($F$11*Tabla336106734820[[#This Row],[No. of Rs]]/100)),IF(Tabla336106734820[[#This Row],[No. of Rs]]="",OFFSET(Tabla336106734820[[#This Row],[Equity]],1,0),OFFSET(Tabla336106734820[[#This Row],[Equity]],1,0)+($F$11*Tabla336106734820[[#This Row],[No. of Rs]]/100)))</f>
        <v>108990</v>
      </c>
      <c r="T20" s="207">
        <f ca="1">IF(OFFSET(Tabla336106734820[[#This Row],[Equity Peak]],1,0)="",IF(Tabla336106734820[[#This Row],[Initial Losing Trade]]="Yes",$F$11,Tabla336106734820[[#This Row],[Equity]]),IF(OFFSET(Tabla336106734820[[#This Row],[Equity Peak]],1,0)&gt;Tabla336106734820[[#This Row],[Equity]],OFFSET(Tabla336106734820[[#This Row],[Equity Peak]],1,0),Tabla336106734820[[#This Row],[Equity]]))</f>
        <v>109100</v>
      </c>
      <c r="U20" s="208">
        <f ca="1">IF(Tabla336106734820[[#This Row],[Equity]]&lt;Tabla336106734820[[#This Row],[Equity Peak]],(Tabla336106734820[[#This Row],[Equity Peak]]-Tabla336106734820[[#This Row],[Equity]])/Tabla336106734820[[#This Row],[Equity Peak]],"")</f>
        <v>1.0082493125572868E-3</v>
      </c>
      <c r="V20" s="209">
        <f t="shared" si="7"/>
        <v>0</v>
      </c>
      <c r="W20" s="209">
        <f t="shared" si="8"/>
        <v>0</v>
      </c>
      <c r="X20" s="209">
        <f t="shared" si="9"/>
        <v>1.25</v>
      </c>
      <c r="Y20" s="209">
        <f t="shared" si="10"/>
        <v>0</v>
      </c>
      <c r="Z20" s="209">
        <f t="shared" si="11"/>
        <v>0</v>
      </c>
      <c r="AA20" s="205">
        <f t="shared" si="12"/>
        <v>0</v>
      </c>
      <c r="AB20" s="209">
        <f t="shared" si="13"/>
        <v>0</v>
      </c>
      <c r="AC20" s="205">
        <f t="shared" si="14"/>
        <v>0</v>
      </c>
      <c r="AD20" s="210">
        <f t="shared" si="15"/>
        <v>4.5791666666627862</v>
      </c>
      <c r="AE20" s="210">
        <f t="shared" si="16"/>
        <v>4.5791666666627862</v>
      </c>
      <c r="AF20" s="210">
        <f t="shared" si="17"/>
        <v>0</v>
      </c>
      <c r="AG20" s="210">
        <f t="shared" si="18"/>
        <v>0</v>
      </c>
    </row>
    <row r="21" spans="2:33" ht="15" customHeight="1" x14ac:dyDescent="0.3">
      <c r="B21" s="196" t="s">
        <v>19</v>
      </c>
      <c r="C21" s="197" t="s">
        <v>15</v>
      </c>
      <c r="D21" s="198" t="str">
        <f t="shared" si="0"/>
        <v>C</v>
      </c>
      <c r="E21" s="199">
        <v>43731.875</v>
      </c>
      <c r="F21" s="200" t="s">
        <v>89</v>
      </c>
      <c r="G21" s="201">
        <v>18.62</v>
      </c>
      <c r="H21" s="201">
        <v>18.138999999999999</v>
      </c>
      <c r="I21" s="202">
        <f t="shared" si="1"/>
        <v>0.48100000000000165</v>
      </c>
      <c r="J21" s="201">
        <v>20.925999999999998</v>
      </c>
      <c r="K21" s="199">
        <v>43733.789583333331</v>
      </c>
      <c r="L21" s="201">
        <v>18.138999999999999</v>
      </c>
      <c r="M21" s="203">
        <f t="shared" si="2"/>
        <v>-0.48099999999999998</v>
      </c>
      <c r="N21" s="204">
        <f t="shared" si="3"/>
        <v>-1</v>
      </c>
      <c r="O21" s="205">
        <f t="shared" si="4"/>
        <v>0</v>
      </c>
      <c r="P21" s="206">
        <f t="shared" si="5"/>
        <v>0</v>
      </c>
      <c r="Q21" s="206">
        <f t="shared" si="6"/>
        <v>-1</v>
      </c>
      <c r="R21" s="206" t="str">
        <f ca="1">IF(AND(OFFSET(Tabla336106734820[[#This Row],[Equity]],1,0)="",Tabla336106734820[[#This Row],[No. of Rs]]&lt;0),"Yes",IF(AND(OFFSET(Tabla336106734820[[#This Row],[Initial Losing Trade]],1,0)="Yes",Tabla336106734820[[#This Row],[No. of Rs]]&lt;0),"Yes","No"))</f>
        <v>No</v>
      </c>
      <c r="S21" s="207">
        <f ca="1">IF(OFFSET(Tabla336106734820[[#This Row],[Equity]],1,0)="",IF(Tabla336106734820[[#This Row],[No. of Rs]]="",$F$11,$F$11+($F$11*Tabla336106734820[[#This Row],[No. of Rs]]/100)),IF(Tabla336106734820[[#This Row],[No. of Rs]]="",OFFSET(Tabla336106734820[[#This Row],[Equity]],1,0),OFFSET(Tabla336106734820[[#This Row],[Equity]],1,0)+($F$11*Tabla336106734820[[#This Row],[No. of Rs]]/100)))</f>
        <v>107740</v>
      </c>
      <c r="T21" s="207">
        <f ca="1">IF(OFFSET(Tabla336106734820[[#This Row],[Equity Peak]],1,0)="",IF(Tabla336106734820[[#This Row],[Initial Losing Trade]]="Yes",$F$11,Tabla336106734820[[#This Row],[Equity]]),IF(OFFSET(Tabla336106734820[[#This Row],[Equity Peak]],1,0)&gt;Tabla336106734820[[#This Row],[Equity]],OFFSET(Tabla336106734820[[#This Row],[Equity Peak]],1,0),Tabla336106734820[[#This Row],[Equity]]))</f>
        <v>109100</v>
      </c>
      <c r="U21" s="208">
        <f ca="1">IF(Tabla336106734820[[#This Row],[Equity]]&lt;Tabla336106734820[[#This Row],[Equity Peak]],(Tabla336106734820[[#This Row],[Equity Peak]]-Tabla336106734820[[#This Row],[Equity]])/Tabla336106734820[[#This Row],[Equity Peak]],"")</f>
        <v>1.2465627864344637E-2</v>
      </c>
      <c r="V21" s="209">
        <f t="shared" si="7"/>
        <v>0</v>
      </c>
      <c r="W21" s="209">
        <f t="shared" si="8"/>
        <v>0</v>
      </c>
      <c r="X21" s="209">
        <f t="shared" si="9"/>
        <v>-1</v>
      </c>
      <c r="Y21" s="209">
        <f t="shared" si="10"/>
        <v>0</v>
      </c>
      <c r="Z21" s="209">
        <f t="shared" si="11"/>
        <v>0</v>
      </c>
      <c r="AA21" s="205">
        <f t="shared" si="12"/>
        <v>0</v>
      </c>
      <c r="AB21" s="209">
        <f t="shared" si="13"/>
        <v>0</v>
      </c>
      <c r="AC21" s="205">
        <f t="shared" si="14"/>
        <v>0</v>
      </c>
      <c r="AD21" s="210">
        <f t="shared" si="15"/>
        <v>1.9145833333313931</v>
      </c>
      <c r="AE21" s="210">
        <f t="shared" si="16"/>
        <v>0</v>
      </c>
      <c r="AF21" s="210">
        <f t="shared" si="17"/>
        <v>1.9145833333313931</v>
      </c>
      <c r="AG21" s="210">
        <f t="shared" si="18"/>
        <v>0</v>
      </c>
    </row>
    <row r="22" spans="2:33" ht="15" customHeight="1" x14ac:dyDescent="0.3">
      <c r="B22" s="196" t="s">
        <v>19</v>
      </c>
      <c r="C22" s="197" t="s">
        <v>13</v>
      </c>
      <c r="D22" s="198" t="str">
        <f t="shared" si="0"/>
        <v>C</v>
      </c>
      <c r="E22" s="199">
        <v>43721.375</v>
      </c>
      <c r="F22" s="200" t="s">
        <v>89</v>
      </c>
      <c r="G22" s="201">
        <v>18.071000000000002</v>
      </c>
      <c r="H22" s="201">
        <v>18.559999999999999</v>
      </c>
      <c r="I22" s="202">
        <f t="shared" si="1"/>
        <v>0.48899999999999721</v>
      </c>
      <c r="J22" s="201">
        <v>15.726000000000001</v>
      </c>
      <c r="K22" s="199">
        <v>43731.257638888892</v>
      </c>
      <c r="L22" s="201">
        <v>18.248999999999999</v>
      </c>
      <c r="M22" s="203">
        <f t="shared" si="2"/>
        <v>-0.17799999999999999</v>
      </c>
      <c r="N22" s="204">
        <f t="shared" si="3"/>
        <v>-0.36</v>
      </c>
      <c r="O22" s="205">
        <f t="shared" si="4"/>
        <v>0</v>
      </c>
      <c r="P22" s="206">
        <f t="shared" si="5"/>
        <v>0</v>
      </c>
      <c r="Q22" s="206">
        <f t="shared" si="6"/>
        <v>-0.36</v>
      </c>
      <c r="R22" s="206" t="str">
        <f ca="1">IF(AND(OFFSET(Tabla336106734820[[#This Row],[Equity]],1,0)="",Tabla336106734820[[#This Row],[No. of Rs]]&lt;0),"Yes",IF(AND(OFFSET(Tabla336106734820[[#This Row],[Initial Losing Trade]],1,0)="Yes",Tabla336106734820[[#This Row],[No. of Rs]]&lt;0),"Yes","No"))</f>
        <v>No</v>
      </c>
      <c r="S22" s="207">
        <f ca="1">IF(OFFSET(Tabla336106734820[[#This Row],[Equity]],1,0)="",IF(Tabla336106734820[[#This Row],[No. of Rs]]="",$F$11,$F$11+($F$11*Tabla336106734820[[#This Row],[No. of Rs]]/100)),IF(Tabla336106734820[[#This Row],[No. of Rs]]="",OFFSET(Tabla336106734820[[#This Row],[Equity]],1,0),OFFSET(Tabla336106734820[[#This Row],[Equity]],1,0)+($F$11*Tabla336106734820[[#This Row],[No. of Rs]]/100)))</f>
        <v>108740</v>
      </c>
      <c r="T22" s="207">
        <f ca="1">IF(OFFSET(Tabla336106734820[[#This Row],[Equity Peak]],1,0)="",IF(Tabla336106734820[[#This Row],[Initial Losing Trade]]="Yes",$F$11,Tabla336106734820[[#This Row],[Equity]]),IF(OFFSET(Tabla336106734820[[#This Row],[Equity Peak]],1,0)&gt;Tabla336106734820[[#This Row],[Equity]],OFFSET(Tabla336106734820[[#This Row],[Equity Peak]],1,0),Tabla336106734820[[#This Row],[Equity]]))</f>
        <v>109100</v>
      </c>
      <c r="U22" s="208">
        <f ca="1">IF(Tabla336106734820[[#This Row],[Equity]]&lt;Tabla336106734820[[#This Row],[Equity Peak]],(Tabla336106734820[[#This Row],[Equity Peak]]-Tabla336106734820[[#This Row],[Equity]])/Tabla336106734820[[#This Row],[Equity Peak]],"")</f>
        <v>3.2997250229147572E-3</v>
      </c>
      <c r="V22" s="209">
        <f t="shared" si="7"/>
        <v>0</v>
      </c>
      <c r="W22" s="209">
        <f t="shared" si="8"/>
        <v>0</v>
      </c>
      <c r="X22" s="209">
        <f t="shared" si="9"/>
        <v>-0.36</v>
      </c>
      <c r="Y22" s="209">
        <f t="shared" si="10"/>
        <v>0</v>
      </c>
      <c r="Z22" s="209">
        <f t="shared" si="11"/>
        <v>0</v>
      </c>
      <c r="AA22" s="205">
        <f t="shared" si="12"/>
        <v>0</v>
      </c>
      <c r="AB22" s="209">
        <f t="shared" si="13"/>
        <v>0</v>
      </c>
      <c r="AC22" s="205">
        <f t="shared" si="14"/>
        <v>0</v>
      </c>
      <c r="AD22" s="210">
        <f t="shared" si="15"/>
        <v>9.882638888891961</v>
      </c>
      <c r="AE22" s="210">
        <f t="shared" si="16"/>
        <v>0</v>
      </c>
      <c r="AF22" s="210">
        <f t="shared" si="17"/>
        <v>9.882638888891961</v>
      </c>
      <c r="AG22" s="210">
        <f t="shared" si="18"/>
        <v>0</v>
      </c>
    </row>
    <row r="23" spans="2:33" ht="15" customHeight="1" x14ac:dyDescent="0.3">
      <c r="B23" s="196" t="s">
        <v>19</v>
      </c>
      <c r="C23" s="197" t="s">
        <v>15</v>
      </c>
      <c r="D23" s="198" t="str">
        <f t="shared" si="0"/>
        <v>C</v>
      </c>
      <c r="E23" s="199">
        <v>43684.375</v>
      </c>
      <c r="F23" s="200" t="s">
        <v>89</v>
      </c>
      <c r="G23" s="201">
        <v>16.713999999999999</v>
      </c>
      <c r="H23" s="201">
        <v>16.413</v>
      </c>
      <c r="I23" s="202">
        <f t="shared" si="1"/>
        <v>0.30099999999999838</v>
      </c>
      <c r="J23" s="201">
        <v>18.161000000000001</v>
      </c>
      <c r="K23" s="199">
        <v>43690.59375</v>
      </c>
      <c r="L23" s="201">
        <v>17.23</v>
      </c>
      <c r="M23" s="203">
        <f t="shared" si="2"/>
        <v>0.51600000000000001</v>
      </c>
      <c r="N23" s="204">
        <f t="shared" si="3"/>
        <v>1.71</v>
      </c>
      <c r="O23" s="205">
        <f t="shared" si="4"/>
        <v>0</v>
      </c>
      <c r="P23" s="206">
        <f t="shared" si="5"/>
        <v>1.71</v>
      </c>
      <c r="Q23" s="206">
        <f t="shared" si="6"/>
        <v>0</v>
      </c>
      <c r="R23" s="206" t="str">
        <f ca="1">IF(AND(OFFSET(Tabla336106734820[[#This Row],[Equity]],1,0)="",Tabla336106734820[[#This Row],[No. of Rs]]&lt;0),"Yes",IF(AND(OFFSET(Tabla336106734820[[#This Row],[Initial Losing Trade]],1,0)="Yes",Tabla336106734820[[#This Row],[No. of Rs]]&lt;0),"Yes","No"))</f>
        <v>No</v>
      </c>
      <c r="S23" s="207">
        <f ca="1">IF(OFFSET(Tabla336106734820[[#This Row],[Equity]],1,0)="",IF(Tabla336106734820[[#This Row],[No. of Rs]]="",$F$11,$F$11+($F$11*Tabla336106734820[[#This Row],[No. of Rs]]/100)),IF(Tabla336106734820[[#This Row],[No. of Rs]]="",OFFSET(Tabla336106734820[[#This Row],[Equity]],1,0),OFFSET(Tabla336106734820[[#This Row],[Equity]],1,0)+($F$11*Tabla336106734820[[#This Row],[No. of Rs]]/100)))</f>
        <v>109100</v>
      </c>
      <c r="T23" s="207">
        <f ca="1">IF(OFFSET(Tabla336106734820[[#This Row],[Equity Peak]],1,0)="",IF(Tabla336106734820[[#This Row],[Initial Losing Trade]]="Yes",$F$11,Tabla336106734820[[#This Row],[Equity]]),IF(OFFSET(Tabla336106734820[[#This Row],[Equity Peak]],1,0)&gt;Tabla336106734820[[#This Row],[Equity]],OFFSET(Tabla336106734820[[#This Row],[Equity Peak]],1,0),Tabla336106734820[[#This Row],[Equity]]))</f>
        <v>109100</v>
      </c>
      <c r="U23" s="208" t="str">
        <f ca="1">IF(Tabla336106734820[[#This Row],[Equity]]&lt;Tabla336106734820[[#This Row],[Equity Peak]],(Tabla336106734820[[#This Row],[Equity Peak]]-Tabla336106734820[[#This Row],[Equity]])/Tabla336106734820[[#This Row],[Equity Peak]],"")</f>
        <v/>
      </c>
      <c r="V23" s="209">
        <f t="shared" si="7"/>
        <v>0</v>
      </c>
      <c r="W23" s="209">
        <f t="shared" si="8"/>
        <v>0</v>
      </c>
      <c r="X23" s="209">
        <f t="shared" si="9"/>
        <v>1.71</v>
      </c>
      <c r="Y23" s="209">
        <f t="shared" si="10"/>
        <v>0</v>
      </c>
      <c r="Z23" s="209">
        <f t="shared" si="11"/>
        <v>0</v>
      </c>
      <c r="AA23" s="205">
        <f t="shared" si="12"/>
        <v>0</v>
      </c>
      <c r="AB23" s="209">
        <f t="shared" si="13"/>
        <v>0</v>
      </c>
      <c r="AC23" s="205">
        <f t="shared" si="14"/>
        <v>0</v>
      </c>
      <c r="AD23" s="210">
        <f t="shared" si="15"/>
        <v>6.21875</v>
      </c>
      <c r="AE23" s="210">
        <f t="shared" si="16"/>
        <v>6.21875</v>
      </c>
      <c r="AF23" s="210">
        <f t="shared" si="17"/>
        <v>0</v>
      </c>
      <c r="AG23" s="210">
        <f t="shared" si="18"/>
        <v>0</v>
      </c>
    </row>
    <row r="24" spans="2:33" ht="15" customHeight="1" x14ac:dyDescent="0.3">
      <c r="B24" s="196" t="s">
        <v>19</v>
      </c>
      <c r="C24" s="197" t="s">
        <v>15</v>
      </c>
      <c r="D24" s="198" t="str">
        <f t="shared" si="0"/>
        <v>C</v>
      </c>
      <c r="E24" s="199">
        <v>43657.375</v>
      </c>
      <c r="F24" s="200" t="s">
        <v>89</v>
      </c>
      <c r="G24" s="201">
        <v>15.272</v>
      </c>
      <c r="H24" s="201">
        <v>15.028</v>
      </c>
      <c r="I24" s="202">
        <f t="shared" si="1"/>
        <v>0.24399999999999977</v>
      </c>
      <c r="J24" s="201">
        <v>16.442</v>
      </c>
      <c r="K24" s="199">
        <v>43665.213888888888</v>
      </c>
      <c r="L24" s="201">
        <v>16.442</v>
      </c>
      <c r="M24" s="203">
        <f t="shared" si="2"/>
        <v>1.17</v>
      </c>
      <c r="N24" s="204">
        <f t="shared" si="3"/>
        <v>4.8</v>
      </c>
      <c r="O24" s="205">
        <f t="shared" si="4"/>
        <v>0</v>
      </c>
      <c r="P24" s="206">
        <f t="shared" si="5"/>
        <v>4.8</v>
      </c>
      <c r="Q24" s="206">
        <f t="shared" si="6"/>
        <v>0</v>
      </c>
      <c r="R24" s="206" t="str">
        <f ca="1">IF(AND(OFFSET(Tabla336106734820[[#This Row],[Equity]],1,0)="",Tabla336106734820[[#This Row],[No. of Rs]]&lt;0),"Yes",IF(AND(OFFSET(Tabla336106734820[[#This Row],[Initial Losing Trade]],1,0)="Yes",Tabla336106734820[[#This Row],[No. of Rs]]&lt;0),"Yes","No"))</f>
        <v>No</v>
      </c>
      <c r="S24" s="207">
        <f ca="1">IF(OFFSET(Tabla336106734820[[#This Row],[Equity]],1,0)="",IF(Tabla336106734820[[#This Row],[No. of Rs]]="",$F$11,$F$11+($F$11*Tabla336106734820[[#This Row],[No. of Rs]]/100)),IF(Tabla336106734820[[#This Row],[No. of Rs]]="",OFFSET(Tabla336106734820[[#This Row],[Equity]],1,0),OFFSET(Tabla336106734820[[#This Row],[Equity]],1,0)+($F$11*Tabla336106734820[[#This Row],[No. of Rs]]/100)))</f>
        <v>107390</v>
      </c>
      <c r="T24" s="207">
        <f ca="1">IF(OFFSET(Tabla336106734820[[#This Row],[Equity Peak]],1,0)="",IF(Tabla336106734820[[#This Row],[Initial Losing Trade]]="Yes",$F$11,Tabla336106734820[[#This Row],[Equity]]),IF(OFFSET(Tabla336106734820[[#This Row],[Equity Peak]],1,0)&gt;Tabla336106734820[[#This Row],[Equity]],OFFSET(Tabla336106734820[[#This Row],[Equity Peak]],1,0),Tabla336106734820[[#This Row],[Equity]]))</f>
        <v>107390</v>
      </c>
      <c r="U24" s="208" t="str">
        <f ca="1">IF(Tabla336106734820[[#This Row],[Equity]]&lt;Tabla336106734820[[#This Row],[Equity Peak]],(Tabla336106734820[[#This Row],[Equity Peak]]-Tabla336106734820[[#This Row],[Equity]])/Tabla336106734820[[#This Row],[Equity Peak]],"")</f>
        <v/>
      </c>
      <c r="V24" s="209">
        <f t="shared" si="7"/>
        <v>0</v>
      </c>
      <c r="W24" s="209">
        <f t="shared" si="8"/>
        <v>0</v>
      </c>
      <c r="X24" s="209">
        <f t="shared" si="9"/>
        <v>4.8</v>
      </c>
      <c r="Y24" s="209">
        <f t="shared" si="10"/>
        <v>0</v>
      </c>
      <c r="Z24" s="209">
        <f t="shared" si="11"/>
        <v>0</v>
      </c>
      <c r="AA24" s="205">
        <f t="shared" si="12"/>
        <v>0</v>
      </c>
      <c r="AB24" s="209">
        <f t="shared" si="13"/>
        <v>0</v>
      </c>
      <c r="AC24" s="205">
        <f t="shared" si="14"/>
        <v>0</v>
      </c>
      <c r="AD24" s="210">
        <f t="shared" si="15"/>
        <v>7.8388888888875954</v>
      </c>
      <c r="AE24" s="210">
        <f t="shared" si="16"/>
        <v>7.8388888888875954</v>
      </c>
      <c r="AF24" s="210">
        <f t="shared" si="17"/>
        <v>0</v>
      </c>
      <c r="AG24" s="210">
        <f t="shared" si="18"/>
        <v>0</v>
      </c>
    </row>
    <row r="25" spans="2:33" ht="15" customHeight="1" x14ac:dyDescent="0.3">
      <c r="B25" s="196" t="s">
        <v>19</v>
      </c>
      <c r="C25" s="197" t="s">
        <v>13</v>
      </c>
      <c r="D25" s="198" t="str">
        <f t="shared" si="0"/>
        <v>C</v>
      </c>
      <c r="E25" s="199">
        <v>43654.708333333336</v>
      </c>
      <c r="F25" s="200" t="s">
        <v>89</v>
      </c>
      <c r="G25" s="201">
        <v>15.073</v>
      </c>
      <c r="H25" s="201">
        <v>15.324999999999999</v>
      </c>
      <c r="I25" s="202">
        <f t="shared" si="1"/>
        <v>0.25199999999999889</v>
      </c>
      <c r="J25" s="201">
        <v>13.865</v>
      </c>
      <c r="K25" s="199">
        <v>43657.375</v>
      </c>
      <c r="L25" s="201">
        <v>15.272</v>
      </c>
      <c r="M25" s="203">
        <f t="shared" si="2"/>
        <v>-0.19900000000000001</v>
      </c>
      <c r="N25" s="204">
        <f t="shared" si="3"/>
        <v>-0.79</v>
      </c>
      <c r="O25" s="205">
        <f t="shared" si="4"/>
        <v>0</v>
      </c>
      <c r="P25" s="206">
        <f t="shared" si="5"/>
        <v>0</v>
      </c>
      <c r="Q25" s="206">
        <f t="shared" si="6"/>
        <v>-0.79</v>
      </c>
      <c r="R25" s="206" t="str">
        <f ca="1">IF(AND(OFFSET(Tabla336106734820[[#This Row],[Equity]],1,0)="",Tabla336106734820[[#This Row],[No. of Rs]]&lt;0),"Yes",IF(AND(OFFSET(Tabla336106734820[[#This Row],[Initial Losing Trade]],1,0)="Yes",Tabla336106734820[[#This Row],[No. of Rs]]&lt;0),"Yes","No"))</f>
        <v>No</v>
      </c>
      <c r="S25" s="207">
        <f ca="1">IF(OFFSET(Tabla336106734820[[#This Row],[Equity]],1,0)="",IF(Tabla336106734820[[#This Row],[No. of Rs]]="",$F$11,$F$11+($F$11*Tabla336106734820[[#This Row],[No. of Rs]]/100)),IF(Tabla336106734820[[#This Row],[No. of Rs]]="",OFFSET(Tabla336106734820[[#This Row],[Equity]],1,0),OFFSET(Tabla336106734820[[#This Row],[Equity]],1,0)+($F$11*Tabla336106734820[[#This Row],[No. of Rs]]/100)))</f>
        <v>102590</v>
      </c>
      <c r="T25" s="207">
        <f ca="1">IF(OFFSET(Tabla336106734820[[#This Row],[Equity Peak]],1,0)="",IF(Tabla336106734820[[#This Row],[Initial Losing Trade]]="Yes",$F$11,Tabla336106734820[[#This Row],[Equity]]),IF(OFFSET(Tabla336106734820[[#This Row],[Equity Peak]],1,0)&gt;Tabla336106734820[[#This Row],[Equity]],OFFSET(Tabla336106734820[[#This Row],[Equity Peak]],1,0),Tabla336106734820[[#This Row],[Equity]]))</f>
        <v>104820</v>
      </c>
      <c r="U25" s="208">
        <f ca="1">IF(Tabla336106734820[[#This Row],[Equity]]&lt;Tabla336106734820[[#This Row],[Equity Peak]],(Tabla336106734820[[#This Row],[Equity Peak]]-Tabla336106734820[[#This Row],[Equity]])/Tabla336106734820[[#This Row],[Equity Peak]],"")</f>
        <v>2.1274565922533867E-2</v>
      </c>
      <c r="V25" s="209">
        <f t="shared" si="7"/>
        <v>0</v>
      </c>
      <c r="W25" s="209">
        <f t="shared" si="8"/>
        <v>0</v>
      </c>
      <c r="X25" s="209">
        <f t="shared" si="9"/>
        <v>-0.79</v>
      </c>
      <c r="Y25" s="209">
        <f t="shared" si="10"/>
        <v>0</v>
      </c>
      <c r="Z25" s="209">
        <f t="shared" si="11"/>
        <v>0</v>
      </c>
      <c r="AA25" s="205">
        <f t="shared" si="12"/>
        <v>0</v>
      </c>
      <c r="AB25" s="209">
        <f t="shared" si="13"/>
        <v>0</v>
      </c>
      <c r="AC25" s="205">
        <f t="shared" si="14"/>
        <v>0</v>
      </c>
      <c r="AD25" s="210">
        <f t="shared" si="15"/>
        <v>2.6666666666642413</v>
      </c>
      <c r="AE25" s="210">
        <f t="shared" si="16"/>
        <v>0</v>
      </c>
      <c r="AF25" s="210">
        <f t="shared" si="17"/>
        <v>2.6666666666642413</v>
      </c>
      <c r="AG25" s="210">
        <f t="shared" si="18"/>
        <v>0</v>
      </c>
    </row>
    <row r="26" spans="2:33" ht="15" customHeight="1" x14ac:dyDescent="0.3">
      <c r="B26" s="196" t="s">
        <v>19</v>
      </c>
      <c r="C26" s="197" t="s">
        <v>15</v>
      </c>
      <c r="D26" s="198" t="str">
        <f t="shared" si="0"/>
        <v>C</v>
      </c>
      <c r="E26" s="199">
        <v>43620.208333333336</v>
      </c>
      <c r="F26" s="200" t="s">
        <v>89</v>
      </c>
      <c r="G26" s="201">
        <v>14.773999999999999</v>
      </c>
      <c r="H26" s="201">
        <v>14.62</v>
      </c>
      <c r="I26" s="202">
        <f t="shared" si="1"/>
        <v>0.15399999999999991</v>
      </c>
      <c r="J26" s="201">
        <v>15.515000000000001</v>
      </c>
      <c r="K26" s="199">
        <v>43626.457638888889</v>
      </c>
      <c r="L26" s="201">
        <v>14.75</v>
      </c>
      <c r="M26" s="203">
        <f t="shared" si="2"/>
        <v>-2.4E-2</v>
      </c>
      <c r="N26" s="204">
        <f t="shared" si="3"/>
        <v>-0.16</v>
      </c>
      <c r="O26" s="205">
        <f t="shared" si="4"/>
        <v>0</v>
      </c>
      <c r="P26" s="206">
        <f t="shared" si="5"/>
        <v>0</v>
      </c>
      <c r="Q26" s="206">
        <f t="shared" si="6"/>
        <v>-0.16</v>
      </c>
      <c r="R26" s="206" t="str">
        <f ca="1">IF(AND(OFFSET(Tabla336106734820[[#This Row],[Equity]],1,0)="",Tabla336106734820[[#This Row],[No. of Rs]]&lt;0),"Yes",IF(AND(OFFSET(Tabla336106734820[[#This Row],[Initial Losing Trade]],1,0)="Yes",Tabla336106734820[[#This Row],[No. of Rs]]&lt;0),"Yes","No"))</f>
        <v>No</v>
      </c>
      <c r="S26" s="207">
        <f ca="1">IF(OFFSET(Tabla336106734820[[#This Row],[Equity]],1,0)="",IF(Tabla336106734820[[#This Row],[No. of Rs]]="",$F$11,$F$11+($F$11*Tabla336106734820[[#This Row],[No. of Rs]]/100)),IF(Tabla336106734820[[#This Row],[No. of Rs]]="",OFFSET(Tabla336106734820[[#This Row],[Equity]],1,0),OFFSET(Tabla336106734820[[#This Row],[Equity]],1,0)+($F$11*Tabla336106734820[[#This Row],[No. of Rs]]/100)))</f>
        <v>103380</v>
      </c>
      <c r="T26" s="207">
        <f ca="1">IF(OFFSET(Tabla336106734820[[#This Row],[Equity Peak]],1,0)="",IF(Tabla336106734820[[#This Row],[Initial Losing Trade]]="Yes",$F$11,Tabla336106734820[[#This Row],[Equity]]),IF(OFFSET(Tabla336106734820[[#This Row],[Equity Peak]],1,0)&gt;Tabla336106734820[[#This Row],[Equity]],OFFSET(Tabla336106734820[[#This Row],[Equity Peak]],1,0),Tabla336106734820[[#This Row],[Equity]]))</f>
        <v>104820</v>
      </c>
      <c r="U26" s="208">
        <f ca="1">IF(Tabla336106734820[[#This Row],[Equity]]&lt;Tabla336106734820[[#This Row],[Equity Peak]],(Tabla336106734820[[#This Row],[Equity Peak]]-Tabla336106734820[[#This Row],[Equity]])/Tabla336106734820[[#This Row],[Equity Peak]],"")</f>
        <v>1.3737836290784202E-2</v>
      </c>
      <c r="V26" s="209">
        <f t="shared" si="7"/>
        <v>0</v>
      </c>
      <c r="W26" s="209">
        <f t="shared" si="8"/>
        <v>0</v>
      </c>
      <c r="X26" s="209">
        <f t="shared" si="9"/>
        <v>-0.16</v>
      </c>
      <c r="Y26" s="209">
        <f t="shared" si="10"/>
        <v>0</v>
      </c>
      <c r="Z26" s="209">
        <f t="shared" si="11"/>
        <v>0</v>
      </c>
      <c r="AA26" s="205">
        <f t="shared" si="12"/>
        <v>0</v>
      </c>
      <c r="AB26" s="209">
        <f t="shared" si="13"/>
        <v>0</v>
      </c>
      <c r="AC26" s="205">
        <f t="shared" si="14"/>
        <v>0</v>
      </c>
      <c r="AD26" s="210">
        <f t="shared" si="15"/>
        <v>6.2493055555532919</v>
      </c>
      <c r="AE26" s="210">
        <f t="shared" si="16"/>
        <v>0</v>
      </c>
      <c r="AF26" s="210">
        <f t="shared" si="17"/>
        <v>6.2493055555532919</v>
      </c>
      <c r="AG26" s="210">
        <f t="shared" si="18"/>
        <v>0</v>
      </c>
    </row>
    <row r="27" spans="2:33" ht="15" customHeight="1" x14ac:dyDescent="0.3">
      <c r="B27" s="196" t="s">
        <v>19</v>
      </c>
      <c r="C27" s="197" t="s">
        <v>13</v>
      </c>
      <c r="D27" s="198" t="str">
        <f t="shared" si="0"/>
        <v>C</v>
      </c>
      <c r="E27" s="199">
        <v>43601.875</v>
      </c>
      <c r="F27" s="200" t="s">
        <v>89</v>
      </c>
      <c r="G27" s="201">
        <v>14.536</v>
      </c>
      <c r="H27" s="201">
        <v>14.72</v>
      </c>
      <c r="I27" s="202">
        <f t="shared" si="1"/>
        <v>0.18400000000000105</v>
      </c>
      <c r="J27" s="201">
        <v>13.654</v>
      </c>
      <c r="K27" s="199">
        <v>43615.814583333333</v>
      </c>
      <c r="L27" s="201">
        <v>14.573</v>
      </c>
      <c r="M27" s="203">
        <f t="shared" si="2"/>
        <v>-3.6999999999999998E-2</v>
      </c>
      <c r="N27" s="204">
        <f t="shared" si="3"/>
        <v>-0.2</v>
      </c>
      <c r="O27" s="205">
        <f t="shared" si="4"/>
        <v>0</v>
      </c>
      <c r="P27" s="206">
        <f t="shared" si="5"/>
        <v>0</v>
      </c>
      <c r="Q27" s="206">
        <f t="shared" si="6"/>
        <v>-0.2</v>
      </c>
      <c r="R27" s="206" t="str">
        <f ca="1">IF(AND(OFFSET(Tabla336106734820[[#This Row],[Equity]],1,0)="",Tabla336106734820[[#This Row],[No. of Rs]]&lt;0),"Yes",IF(AND(OFFSET(Tabla336106734820[[#This Row],[Initial Losing Trade]],1,0)="Yes",Tabla336106734820[[#This Row],[No. of Rs]]&lt;0),"Yes","No"))</f>
        <v>No</v>
      </c>
      <c r="S27" s="207">
        <f ca="1">IF(OFFSET(Tabla336106734820[[#This Row],[Equity]],1,0)="",IF(Tabla336106734820[[#This Row],[No. of Rs]]="",$F$11,$F$11+($F$11*Tabla336106734820[[#This Row],[No. of Rs]]/100)),IF(Tabla336106734820[[#This Row],[No. of Rs]]="",OFFSET(Tabla336106734820[[#This Row],[Equity]],1,0),OFFSET(Tabla336106734820[[#This Row],[Equity]],1,0)+($F$11*Tabla336106734820[[#This Row],[No. of Rs]]/100)))</f>
        <v>103540</v>
      </c>
      <c r="T27" s="207">
        <f ca="1">IF(OFFSET(Tabla336106734820[[#This Row],[Equity Peak]],1,0)="",IF(Tabla336106734820[[#This Row],[Initial Losing Trade]]="Yes",$F$11,Tabla336106734820[[#This Row],[Equity]]),IF(OFFSET(Tabla336106734820[[#This Row],[Equity Peak]],1,0)&gt;Tabla336106734820[[#This Row],[Equity]],OFFSET(Tabla336106734820[[#This Row],[Equity Peak]],1,0),Tabla336106734820[[#This Row],[Equity]]))</f>
        <v>104820</v>
      </c>
      <c r="U27" s="208">
        <f ca="1">IF(Tabla336106734820[[#This Row],[Equity]]&lt;Tabla336106734820[[#This Row],[Equity Peak]],(Tabla336106734820[[#This Row],[Equity Peak]]-Tabla336106734820[[#This Row],[Equity]])/Tabla336106734820[[#This Row],[Equity Peak]],"")</f>
        <v>1.2211410036252623E-2</v>
      </c>
      <c r="V27" s="209">
        <f t="shared" si="7"/>
        <v>0</v>
      </c>
      <c r="W27" s="209">
        <f t="shared" si="8"/>
        <v>0</v>
      </c>
      <c r="X27" s="209">
        <f t="shared" si="9"/>
        <v>-0.2</v>
      </c>
      <c r="Y27" s="209">
        <f t="shared" si="10"/>
        <v>0</v>
      </c>
      <c r="Z27" s="209">
        <f t="shared" si="11"/>
        <v>0</v>
      </c>
      <c r="AA27" s="205">
        <f t="shared" si="12"/>
        <v>0</v>
      </c>
      <c r="AB27" s="209">
        <f t="shared" si="13"/>
        <v>0</v>
      </c>
      <c r="AC27" s="205">
        <f t="shared" si="14"/>
        <v>0</v>
      </c>
      <c r="AD27" s="210">
        <f t="shared" si="15"/>
        <v>13.939583333332848</v>
      </c>
      <c r="AE27" s="210">
        <f t="shared" si="16"/>
        <v>0</v>
      </c>
      <c r="AF27" s="210">
        <f t="shared" si="17"/>
        <v>13.939583333332848</v>
      </c>
      <c r="AG27" s="210">
        <f t="shared" si="18"/>
        <v>0</v>
      </c>
    </row>
    <row r="28" spans="2:33" ht="15" customHeight="1" x14ac:dyDescent="0.3">
      <c r="B28" s="196" t="s">
        <v>19</v>
      </c>
      <c r="C28" s="197" t="s">
        <v>13</v>
      </c>
      <c r="D28" s="198" t="str">
        <f t="shared" si="0"/>
        <v>C</v>
      </c>
      <c r="E28" s="199">
        <v>43552.208333333336</v>
      </c>
      <c r="F28" s="200" t="s">
        <v>89</v>
      </c>
      <c r="G28" s="201">
        <v>15.254</v>
      </c>
      <c r="H28" s="201">
        <v>15.439</v>
      </c>
      <c r="I28" s="202">
        <f t="shared" si="1"/>
        <v>0.1850000000000005</v>
      </c>
      <c r="J28" s="201">
        <v>14.366</v>
      </c>
      <c r="K28" s="199">
        <v>43563.643055555556</v>
      </c>
      <c r="L28" s="201">
        <v>15.269</v>
      </c>
      <c r="M28" s="203">
        <f t="shared" si="2"/>
        <v>-1.4999999999999999E-2</v>
      </c>
      <c r="N28" s="204">
        <f t="shared" si="3"/>
        <v>-0.08</v>
      </c>
      <c r="O28" s="205">
        <f t="shared" si="4"/>
        <v>0</v>
      </c>
      <c r="P28" s="206">
        <f t="shared" si="5"/>
        <v>0</v>
      </c>
      <c r="Q28" s="206">
        <f t="shared" si="6"/>
        <v>-0.08</v>
      </c>
      <c r="R28" s="206" t="str">
        <f ca="1">IF(AND(OFFSET(Tabla336106734820[[#This Row],[Equity]],1,0)="",Tabla336106734820[[#This Row],[No. of Rs]]&lt;0),"Yes",IF(AND(OFFSET(Tabla336106734820[[#This Row],[Initial Losing Trade]],1,0)="Yes",Tabla336106734820[[#This Row],[No. of Rs]]&lt;0),"Yes","No"))</f>
        <v>No</v>
      </c>
      <c r="S28" s="207">
        <f ca="1">IF(OFFSET(Tabla336106734820[[#This Row],[Equity]],1,0)="",IF(Tabla336106734820[[#This Row],[No. of Rs]]="",$F$11,$F$11+($F$11*Tabla336106734820[[#This Row],[No. of Rs]]/100)),IF(Tabla336106734820[[#This Row],[No. of Rs]]="",OFFSET(Tabla336106734820[[#This Row],[Equity]],1,0),OFFSET(Tabla336106734820[[#This Row],[Equity]],1,0)+($F$11*Tabla336106734820[[#This Row],[No. of Rs]]/100)))</f>
        <v>103740</v>
      </c>
      <c r="T28" s="207">
        <f ca="1">IF(OFFSET(Tabla336106734820[[#This Row],[Equity Peak]],1,0)="",IF(Tabla336106734820[[#This Row],[Initial Losing Trade]]="Yes",$F$11,Tabla336106734820[[#This Row],[Equity]]),IF(OFFSET(Tabla336106734820[[#This Row],[Equity Peak]],1,0)&gt;Tabla336106734820[[#This Row],[Equity]],OFFSET(Tabla336106734820[[#This Row],[Equity Peak]],1,0),Tabla336106734820[[#This Row],[Equity]]))</f>
        <v>104820</v>
      </c>
      <c r="U28" s="208">
        <f ca="1">IF(Tabla336106734820[[#This Row],[Equity]]&lt;Tabla336106734820[[#This Row],[Equity Peak]],(Tabla336106734820[[#This Row],[Equity Peak]]-Tabla336106734820[[#This Row],[Equity]])/Tabla336106734820[[#This Row],[Equity Peak]],"")</f>
        <v>1.0303377218088151E-2</v>
      </c>
      <c r="V28" s="209">
        <f t="shared" si="7"/>
        <v>0</v>
      </c>
      <c r="W28" s="209">
        <f t="shared" si="8"/>
        <v>0</v>
      </c>
      <c r="X28" s="209">
        <f t="shared" si="9"/>
        <v>-0.08</v>
      </c>
      <c r="Y28" s="209">
        <f t="shared" si="10"/>
        <v>0</v>
      </c>
      <c r="Z28" s="209">
        <f t="shared" si="11"/>
        <v>0</v>
      </c>
      <c r="AA28" s="205">
        <f t="shared" si="12"/>
        <v>0</v>
      </c>
      <c r="AB28" s="209">
        <f t="shared" si="13"/>
        <v>0</v>
      </c>
      <c r="AC28" s="205">
        <f t="shared" si="14"/>
        <v>0</v>
      </c>
      <c r="AD28" s="210">
        <f t="shared" si="15"/>
        <v>11.434722222220444</v>
      </c>
      <c r="AE28" s="210">
        <f t="shared" si="16"/>
        <v>0</v>
      </c>
      <c r="AF28" s="210">
        <f t="shared" si="17"/>
        <v>11.434722222220444</v>
      </c>
      <c r="AG28" s="210">
        <f t="shared" si="18"/>
        <v>0</v>
      </c>
    </row>
    <row r="29" spans="2:33" ht="15" customHeight="1" x14ac:dyDescent="0.3">
      <c r="B29" s="196" t="s">
        <v>19</v>
      </c>
      <c r="C29" s="197" t="s">
        <v>15</v>
      </c>
      <c r="D29" s="198" t="str">
        <f t="shared" ref="D29:D35" si="19">IF(E29&lt;&gt;"",IF(K29&lt;&gt;"","C","O"),"")</f>
        <v>C</v>
      </c>
      <c r="E29" s="199">
        <v>43545.541666666664</v>
      </c>
      <c r="F29" s="200" t="s">
        <v>89</v>
      </c>
      <c r="G29" s="201">
        <v>15.606999999999999</v>
      </c>
      <c r="H29" s="201">
        <v>15.413</v>
      </c>
      <c r="I29" s="202">
        <f t="shared" ref="I29:I35" si="20">ABS(G29-H29)</f>
        <v>0.19399999999999906</v>
      </c>
      <c r="J29" s="201">
        <v>16.538</v>
      </c>
      <c r="K29" s="199">
        <v>43545.786805555559</v>
      </c>
      <c r="L29" s="201">
        <v>15.413</v>
      </c>
      <c r="M29" s="203">
        <f t="shared" ref="M29:M35" si="21">ROUND(IF(C29="L",(L29-G29),(G29-L29)),4)</f>
        <v>-0.19400000000000001</v>
      </c>
      <c r="N29" s="204">
        <f t="shared" ref="N29:N35" si="22">IFERROR(ROUND((M29/I29),2),"")</f>
        <v>-1</v>
      </c>
      <c r="O29" s="205">
        <f t="shared" ref="O29:O35" si="23">IF(D29="O",IF(N29&lt;0,N29,0),0)</f>
        <v>0</v>
      </c>
      <c r="P29" s="206">
        <f t="shared" ref="P29:P35" si="24">IF(N29&gt;= 0,N29,0)</f>
        <v>0</v>
      </c>
      <c r="Q29" s="206">
        <f t="shared" ref="Q29:Q35" si="25">IF(N29&lt;0,N29,0)</f>
        <v>-1</v>
      </c>
      <c r="R29" s="206" t="str">
        <f ca="1">IF(AND(OFFSET(Tabla336106734820[[#This Row],[Equity]],1,0)="",Tabla336106734820[[#This Row],[No. of Rs]]&lt;0),"Yes",IF(AND(OFFSET(Tabla336106734820[[#This Row],[Initial Losing Trade]],1,0)="Yes",Tabla336106734820[[#This Row],[No. of Rs]]&lt;0),"Yes","No"))</f>
        <v>No</v>
      </c>
      <c r="S29" s="207">
        <f ca="1">IF(OFFSET(Tabla336106734820[[#This Row],[Equity]],1,0)="",IF(Tabla336106734820[[#This Row],[No. of Rs]]="",$F$11,$F$11+($F$11*Tabla336106734820[[#This Row],[No. of Rs]]/100)),IF(Tabla336106734820[[#This Row],[No. of Rs]]="",OFFSET(Tabla336106734820[[#This Row],[Equity]],1,0),OFFSET(Tabla336106734820[[#This Row],[Equity]],1,0)+($F$11*Tabla336106734820[[#This Row],[No. of Rs]]/100)))</f>
        <v>103820</v>
      </c>
      <c r="T29" s="207">
        <f ca="1">IF(OFFSET(Tabla336106734820[[#This Row],[Equity Peak]],1,0)="",IF(Tabla336106734820[[#This Row],[Initial Losing Trade]]="Yes",$F$11,Tabla336106734820[[#This Row],[Equity]]),IF(OFFSET(Tabla336106734820[[#This Row],[Equity Peak]],1,0)&gt;Tabla336106734820[[#This Row],[Equity]],OFFSET(Tabla336106734820[[#This Row],[Equity Peak]],1,0),Tabla336106734820[[#This Row],[Equity]]))</f>
        <v>104820</v>
      </c>
      <c r="U29" s="208">
        <f ca="1">IF(Tabla336106734820[[#This Row],[Equity]]&lt;Tabla336106734820[[#This Row],[Equity Peak]],(Tabla336106734820[[#This Row],[Equity Peak]]-Tabla336106734820[[#This Row],[Equity]])/Tabla336106734820[[#This Row],[Equity Peak]],"")</f>
        <v>9.5401640908223621E-3</v>
      </c>
      <c r="V29" s="209">
        <f t="shared" ref="V29:V35" si="26">IF(B29="FX",N29,0)</f>
        <v>0</v>
      </c>
      <c r="W29" s="209">
        <f t="shared" ref="W29:W35" si="27">IF(D29="O",IF(V29&lt;0,V29,0),0)</f>
        <v>0</v>
      </c>
      <c r="X29" s="209">
        <f t="shared" ref="X29:X35" si="28">IF(B29="COM",N29,0)</f>
        <v>-1</v>
      </c>
      <c r="Y29" s="209">
        <f t="shared" ref="Y29:Y35" si="29">IF(D29="O",IF(X29&lt;0,X29,0),0)</f>
        <v>0</v>
      </c>
      <c r="Z29" s="209">
        <f t="shared" ref="Z29:Z35" si="30">IF(B29="IND",N29,0)</f>
        <v>0</v>
      </c>
      <c r="AA29" s="205">
        <f t="shared" ref="AA29:AA35" si="31">IF(D29="O",IF(Z29&lt;0,Z29,0),0)</f>
        <v>0</v>
      </c>
      <c r="AB29" s="209">
        <f t="shared" ref="AB29:AB35" si="32">IF(B29="CRYPTO",N29,0)</f>
        <v>0</v>
      </c>
      <c r="AC29" s="205">
        <f t="shared" ref="AC29:AC35" si="33">IF(D29="O",IF(AB29&lt;0,AB29,0),0)</f>
        <v>0</v>
      </c>
      <c r="AD29" s="210">
        <f t="shared" ref="AD29:AD35" si="34">IF(K29&lt;&gt;"",K29-E29,0)</f>
        <v>0.24513888889487134</v>
      </c>
      <c r="AE29" s="210">
        <f t="shared" ref="AE29:AE35" si="35">IF(N29&gt;0,AD29,0)</f>
        <v>0</v>
      </c>
      <c r="AF29" s="210">
        <f t="shared" ref="AF29:AF35" si="36">IF(N29&lt;0,AD29,0)</f>
        <v>0.24513888889487134</v>
      </c>
      <c r="AG29" s="210">
        <f t="shared" ref="AG29:AG35" si="37">IF(N29=0,AD29,0)</f>
        <v>0</v>
      </c>
    </row>
    <row r="30" spans="2:33" ht="15" customHeight="1" x14ac:dyDescent="0.3">
      <c r="B30" s="196" t="s">
        <v>19</v>
      </c>
      <c r="C30" s="197" t="s">
        <v>13</v>
      </c>
      <c r="D30" s="198" t="str">
        <f t="shared" si="19"/>
        <v>C</v>
      </c>
      <c r="E30" s="199">
        <v>43524.875</v>
      </c>
      <c r="F30" s="200" t="s">
        <v>89</v>
      </c>
      <c r="G30" s="201">
        <v>15.586</v>
      </c>
      <c r="H30" s="201">
        <v>15.787000000000001</v>
      </c>
      <c r="I30" s="202">
        <f t="shared" si="20"/>
        <v>0.20100000000000051</v>
      </c>
      <c r="J30" s="201">
        <v>14.62</v>
      </c>
      <c r="K30" s="199">
        <v>43532.591666666667</v>
      </c>
      <c r="L30" s="201">
        <v>15.164999999999999</v>
      </c>
      <c r="M30" s="203">
        <f t="shared" si="21"/>
        <v>0.42099999999999999</v>
      </c>
      <c r="N30" s="204">
        <f t="shared" si="22"/>
        <v>2.09</v>
      </c>
      <c r="O30" s="205">
        <f t="shared" si="23"/>
        <v>0</v>
      </c>
      <c r="P30" s="206">
        <f t="shared" si="24"/>
        <v>2.09</v>
      </c>
      <c r="Q30" s="206">
        <f t="shared" si="25"/>
        <v>0</v>
      </c>
      <c r="R30" s="206" t="str">
        <f ca="1">IF(AND(OFFSET(Tabla336106734820[[#This Row],[Equity]],1,0)="",Tabla336106734820[[#This Row],[No. of Rs]]&lt;0),"Yes",IF(AND(OFFSET(Tabla336106734820[[#This Row],[Initial Losing Trade]],1,0)="Yes",Tabla336106734820[[#This Row],[No. of Rs]]&lt;0),"Yes","No"))</f>
        <v>No</v>
      </c>
      <c r="S30" s="207">
        <f ca="1">IF(OFFSET(Tabla336106734820[[#This Row],[Equity]],1,0)="",IF(Tabla336106734820[[#This Row],[No. of Rs]]="",$F$11,$F$11+($F$11*Tabla336106734820[[#This Row],[No. of Rs]]/100)),IF(Tabla336106734820[[#This Row],[No. of Rs]]="",OFFSET(Tabla336106734820[[#This Row],[Equity]],1,0),OFFSET(Tabla336106734820[[#This Row],[Equity]],1,0)+($F$11*Tabla336106734820[[#This Row],[No. of Rs]]/100)))</f>
        <v>104820</v>
      </c>
      <c r="T30" s="207">
        <f ca="1">IF(OFFSET(Tabla336106734820[[#This Row],[Equity Peak]],1,0)="",IF(Tabla336106734820[[#This Row],[Initial Losing Trade]]="Yes",$F$11,Tabla336106734820[[#This Row],[Equity]]),IF(OFFSET(Tabla336106734820[[#This Row],[Equity Peak]],1,0)&gt;Tabla336106734820[[#This Row],[Equity]],OFFSET(Tabla336106734820[[#This Row],[Equity Peak]],1,0),Tabla336106734820[[#This Row],[Equity]]))</f>
        <v>104820</v>
      </c>
      <c r="U30" s="208" t="str">
        <f ca="1">IF(Tabla336106734820[[#This Row],[Equity]]&lt;Tabla336106734820[[#This Row],[Equity Peak]],(Tabla336106734820[[#This Row],[Equity Peak]]-Tabla336106734820[[#This Row],[Equity]])/Tabla336106734820[[#This Row],[Equity Peak]],"")</f>
        <v/>
      </c>
      <c r="V30" s="209">
        <f t="shared" si="26"/>
        <v>0</v>
      </c>
      <c r="W30" s="209">
        <f t="shared" si="27"/>
        <v>0</v>
      </c>
      <c r="X30" s="209">
        <f t="shared" si="28"/>
        <v>2.09</v>
      </c>
      <c r="Y30" s="209">
        <f t="shared" si="29"/>
        <v>0</v>
      </c>
      <c r="Z30" s="209">
        <f t="shared" si="30"/>
        <v>0</v>
      </c>
      <c r="AA30" s="205">
        <f t="shared" si="31"/>
        <v>0</v>
      </c>
      <c r="AB30" s="209">
        <f t="shared" si="32"/>
        <v>0</v>
      </c>
      <c r="AC30" s="205">
        <f t="shared" si="33"/>
        <v>0</v>
      </c>
      <c r="AD30" s="210">
        <f t="shared" si="34"/>
        <v>7.7166666666671517</v>
      </c>
      <c r="AE30" s="210">
        <f t="shared" si="35"/>
        <v>7.7166666666671517</v>
      </c>
      <c r="AF30" s="210">
        <f t="shared" si="36"/>
        <v>0</v>
      </c>
      <c r="AG30" s="210">
        <f t="shared" si="37"/>
        <v>0</v>
      </c>
    </row>
    <row r="31" spans="2:33" ht="15" customHeight="1" x14ac:dyDescent="0.3">
      <c r="B31" s="196" t="s">
        <v>19</v>
      </c>
      <c r="C31" s="197" t="s">
        <v>15</v>
      </c>
      <c r="D31" s="198" t="str">
        <f t="shared" si="19"/>
        <v>C</v>
      </c>
      <c r="E31" s="199">
        <v>43514.541666666664</v>
      </c>
      <c r="F31" s="200" t="s">
        <v>89</v>
      </c>
      <c r="G31" s="201">
        <v>15.823</v>
      </c>
      <c r="H31" s="201">
        <v>15.62</v>
      </c>
      <c r="I31" s="202">
        <f t="shared" si="20"/>
        <v>0.20300000000000118</v>
      </c>
      <c r="J31" s="201">
        <v>16.795999999999999</v>
      </c>
      <c r="K31" s="199">
        <v>43517.15</v>
      </c>
      <c r="L31" s="201">
        <v>15.986000000000001</v>
      </c>
      <c r="M31" s="203">
        <f t="shared" si="21"/>
        <v>0.16300000000000001</v>
      </c>
      <c r="N31" s="204">
        <f t="shared" si="22"/>
        <v>0.8</v>
      </c>
      <c r="O31" s="205">
        <f t="shared" si="23"/>
        <v>0</v>
      </c>
      <c r="P31" s="206">
        <f t="shared" si="24"/>
        <v>0.8</v>
      </c>
      <c r="Q31" s="206">
        <f t="shared" si="25"/>
        <v>0</v>
      </c>
      <c r="R31" s="206" t="str">
        <f ca="1">IF(AND(OFFSET(Tabla336106734820[[#This Row],[Equity]],1,0)="",Tabla336106734820[[#This Row],[No. of Rs]]&lt;0),"Yes",IF(AND(OFFSET(Tabla336106734820[[#This Row],[Initial Losing Trade]],1,0)="Yes",Tabla336106734820[[#This Row],[No. of Rs]]&lt;0),"Yes","No"))</f>
        <v>No</v>
      </c>
      <c r="S31" s="207">
        <f ca="1">IF(OFFSET(Tabla336106734820[[#This Row],[Equity]],1,0)="",IF(Tabla336106734820[[#This Row],[No. of Rs]]="",$F$11,$F$11+($F$11*Tabla336106734820[[#This Row],[No. of Rs]]/100)),IF(Tabla336106734820[[#This Row],[No. of Rs]]="",OFFSET(Tabla336106734820[[#This Row],[Equity]],1,0),OFFSET(Tabla336106734820[[#This Row],[Equity]],1,0)+($F$11*Tabla336106734820[[#This Row],[No. of Rs]]/100)))</f>
        <v>102730</v>
      </c>
      <c r="T31" s="207">
        <f ca="1">IF(OFFSET(Tabla336106734820[[#This Row],[Equity Peak]],1,0)="",IF(Tabla336106734820[[#This Row],[Initial Losing Trade]]="Yes",$F$11,Tabla336106734820[[#This Row],[Equity]]),IF(OFFSET(Tabla336106734820[[#This Row],[Equity Peak]],1,0)&gt;Tabla336106734820[[#This Row],[Equity]],OFFSET(Tabla336106734820[[#This Row],[Equity Peak]],1,0),Tabla336106734820[[#This Row],[Equity]]))</f>
        <v>102930</v>
      </c>
      <c r="U31" s="208">
        <f ca="1">IF(Tabla336106734820[[#This Row],[Equity]]&lt;Tabla336106734820[[#This Row],[Equity Peak]],(Tabla336106734820[[#This Row],[Equity Peak]]-Tabla336106734820[[#This Row],[Equity]])/Tabla336106734820[[#This Row],[Equity Peak]],"")</f>
        <v>1.943068104537064E-3</v>
      </c>
      <c r="V31" s="209">
        <f t="shared" si="26"/>
        <v>0</v>
      </c>
      <c r="W31" s="209">
        <f t="shared" si="27"/>
        <v>0</v>
      </c>
      <c r="X31" s="209">
        <f t="shared" si="28"/>
        <v>0.8</v>
      </c>
      <c r="Y31" s="209">
        <f t="shared" si="29"/>
        <v>0</v>
      </c>
      <c r="Z31" s="209">
        <f t="shared" si="30"/>
        <v>0</v>
      </c>
      <c r="AA31" s="205">
        <f t="shared" si="31"/>
        <v>0</v>
      </c>
      <c r="AB31" s="209">
        <f t="shared" si="32"/>
        <v>0</v>
      </c>
      <c r="AC31" s="205">
        <f t="shared" si="33"/>
        <v>0</v>
      </c>
      <c r="AD31" s="210">
        <f t="shared" si="34"/>
        <v>2.6083333333372138</v>
      </c>
      <c r="AE31" s="210">
        <f t="shared" si="35"/>
        <v>2.6083333333372138</v>
      </c>
      <c r="AF31" s="210">
        <f t="shared" si="36"/>
        <v>0</v>
      </c>
      <c r="AG31" s="210">
        <f t="shared" si="37"/>
        <v>0</v>
      </c>
    </row>
    <row r="32" spans="2:33" ht="15" customHeight="1" x14ac:dyDescent="0.3">
      <c r="B32" s="196" t="s">
        <v>19</v>
      </c>
      <c r="C32" s="197" t="s">
        <v>13</v>
      </c>
      <c r="D32" s="198" t="str">
        <f t="shared" si="19"/>
        <v>C</v>
      </c>
      <c r="E32" s="199">
        <v>43510.208333333336</v>
      </c>
      <c r="F32" s="200" t="s">
        <v>89</v>
      </c>
      <c r="G32" s="201">
        <v>15.621</v>
      </c>
      <c r="H32" s="201">
        <v>15.821</v>
      </c>
      <c r="I32" s="202">
        <f t="shared" si="20"/>
        <v>0.19999999999999929</v>
      </c>
      <c r="J32" s="201">
        <v>14.659000000000001</v>
      </c>
      <c r="K32" s="199">
        <v>43514.124305555553</v>
      </c>
      <c r="L32" s="201">
        <v>15.821</v>
      </c>
      <c r="M32" s="203">
        <f t="shared" si="21"/>
        <v>-0.2</v>
      </c>
      <c r="N32" s="204">
        <f t="shared" si="22"/>
        <v>-1</v>
      </c>
      <c r="O32" s="205">
        <f t="shared" si="23"/>
        <v>0</v>
      </c>
      <c r="P32" s="206">
        <f t="shared" si="24"/>
        <v>0</v>
      </c>
      <c r="Q32" s="206">
        <f t="shared" si="25"/>
        <v>-1</v>
      </c>
      <c r="R32" s="206" t="str">
        <f ca="1">IF(AND(OFFSET(Tabla336106734820[[#This Row],[Equity]],1,0)="",Tabla336106734820[[#This Row],[No. of Rs]]&lt;0),"Yes",IF(AND(OFFSET(Tabla336106734820[[#This Row],[Initial Losing Trade]],1,0)="Yes",Tabla336106734820[[#This Row],[No. of Rs]]&lt;0),"Yes","No"))</f>
        <v>No</v>
      </c>
      <c r="S32" s="207">
        <f ca="1">IF(OFFSET(Tabla336106734820[[#This Row],[Equity]],1,0)="",IF(Tabla336106734820[[#This Row],[No. of Rs]]="",$F$11,$F$11+($F$11*Tabla336106734820[[#This Row],[No. of Rs]]/100)),IF(Tabla336106734820[[#This Row],[No. of Rs]]="",OFFSET(Tabla336106734820[[#This Row],[Equity]],1,0),OFFSET(Tabla336106734820[[#This Row],[Equity]],1,0)+($F$11*Tabla336106734820[[#This Row],[No. of Rs]]/100)))</f>
        <v>101930</v>
      </c>
      <c r="T32" s="207">
        <f ca="1">IF(OFFSET(Tabla336106734820[[#This Row],[Equity Peak]],1,0)="",IF(Tabla336106734820[[#This Row],[Initial Losing Trade]]="Yes",$F$11,Tabla336106734820[[#This Row],[Equity]]),IF(OFFSET(Tabla336106734820[[#This Row],[Equity Peak]],1,0)&gt;Tabla336106734820[[#This Row],[Equity]],OFFSET(Tabla336106734820[[#This Row],[Equity Peak]],1,0),Tabla336106734820[[#This Row],[Equity]]))</f>
        <v>102930</v>
      </c>
      <c r="U32" s="208">
        <f ca="1">IF(Tabla336106734820[[#This Row],[Equity]]&lt;Tabla336106734820[[#This Row],[Equity Peak]],(Tabla336106734820[[#This Row],[Equity Peak]]-Tabla336106734820[[#This Row],[Equity]])/Tabla336106734820[[#This Row],[Equity Peak]],"")</f>
        <v>9.7153405226853198E-3</v>
      </c>
      <c r="V32" s="209">
        <f t="shared" si="26"/>
        <v>0</v>
      </c>
      <c r="W32" s="209">
        <f t="shared" si="27"/>
        <v>0</v>
      </c>
      <c r="X32" s="209">
        <f t="shared" si="28"/>
        <v>-1</v>
      </c>
      <c r="Y32" s="209">
        <f t="shared" si="29"/>
        <v>0</v>
      </c>
      <c r="Z32" s="209">
        <f t="shared" si="30"/>
        <v>0</v>
      </c>
      <c r="AA32" s="205">
        <f t="shared" si="31"/>
        <v>0</v>
      </c>
      <c r="AB32" s="209">
        <f t="shared" si="32"/>
        <v>0</v>
      </c>
      <c r="AC32" s="205">
        <f t="shared" si="33"/>
        <v>0</v>
      </c>
      <c r="AD32" s="210">
        <f t="shared" si="34"/>
        <v>3.9159722222175333</v>
      </c>
      <c r="AE32" s="210">
        <f t="shared" si="35"/>
        <v>0</v>
      </c>
      <c r="AF32" s="210">
        <f t="shared" si="36"/>
        <v>3.9159722222175333</v>
      </c>
      <c r="AG32" s="210">
        <f t="shared" si="37"/>
        <v>0</v>
      </c>
    </row>
    <row r="33" spans="2:33" ht="15" customHeight="1" x14ac:dyDescent="0.3">
      <c r="B33" s="196" t="s">
        <v>19</v>
      </c>
      <c r="C33" s="197" t="s">
        <v>15</v>
      </c>
      <c r="D33" s="198" t="str">
        <f t="shared" si="19"/>
        <v>C</v>
      </c>
      <c r="E33" s="199">
        <v>43493.041666666664</v>
      </c>
      <c r="F33" s="200" t="s">
        <v>89</v>
      </c>
      <c r="G33" s="201">
        <v>15.754</v>
      </c>
      <c r="H33" s="201">
        <v>15.544</v>
      </c>
      <c r="I33" s="202">
        <f t="shared" si="20"/>
        <v>0.20999999999999908</v>
      </c>
      <c r="J33" s="201">
        <v>16.762</v>
      </c>
      <c r="K33" s="199">
        <v>43497.183333333334</v>
      </c>
      <c r="L33" s="201">
        <v>15.977</v>
      </c>
      <c r="M33" s="203">
        <f t="shared" si="21"/>
        <v>0.223</v>
      </c>
      <c r="N33" s="204">
        <f t="shared" si="22"/>
        <v>1.06</v>
      </c>
      <c r="O33" s="205">
        <f t="shared" si="23"/>
        <v>0</v>
      </c>
      <c r="P33" s="206">
        <f t="shared" si="24"/>
        <v>1.06</v>
      </c>
      <c r="Q33" s="206">
        <f t="shared" si="25"/>
        <v>0</v>
      </c>
      <c r="R33" s="206" t="str">
        <f ca="1">IF(AND(OFFSET(Tabla336106734820[[#This Row],[Equity]],1,0)="",Tabla336106734820[[#This Row],[No. of Rs]]&lt;0),"Yes",IF(AND(OFFSET(Tabla336106734820[[#This Row],[Initial Losing Trade]],1,0)="Yes",Tabla336106734820[[#This Row],[No. of Rs]]&lt;0),"Yes","No"))</f>
        <v>No</v>
      </c>
      <c r="S33" s="207">
        <f ca="1">IF(OFFSET(Tabla336106734820[[#This Row],[Equity]],1,0)="",IF(Tabla336106734820[[#This Row],[No. of Rs]]="",$F$11,$F$11+($F$11*Tabla336106734820[[#This Row],[No. of Rs]]/100)),IF(Tabla336106734820[[#This Row],[No. of Rs]]="",OFFSET(Tabla336106734820[[#This Row],[Equity]],1,0),OFFSET(Tabla336106734820[[#This Row],[Equity]],1,0)+($F$11*Tabla336106734820[[#This Row],[No. of Rs]]/100)))</f>
        <v>102930</v>
      </c>
      <c r="T33" s="207">
        <f ca="1">IF(OFFSET(Tabla336106734820[[#This Row],[Equity Peak]],1,0)="",IF(Tabla336106734820[[#This Row],[Initial Losing Trade]]="Yes",$F$11,Tabla336106734820[[#This Row],[Equity]]),IF(OFFSET(Tabla336106734820[[#This Row],[Equity Peak]],1,0)&gt;Tabla336106734820[[#This Row],[Equity]],OFFSET(Tabla336106734820[[#This Row],[Equity Peak]],1,0),Tabla336106734820[[#This Row],[Equity]]))</f>
        <v>102930</v>
      </c>
      <c r="U33" s="208" t="str">
        <f ca="1">IF(Tabla336106734820[[#This Row],[Equity]]&lt;Tabla336106734820[[#This Row],[Equity Peak]],(Tabla336106734820[[#This Row],[Equity Peak]]-Tabla336106734820[[#This Row],[Equity]])/Tabla336106734820[[#This Row],[Equity Peak]],"")</f>
        <v/>
      </c>
      <c r="V33" s="209">
        <f t="shared" si="26"/>
        <v>0</v>
      </c>
      <c r="W33" s="209">
        <f t="shared" si="27"/>
        <v>0</v>
      </c>
      <c r="X33" s="209">
        <f t="shared" si="28"/>
        <v>1.06</v>
      </c>
      <c r="Y33" s="209">
        <f t="shared" si="29"/>
        <v>0</v>
      </c>
      <c r="Z33" s="209">
        <f t="shared" si="30"/>
        <v>0</v>
      </c>
      <c r="AA33" s="205">
        <f t="shared" si="31"/>
        <v>0</v>
      </c>
      <c r="AB33" s="209">
        <f t="shared" si="32"/>
        <v>0</v>
      </c>
      <c r="AC33" s="205">
        <f t="shared" si="33"/>
        <v>0</v>
      </c>
      <c r="AD33" s="210">
        <f t="shared" si="34"/>
        <v>4.1416666666700621</v>
      </c>
      <c r="AE33" s="210">
        <f t="shared" si="35"/>
        <v>4.1416666666700621</v>
      </c>
      <c r="AF33" s="210">
        <f t="shared" si="36"/>
        <v>0</v>
      </c>
      <c r="AG33" s="210">
        <f t="shared" si="37"/>
        <v>0</v>
      </c>
    </row>
    <row r="34" spans="2:33" ht="15" customHeight="1" x14ac:dyDescent="0.3">
      <c r="B34" s="196" t="s">
        <v>19</v>
      </c>
      <c r="C34" s="197" t="s">
        <v>13</v>
      </c>
      <c r="D34" s="198" t="str">
        <f t="shared" si="19"/>
        <v>C</v>
      </c>
      <c r="E34" s="199">
        <v>43487.208333333336</v>
      </c>
      <c r="F34" s="200" t="s">
        <v>89</v>
      </c>
      <c r="G34" s="201">
        <v>15.214</v>
      </c>
      <c r="H34" s="201">
        <v>15.44</v>
      </c>
      <c r="I34" s="202">
        <f t="shared" si="20"/>
        <v>0.22599999999999909</v>
      </c>
      <c r="J34" s="201">
        <v>14.128</v>
      </c>
      <c r="K34" s="199">
        <v>43488.481944444444</v>
      </c>
      <c r="L34" s="201">
        <v>15.44</v>
      </c>
      <c r="M34" s="203">
        <f t="shared" si="21"/>
        <v>-0.22600000000000001</v>
      </c>
      <c r="N34" s="204">
        <f t="shared" si="22"/>
        <v>-1</v>
      </c>
      <c r="O34" s="205">
        <f t="shared" si="23"/>
        <v>0</v>
      </c>
      <c r="P34" s="206">
        <f t="shared" si="24"/>
        <v>0</v>
      </c>
      <c r="Q34" s="206">
        <f t="shared" si="25"/>
        <v>-1</v>
      </c>
      <c r="R34" s="206" t="str">
        <f ca="1">IF(AND(OFFSET(Tabla336106734820[[#This Row],[Equity]],1,0)="",Tabla336106734820[[#This Row],[No. of Rs]]&lt;0),"Yes",IF(AND(OFFSET(Tabla336106734820[[#This Row],[Initial Losing Trade]],1,0)="Yes",Tabla336106734820[[#This Row],[No. of Rs]]&lt;0),"Yes","No"))</f>
        <v>No</v>
      </c>
      <c r="S34" s="207">
        <f ca="1">IF(OFFSET(Tabla336106734820[[#This Row],[Equity]],1,0)="",IF(Tabla336106734820[[#This Row],[No. of Rs]]="",$F$11,$F$11+($F$11*Tabla336106734820[[#This Row],[No. of Rs]]/100)),IF(Tabla336106734820[[#This Row],[No. of Rs]]="",OFFSET(Tabla336106734820[[#This Row],[Equity]],1,0),OFFSET(Tabla336106734820[[#This Row],[Equity]],1,0)+($F$11*Tabla336106734820[[#This Row],[No. of Rs]]/100)))</f>
        <v>101870</v>
      </c>
      <c r="T34" s="207">
        <f ca="1">IF(OFFSET(Tabla336106734820[[#This Row],[Equity Peak]],1,0)="",IF(Tabla336106734820[[#This Row],[Initial Losing Trade]]="Yes",$F$11,Tabla336106734820[[#This Row],[Equity]]),IF(OFFSET(Tabla336106734820[[#This Row],[Equity Peak]],1,0)&gt;Tabla336106734820[[#This Row],[Equity]],OFFSET(Tabla336106734820[[#This Row],[Equity Peak]],1,0),Tabla336106734820[[#This Row],[Equity]]))</f>
        <v>102870</v>
      </c>
      <c r="U34" s="208">
        <f ca="1">IF(Tabla336106734820[[#This Row],[Equity]]&lt;Tabla336106734820[[#This Row],[Equity Peak]],(Tabla336106734820[[#This Row],[Equity Peak]]-Tabla336106734820[[#This Row],[Equity]])/Tabla336106734820[[#This Row],[Equity Peak]],"")</f>
        <v>9.7210070963351797E-3</v>
      </c>
      <c r="V34" s="209">
        <f t="shared" si="26"/>
        <v>0</v>
      </c>
      <c r="W34" s="209">
        <f t="shared" si="27"/>
        <v>0</v>
      </c>
      <c r="X34" s="209">
        <f t="shared" si="28"/>
        <v>-1</v>
      </c>
      <c r="Y34" s="209">
        <f t="shared" si="29"/>
        <v>0</v>
      </c>
      <c r="Z34" s="209">
        <f t="shared" si="30"/>
        <v>0</v>
      </c>
      <c r="AA34" s="205">
        <f t="shared" si="31"/>
        <v>0</v>
      </c>
      <c r="AB34" s="209">
        <f t="shared" si="32"/>
        <v>0</v>
      </c>
      <c r="AC34" s="205">
        <f t="shared" si="33"/>
        <v>0</v>
      </c>
      <c r="AD34" s="210">
        <f t="shared" si="34"/>
        <v>1.273611111108039</v>
      </c>
      <c r="AE34" s="210">
        <f t="shared" si="35"/>
        <v>0</v>
      </c>
      <c r="AF34" s="210">
        <f t="shared" si="36"/>
        <v>1.273611111108039</v>
      </c>
      <c r="AG34" s="210">
        <f t="shared" si="37"/>
        <v>0</v>
      </c>
    </row>
    <row r="35" spans="2:33" ht="15" customHeight="1" x14ac:dyDescent="0.3">
      <c r="B35" s="196" t="s">
        <v>19</v>
      </c>
      <c r="C35" s="197" t="s">
        <v>15</v>
      </c>
      <c r="D35" s="198" t="str">
        <f t="shared" si="19"/>
        <v>C</v>
      </c>
      <c r="E35" s="199">
        <v>43460.708333333336</v>
      </c>
      <c r="F35" s="200" t="s">
        <v>89</v>
      </c>
      <c r="G35" s="201">
        <v>15.013999999999999</v>
      </c>
      <c r="H35" s="201">
        <v>14.801</v>
      </c>
      <c r="I35" s="202">
        <f t="shared" si="20"/>
        <v>0.21299999999999919</v>
      </c>
      <c r="J35" s="201">
        <v>16.036999999999999</v>
      </c>
      <c r="K35" s="199">
        <v>43469.643750000003</v>
      </c>
      <c r="L35" s="201">
        <v>15.625999999999999</v>
      </c>
      <c r="M35" s="203">
        <f t="shared" si="21"/>
        <v>0.61199999999999999</v>
      </c>
      <c r="N35" s="204">
        <f t="shared" si="22"/>
        <v>2.87</v>
      </c>
      <c r="O35" s="205">
        <f t="shared" si="23"/>
        <v>0</v>
      </c>
      <c r="P35" s="206">
        <f t="shared" si="24"/>
        <v>2.87</v>
      </c>
      <c r="Q35" s="206">
        <f t="shared" si="25"/>
        <v>0</v>
      </c>
      <c r="R35" s="206" t="str">
        <f ca="1">IF(AND(OFFSET(Tabla336106734820[[#This Row],[Equity]],1,0)="",Tabla336106734820[[#This Row],[No. of Rs]]&lt;0),"Yes",IF(AND(OFFSET(Tabla336106734820[[#This Row],[Initial Losing Trade]],1,0)="Yes",Tabla336106734820[[#This Row],[No. of Rs]]&lt;0),"Yes","No"))</f>
        <v>No</v>
      </c>
      <c r="S35" s="207">
        <f ca="1">IF(OFFSET(Tabla336106734820[[#This Row],[Equity]],1,0)="",IF(Tabla336106734820[[#This Row],[No. of Rs]]="",$F$11,$F$11+($F$11*Tabla336106734820[[#This Row],[No. of Rs]]/100)),IF(Tabla336106734820[[#This Row],[No. of Rs]]="",OFFSET(Tabla336106734820[[#This Row],[Equity]],1,0),OFFSET(Tabla336106734820[[#This Row],[Equity]],1,0)+($F$11*Tabla336106734820[[#This Row],[No. of Rs]]/100)))</f>
        <v>102870</v>
      </c>
      <c r="T35" s="207">
        <f ca="1">IF(OFFSET(Tabla336106734820[[#This Row],[Equity Peak]],1,0)="",IF(Tabla336106734820[[#This Row],[Initial Losing Trade]]="Yes",$F$11,Tabla336106734820[[#This Row],[Equity]]),IF(OFFSET(Tabla336106734820[[#This Row],[Equity Peak]],1,0)&gt;Tabla336106734820[[#This Row],[Equity]],OFFSET(Tabla336106734820[[#This Row],[Equity Peak]],1,0),Tabla336106734820[[#This Row],[Equity]]))</f>
        <v>102870</v>
      </c>
      <c r="U35" s="208" t="str">
        <f ca="1">IF(Tabla336106734820[[#This Row],[Equity]]&lt;Tabla336106734820[[#This Row],[Equity Peak]],(Tabla336106734820[[#This Row],[Equity Peak]]-Tabla336106734820[[#This Row],[Equity]])/Tabla336106734820[[#This Row],[Equity Peak]],"")</f>
        <v/>
      </c>
      <c r="V35" s="209">
        <f t="shared" si="26"/>
        <v>0</v>
      </c>
      <c r="W35" s="209">
        <f t="shared" si="27"/>
        <v>0</v>
      </c>
      <c r="X35" s="209">
        <f t="shared" si="28"/>
        <v>2.87</v>
      </c>
      <c r="Y35" s="209">
        <f t="shared" si="29"/>
        <v>0</v>
      </c>
      <c r="Z35" s="209">
        <f t="shared" si="30"/>
        <v>0</v>
      </c>
      <c r="AA35" s="205">
        <f t="shared" si="31"/>
        <v>0</v>
      </c>
      <c r="AB35" s="209">
        <f t="shared" si="32"/>
        <v>0</v>
      </c>
      <c r="AC35" s="205">
        <f t="shared" si="33"/>
        <v>0</v>
      </c>
      <c r="AD35" s="210">
        <f t="shared" si="34"/>
        <v>8.9354166666671517</v>
      </c>
      <c r="AE35" s="210">
        <f t="shared" si="35"/>
        <v>8.9354166666671517</v>
      </c>
      <c r="AF35" s="210">
        <f t="shared" si="36"/>
        <v>0</v>
      </c>
      <c r="AG35" s="210">
        <f t="shared" si="37"/>
        <v>0</v>
      </c>
    </row>
  </sheetData>
  <sheetProtection algorithmName="SHA-512" hashValue="r0Eg1zTaLnNWRUx3ucfjqtqJK/pnovreuXWecepmSpWYW3blQKrs+WesLWtSk4y4n8CjNCcaE2URAgK5kPTD2A==" saltValue="OMhVaZEreRssxcieRPnnTQ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461" priority="3" operator="equal">
      <formula>"OK"</formula>
    </cfRule>
    <cfRule type="cellIs" dxfId="460" priority="4" operator="equal">
      <formula>"warning"</formula>
    </cfRule>
  </conditionalFormatting>
  <conditionalFormatting sqref="F13">
    <cfRule type="cellIs" dxfId="459" priority="1" operator="equal">
      <formula>"OK"</formula>
    </cfRule>
    <cfRule type="cellIs" dxfId="458" priority="2" operator="equal">
      <formula>"Error!!"</formula>
    </cfRule>
  </conditionalFormatting>
  <conditionalFormatting sqref="E15:H15 K15:L15">
    <cfRule type="expression" dxfId="457" priority="5">
      <formula>+$D15=#REF!</formula>
    </cfRule>
    <cfRule type="expression" dxfId="456" priority="6">
      <formula>+$D15=#REF!</formula>
    </cfRule>
  </conditionalFormatting>
  <conditionalFormatting sqref="D15 K16:L16 D16:H35 J17:L35">
    <cfRule type="expression" dxfId="455" priority="7">
      <formula>+$D15=$AG$8</formula>
    </cfRule>
    <cfRule type="expression" dxfId="454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5:B16" xr:uid="{33ADBB8D-C696-4A9A-8191-A4AEB4DDB4F3}">
      <formula1>$AE$4:$AE$6</formula1>
    </dataValidation>
    <dataValidation type="list" allowBlank="1" showInputMessage="1" showErrorMessage="1" promptTitle="Trade Direction" prompt="Select from List" sqref="C15:C16" xr:uid="{288E45AD-1CEB-4A30-977C-EB1A323EB2F2}">
      <formula1>$AG$4:$AG$5</formula1>
    </dataValidation>
    <dataValidation type="list" allowBlank="1" showInputMessage="1" showErrorMessage="1" promptTitle="Instrument Type" prompt="Select Type from List_x000a_" sqref="B17:B35" xr:uid="{6BD3F5AA-822F-43B5-9939-ABD5A0C52DD0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8FA5E-EC00-4F42-9588-5FC233762EE6}">
  <sheetPr codeName="Hoja15">
    <pageSetUpPr fitToPage="1"/>
  </sheetPr>
  <dimension ref="A1:AX42"/>
  <sheetViews>
    <sheetView showGridLines="0" showZeros="0" tabSelected="1" zoomScale="115" zoomScaleNormal="115" zoomScalePageLayoutView="99" workbookViewId="0">
      <pane ySplit="16" topLeftCell="A17" activePane="bottomLeft" state="frozen"/>
      <selection activeCell="E2" sqref="E2:N5"/>
      <selection pane="bottomLeft" activeCell="E2" sqref="E2:N5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123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COUNTA(Tabla33610673489[Inst])</f>
        <v>26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4.8499999999999988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0</v>
      </c>
      <c r="W6" s="18"/>
      <c r="X6" s="17">
        <f>+X13</f>
        <v>4.8499999999999988</v>
      </c>
      <c r="Y6" s="19"/>
      <c r="Z6" s="17">
        <f>+Z13</f>
        <v>0</v>
      </c>
      <c r="AA6" s="19"/>
      <c r="AB6" s="17">
        <f>+AB13</f>
        <v>0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COUNTIF(Tabla33610673489[No. of Rs],"&gt;0")</f>
        <v>7</v>
      </c>
      <c r="G7" s="24">
        <f>IFERROR((F7/$F$6),"")</f>
        <v>0.26923076923076922</v>
      </c>
      <c r="H7" s="78">
        <f>IFERROR((+P13/F7),"")</f>
        <v>1.8885714285714286</v>
      </c>
      <c r="I7" s="227">
        <f>H7/H9</f>
        <v>4.2870797064345449</v>
      </c>
      <c r="J7" s="227">
        <f>AVERAGE(Tabla33610673489[No. of Rs])</f>
        <v>0.18653846153846149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0</v>
      </c>
      <c r="W7" s="27"/>
      <c r="X7" s="26">
        <f>IFERROR((X6/N6),"")</f>
        <v>1</v>
      </c>
      <c r="Y7" s="28"/>
      <c r="Z7" s="26">
        <f>IFERROR((Z6/N6),"")</f>
        <v>0</v>
      </c>
      <c r="AA7" s="28"/>
      <c r="AB7" s="26">
        <f>IFERROR((AB6/N6),"")</f>
        <v>0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COUNTIF(Tabla33610673489[No. of Rs],"=0")</f>
        <v>0</v>
      </c>
      <c r="G8" s="24">
        <f>IFERROR((F8/$F$6),"")</f>
        <v>0</v>
      </c>
      <c r="H8" s="78"/>
      <c r="I8" s="228"/>
      <c r="J8" s="228"/>
      <c r="K8" s="163"/>
      <c r="L8" s="212" t="s">
        <v>112</v>
      </c>
      <c r="M8" s="213"/>
      <c r="N8" s="195">
        <f ca="1">OFFSET(Tabla33610673489[[#Headers],[Equity]],1,0)</f>
        <v>104850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COUNTIF(Tabla33610673489[No. of Rs],"&lt;0")</f>
        <v>19</v>
      </c>
      <c r="G9" s="32">
        <f>IFERROR((F9/$F$6),"")</f>
        <v>0.73076923076923073</v>
      </c>
      <c r="H9" s="79">
        <f>IFERROR((-Q13/F9),"")</f>
        <v>0.44052631578947371</v>
      </c>
      <c r="I9" s="229"/>
      <c r="J9" s="229"/>
      <c r="K9" s="149"/>
      <c r="L9" s="230" t="s">
        <v>106</v>
      </c>
      <c r="M9" s="231"/>
      <c r="N9" s="125">
        <f ca="1">MAX(Tabla33610673489[Drawdown])</f>
        <v>4.565947242206235E-2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>
        <f ca="1">OFFSET(Tabla33610673489[[#Headers],[Drawdown]],1,0)</f>
        <v>2.0734099187447463E-2</v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COUNTIF(Tabla33610673489[Heat],"&lt;0")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IF(COUNTIFS(Tabla33610673489[O/C],"O")&lt;1,"None",COUNTIFS(Tabla33610673489[O/C],"O"))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SUM(Tabla33610673489[No. of Rs])</f>
        <v>4.8499999999999988</v>
      </c>
      <c r="O13" s="42">
        <f>SUM(Tabla33610673489[Heat])</f>
        <v>0</v>
      </c>
      <c r="P13" s="43">
        <f>SUM(Tabla33610673489[[ TR WIN]])</f>
        <v>13.22</v>
      </c>
      <c r="Q13" s="43">
        <f>SUM(Tabla33610673489[[ TR LOSS]])</f>
        <v>-8.370000000000001</v>
      </c>
      <c r="R13" s="114"/>
      <c r="S13" s="115"/>
      <c r="T13" s="115"/>
      <c r="U13" s="121"/>
      <c r="V13" s="44">
        <f>SUM(Tabla33610673489[Currency])</f>
        <v>0</v>
      </c>
      <c r="W13" s="44">
        <f>SUM(Tabla33610673489[Heat3])</f>
        <v>0</v>
      </c>
      <c r="X13" s="44">
        <f>SUM(Tabla33610673489[Commodities])</f>
        <v>4.8499999999999988</v>
      </c>
      <c r="Y13" s="44">
        <f>SUM(Tabla33610673489[Heat4])</f>
        <v>0</v>
      </c>
      <c r="Z13" s="44">
        <f>SUM(Tabla33610673489[Index])</f>
        <v>0</v>
      </c>
      <c r="AA13" s="44">
        <f>SUM(Tabla33610673489[Heat5])</f>
        <v>0</v>
      </c>
      <c r="AB13" s="44">
        <f>SUM(Tabla33610673489[Cryptocurrency])</f>
        <v>0</v>
      </c>
      <c r="AC13" s="44">
        <f>SUM(Tabla33610673489[Heat6])</f>
        <v>0</v>
      </c>
      <c r="AD13" s="75">
        <f>AVERAGEIF(Tabla33610673489[Length of 
Trade],"&lt;&gt;0")</f>
        <v>3.741159188033075</v>
      </c>
      <c r="AE13" s="75">
        <f>AVERAGEIF(Tabla33610673489[Win],"&lt;&gt;0")</f>
        <v>6.0357142857142856</v>
      </c>
      <c r="AF13" s="75">
        <f>AVERAGEIF(Tabla33610673489[Loss],"&lt;&gt;0")</f>
        <v>2.8957967836242076</v>
      </c>
      <c r="AG13" s="76" t="e">
        <f>AVERAGEIF(Tabla33610673489[Breakeven],"&lt;&gt;0")</f>
        <v>#DIV/0!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2:33" ht="15" customHeight="1" x14ac:dyDescent="0.3">
      <c r="B17" s="196" t="s">
        <v>19</v>
      </c>
      <c r="C17" s="197" t="s">
        <v>15</v>
      </c>
      <c r="D17" s="198" t="str">
        <f t="shared" ref="D17:D40" si="0">IF(E17&lt;&gt;"",IF(K17&lt;&gt;"","C","O"),"")</f>
        <v>C</v>
      </c>
      <c r="E17" s="199">
        <v>43810.875</v>
      </c>
      <c r="F17" s="200" t="s">
        <v>88</v>
      </c>
      <c r="G17" s="201">
        <v>1470.58</v>
      </c>
      <c r="H17" s="201">
        <v>1462.24</v>
      </c>
      <c r="I17" s="202">
        <f t="shared" ref="I17:I40" si="1">ABS(G17-H17)</f>
        <v>8.3399999999999181</v>
      </c>
      <c r="J17" s="201">
        <v>1523.94</v>
      </c>
      <c r="K17" s="199">
        <v>43811.811111111114</v>
      </c>
      <c r="L17" s="201">
        <v>1466.24</v>
      </c>
      <c r="M17" s="203">
        <f t="shared" ref="M17:M40" si="2">ROUND(IF(C17="L",(L17-G17),(G17-L17)),4)</f>
        <v>-4.34</v>
      </c>
      <c r="N17" s="204">
        <f t="shared" ref="N17:N40" si="3">IFERROR(ROUND((M17/I17),2),"")</f>
        <v>-0.52</v>
      </c>
      <c r="O17" s="205">
        <f t="shared" ref="O17:O40" si="4">IF(D17="O",IF(N17&lt;0,N17,0),0)</f>
        <v>0</v>
      </c>
      <c r="P17" s="206">
        <f t="shared" ref="P17:P40" si="5">IF(N17&gt;= 0,N17,0)</f>
        <v>0</v>
      </c>
      <c r="Q17" s="206">
        <f t="shared" ref="Q17:Q40" si="6">IF(N17&lt;0,N17,0)</f>
        <v>-0.52</v>
      </c>
      <c r="R17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7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104850</v>
      </c>
      <c r="T17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107070</v>
      </c>
      <c r="U17" s="208">
        <f ca="1">IF(Tabla33610673489[[#This Row],[Equity]]&lt;Tabla33610673489[[#This Row],[Equity Peak]],(Tabla33610673489[[#This Row],[Equity Peak]]-Tabla33610673489[[#This Row],[Equity]])/Tabla33610673489[[#This Row],[Equity Peak]],"")</f>
        <v>2.0734099187447463E-2</v>
      </c>
      <c r="V17" s="209">
        <f t="shared" ref="V17:V40" si="7">IF(B17="FX",N17,0)</f>
        <v>0</v>
      </c>
      <c r="W17" s="209">
        <f t="shared" ref="W17:W40" si="8">IF(D17="O",IF(V17&lt;0,V17,0),0)</f>
        <v>0</v>
      </c>
      <c r="X17" s="209">
        <f t="shared" ref="X17:X40" si="9">IF(B17="COM",N17,0)</f>
        <v>-0.52</v>
      </c>
      <c r="Y17" s="209">
        <f t="shared" ref="Y17:Y40" si="10">IF(D17="O",IF(X17&lt;0,X17,0),0)</f>
        <v>0</v>
      </c>
      <c r="Z17" s="209">
        <f t="shared" ref="Z17:Z40" si="11">IF(B17="IND",N17,0)</f>
        <v>0</v>
      </c>
      <c r="AA17" s="205">
        <f t="shared" ref="AA17:AA40" si="12">IF(D17="O",IF(Z17&lt;0,Z17,0),0)</f>
        <v>0</v>
      </c>
      <c r="AB17" s="209">
        <f t="shared" ref="AB17:AB40" si="13">IF(B17="CRYPTO",N17,0)</f>
        <v>0</v>
      </c>
      <c r="AC17" s="205">
        <f t="shared" ref="AC17:AC40" si="14">IF(D17="O",IF(AB17&lt;0,AB17,0),0)</f>
        <v>0</v>
      </c>
      <c r="AD17" s="210">
        <f t="shared" ref="AD17:AD40" si="15">IF(K17&lt;&gt;"",K17-E17,0)</f>
        <v>0.93611111111385981</v>
      </c>
      <c r="AE17" s="210">
        <f t="shared" ref="AE17:AE40" si="16">IF(N17&gt;0,AD17,0)</f>
        <v>0</v>
      </c>
      <c r="AF17" s="210">
        <f t="shared" ref="AF17:AF40" si="17">IF(N17&lt;0,AD17,0)</f>
        <v>0.93611111111385981</v>
      </c>
      <c r="AG17" s="210">
        <f t="shared" ref="AG17:AG40" si="18">IF(N17=0,AD17,0)</f>
        <v>0</v>
      </c>
    </row>
    <row r="18" spans="2:33" ht="15" customHeight="1" x14ac:dyDescent="0.3">
      <c r="B18" s="196" t="s">
        <v>19</v>
      </c>
      <c r="C18" s="197" t="s">
        <v>15</v>
      </c>
      <c r="D18" s="198" t="str">
        <f t="shared" si="0"/>
        <v>C</v>
      </c>
      <c r="E18" s="199">
        <v>43802.541666666664</v>
      </c>
      <c r="F18" s="200" t="s">
        <v>88</v>
      </c>
      <c r="G18" s="201">
        <v>1470.27</v>
      </c>
      <c r="H18" s="201">
        <v>1458.56</v>
      </c>
      <c r="I18" s="202">
        <f t="shared" si="1"/>
        <v>11.710000000000036</v>
      </c>
      <c r="J18" s="201">
        <v>1545.23</v>
      </c>
      <c r="K18" s="199">
        <v>43805.62222222222</v>
      </c>
      <c r="L18" s="201">
        <v>1468.76</v>
      </c>
      <c r="M18" s="203">
        <f t="shared" si="2"/>
        <v>-1.51</v>
      </c>
      <c r="N18" s="204">
        <f t="shared" si="3"/>
        <v>-0.13</v>
      </c>
      <c r="O18" s="205">
        <f t="shared" si="4"/>
        <v>0</v>
      </c>
      <c r="P18" s="206">
        <f t="shared" si="5"/>
        <v>0</v>
      </c>
      <c r="Q18" s="206">
        <f t="shared" si="6"/>
        <v>-0.13</v>
      </c>
      <c r="R18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8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105370</v>
      </c>
      <c r="T18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107070</v>
      </c>
      <c r="U18" s="208">
        <f ca="1">IF(Tabla33610673489[[#This Row],[Equity]]&lt;Tabla33610673489[[#This Row],[Equity Peak]],(Tabla33610673489[[#This Row],[Equity Peak]]-Tabla33610673489[[#This Row],[Equity]])/Tabla33610673489[[#This Row],[Equity Peak]],"")</f>
        <v>1.5877463341739048E-2</v>
      </c>
      <c r="V18" s="209">
        <f t="shared" si="7"/>
        <v>0</v>
      </c>
      <c r="W18" s="209">
        <f t="shared" si="8"/>
        <v>0</v>
      </c>
      <c r="X18" s="209">
        <f t="shared" si="9"/>
        <v>-0.13</v>
      </c>
      <c r="Y18" s="209">
        <f t="shared" si="10"/>
        <v>0</v>
      </c>
      <c r="Z18" s="209">
        <f t="shared" si="11"/>
        <v>0</v>
      </c>
      <c r="AA18" s="205">
        <f t="shared" si="12"/>
        <v>0</v>
      </c>
      <c r="AB18" s="209">
        <f t="shared" si="13"/>
        <v>0</v>
      </c>
      <c r="AC18" s="205">
        <f t="shared" si="14"/>
        <v>0</v>
      </c>
      <c r="AD18" s="210">
        <f t="shared" si="15"/>
        <v>3.0805555555562023</v>
      </c>
      <c r="AE18" s="210">
        <f t="shared" si="16"/>
        <v>0</v>
      </c>
      <c r="AF18" s="210">
        <f t="shared" si="17"/>
        <v>3.0805555555562023</v>
      </c>
      <c r="AG18" s="210">
        <f t="shared" si="18"/>
        <v>0</v>
      </c>
    </row>
    <row r="19" spans="2:33" ht="15" customHeight="1" x14ac:dyDescent="0.3">
      <c r="B19" s="196" t="s">
        <v>19</v>
      </c>
      <c r="C19" s="197" t="s">
        <v>15</v>
      </c>
      <c r="D19" s="198" t="str">
        <f t="shared" si="0"/>
        <v>C</v>
      </c>
      <c r="E19" s="199">
        <v>43789.208333333336</v>
      </c>
      <c r="F19" s="200" t="s">
        <v>88</v>
      </c>
      <c r="G19" s="201">
        <v>1474.23</v>
      </c>
      <c r="H19" s="201">
        <v>1460.54</v>
      </c>
      <c r="I19" s="202">
        <f t="shared" si="1"/>
        <v>13.690000000000055</v>
      </c>
      <c r="J19" s="201">
        <v>1561.82</v>
      </c>
      <c r="K19" s="199">
        <v>43791.816666666666</v>
      </c>
      <c r="L19" s="201">
        <v>1461.79</v>
      </c>
      <c r="M19" s="203">
        <f t="shared" si="2"/>
        <v>-12.44</v>
      </c>
      <c r="N19" s="204">
        <f t="shared" si="3"/>
        <v>-0.91</v>
      </c>
      <c r="O19" s="205">
        <f t="shared" si="4"/>
        <v>0</v>
      </c>
      <c r="P19" s="206">
        <f t="shared" si="5"/>
        <v>0</v>
      </c>
      <c r="Q19" s="206">
        <f t="shared" si="6"/>
        <v>-0.91</v>
      </c>
      <c r="R19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19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105500</v>
      </c>
      <c r="T19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107070</v>
      </c>
      <c r="U19" s="208">
        <f ca="1">IF(Tabla33610673489[[#This Row],[Equity]]&lt;Tabla33610673489[[#This Row],[Equity Peak]],(Tabla33610673489[[#This Row],[Equity Peak]]-Tabla33610673489[[#This Row],[Equity]])/Tabla33610673489[[#This Row],[Equity Peak]],"")</f>
        <v>1.4663304380311945E-2</v>
      </c>
      <c r="V19" s="209">
        <f t="shared" si="7"/>
        <v>0</v>
      </c>
      <c r="W19" s="209">
        <f t="shared" si="8"/>
        <v>0</v>
      </c>
      <c r="X19" s="209">
        <f t="shared" si="9"/>
        <v>-0.91</v>
      </c>
      <c r="Y19" s="209">
        <f t="shared" si="10"/>
        <v>0</v>
      </c>
      <c r="Z19" s="209">
        <f t="shared" si="11"/>
        <v>0</v>
      </c>
      <c r="AA19" s="205">
        <f t="shared" si="12"/>
        <v>0</v>
      </c>
      <c r="AB19" s="209">
        <f t="shared" si="13"/>
        <v>0</v>
      </c>
      <c r="AC19" s="205">
        <f t="shared" si="14"/>
        <v>0</v>
      </c>
      <c r="AD19" s="210">
        <f t="shared" si="15"/>
        <v>2.6083333333299379</v>
      </c>
      <c r="AE19" s="210">
        <f t="shared" si="16"/>
        <v>0</v>
      </c>
      <c r="AF19" s="210">
        <f t="shared" si="17"/>
        <v>2.6083333333299379</v>
      </c>
      <c r="AG19" s="210">
        <f t="shared" si="18"/>
        <v>0</v>
      </c>
    </row>
    <row r="20" spans="2:33" ht="15" customHeight="1" x14ac:dyDescent="0.3">
      <c r="B20" s="196" t="s">
        <v>19</v>
      </c>
      <c r="C20" s="197" t="s">
        <v>15</v>
      </c>
      <c r="D20" s="198" t="str">
        <f t="shared" si="0"/>
        <v>C</v>
      </c>
      <c r="E20" s="199">
        <v>43769.208333333336</v>
      </c>
      <c r="F20" s="200" t="s">
        <v>88</v>
      </c>
      <c r="G20" s="201">
        <v>1499.11</v>
      </c>
      <c r="H20" s="201">
        <v>1486.04</v>
      </c>
      <c r="I20" s="202">
        <f t="shared" si="1"/>
        <v>13.069999999999936</v>
      </c>
      <c r="J20" s="201">
        <v>1582.74</v>
      </c>
      <c r="K20" s="199">
        <v>43774.617361111108</v>
      </c>
      <c r="L20" s="201">
        <v>1498.62</v>
      </c>
      <c r="M20" s="203">
        <f t="shared" si="2"/>
        <v>-0.49</v>
      </c>
      <c r="N20" s="204">
        <f t="shared" si="3"/>
        <v>-0.04</v>
      </c>
      <c r="O20" s="205">
        <f t="shared" si="4"/>
        <v>0</v>
      </c>
      <c r="P20" s="206">
        <f t="shared" si="5"/>
        <v>0</v>
      </c>
      <c r="Q20" s="206">
        <f t="shared" si="6"/>
        <v>-0.04</v>
      </c>
      <c r="R20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0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106410</v>
      </c>
      <c r="T20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107070</v>
      </c>
      <c r="U20" s="208">
        <f ca="1">IF(Tabla33610673489[[#This Row],[Equity]]&lt;Tabla33610673489[[#This Row],[Equity Peak]],(Tabla33610673489[[#This Row],[Equity Peak]]-Tabla33610673489[[#This Row],[Equity]])/Tabla33610673489[[#This Row],[Equity Peak]],"")</f>
        <v>6.1641916503222191E-3</v>
      </c>
      <c r="V20" s="209">
        <f t="shared" si="7"/>
        <v>0</v>
      </c>
      <c r="W20" s="209">
        <f t="shared" si="8"/>
        <v>0</v>
      </c>
      <c r="X20" s="209">
        <f t="shared" si="9"/>
        <v>-0.04</v>
      </c>
      <c r="Y20" s="209">
        <f t="shared" si="10"/>
        <v>0</v>
      </c>
      <c r="Z20" s="209">
        <f t="shared" si="11"/>
        <v>0</v>
      </c>
      <c r="AA20" s="205">
        <f t="shared" si="12"/>
        <v>0</v>
      </c>
      <c r="AB20" s="209">
        <f t="shared" si="13"/>
        <v>0</v>
      </c>
      <c r="AC20" s="205">
        <f t="shared" si="14"/>
        <v>0</v>
      </c>
      <c r="AD20" s="210">
        <f t="shared" si="15"/>
        <v>5.4090277777722804</v>
      </c>
      <c r="AE20" s="210">
        <f t="shared" si="16"/>
        <v>0</v>
      </c>
      <c r="AF20" s="210">
        <f t="shared" si="17"/>
        <v>5.4090277777722804</v>
      </c>
      <c r="AG20" s="210">
        <f t="shared" si="18"/>
        <v>0</v>
      </c>
    </row>
    <row r="21" spans="2:33" ht="15" customHeight="1" x14ac:dyDescent="0.3">
      <c r="B21" s="196" t="s">
        <v>19</v>
      </c>
      <c r="C21" s="197" t="s">
        <v>15</v>
      </c>
      <c r="D21" s="198" t="str">
        <f t="shared" si="0"/>
        <v>C</v>
      </c>
      <c r="E21" s="199">
        <v>43761.708333333336</v>
      </c>
      <c r="F21" s="200" t="s">
        <v>88</v>
      </c>
      <c r="G21" s="201">
        <v>1495.49</v>
      </c>
      <c r="H21" s="201">
        <v>1482.96</v>
      </c>
      <c r="I21" s="202">
        <f t="shared" si="1"/>
        <v>12.529999999999973</v>
      </c>
      <c r="J21" s="201">
        <v>1575.65</v>
      </c>
      <c r="K21" s="199">
        <v>43763.811805555553</v>
      </c>
      <c r="L21" s="201">
        <v>1503.93</v>
      </c>
      <c r="M21" s="203">
        <f t="shared" si="2"/>
        <v>8.44</v>
      </c>
      <c r="N21" s="204">
        <f t="shared" si="3"/>
        <v>0.67</v>
      </c>
      <c r="O21" s="205">
        <f t="shared" si="4"/>
        <v>0</v>
      </c>
      <c r="P21" s="206">
        <f t="shared" si="5"/>
        <v>0.67</v>
      </c>
      <c r="Q21" s="206">
        <f t="shared" si="6"/>
        <v>0</v>
      </c>
      <c r="R21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1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106450</v>
      </c>
      <c r="T21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107070</v>
      </c>
      <c r="U21" s="208">
        <f ca="1">IF(Tabla33610673489[[#This Row],[Equity]]&lt;Tabla33610673489[[#This Row],[Equity Peak]],(Tabla33610673489[[#This Row],[Equity Peak]]-Tabla33610673489[[#This Row],[Equity]])/Tabla33610673489[[#This Row],[Equity Peak]],"")</f>
        <v>5.7906042775754179E-3</v>
      </c>
      <c r="V21" s="209">
        <f t="shared" si="7"/>
        <v>0</v>
      </c>
      <c r="W21" s="209">
        <f t="shared" si="8"/>
        <v>0</v>
      </c>
      <c r="X21" s="209">
        <f t="shared" si="9"/>
        <v>0.67</v>
      </c>
      <c r="Y21" s="209">
        <f t="shared" si="10"/>
        <v>0</v>
      </c>
      <c r="Z21" s="209">
        <f t="shared" si="11"/>
        <v>0</v>
      </c>
      <c r="AA21" s="205">
        <f t="shared" si="12"/>
        <v>0</v>
      </c>
      <c r="AB21" s="209">
        <f t="shared" si="13"/>
        <v>0</v>
      </c>
      <c r="AC21" s="205">
        <f t="shared" si="14"/>
        <v>0</v>
      </c>
      <c r="AD21" s="210">
        <f t="shared" si="15"/>
        <v>2.1034722222175333</v>
      </c>
      <c r="AE21" s="210">
        <f t="shared" si="16"/>
        <v>2.1034722222175333</v>
      </c>
      <c r="AF21" s="210">
        <f t="shared" si="17"/>
        <v>0</v>
      </c>
      <c r="AG21" s="210">
        <f t="shared" si="18"/>
        <v>0</v>
      </c>
    </row>
    <row r="22" spans="2:33" ht="15" customHeight="1" x14ac:dyDescent="0.3">
      <c r="B22" s="196" t="s">
        <v>19</v>
      </c>
      <c r="C22" s="197" t="s">
        <v>15</v>
      </c>
      <c r="D22" s="198" t="str">
        <f t="shared" si="0"/>
        <v>C</v>
      </c>
      <c r="E22" s="199">
        <v>43746.708333333336</v>
      </c>
      <c r="F22" s="200" t="s">
        <v>88</v>
      </c>
      <c r="G22" s="201">
        <v>1506.27</v>
      </c>
      <c r="H22" s="201">
        <v>1485.62</v>
      </c>
      <c r="I22" s="202">
        <f t="shared" si="1"/>
        <v>20.650000000000091</v>
      </c>
      <c r="J22" s="201">
        <v>1638.45</v>
      </c>
      <c r="K22" s="199">
        <v>43749.615277777775</v>
      </c>
      <c r="L22" s="201">
        <v>1489.42</v>
      </c>
      <c r="M22" s="203">
        <f t="shared" si="2"/>
        <v>-16.850000000000001</v>
      </c>
      <c r="N22" s="204">
        <f t="shared" si="3"/>
        <v>-0.82</v>
      </c>
      <c r="O22" s="205">
        <f t="shared" si="4"/>
        <v>0</v>
      </c>
      <c r="P22" s="206">
        <f t="shared" si="5"/>
        <v>0</v>
      </c>
      <c r="Q22" s="206">
        <f t="shared" si="6"/>
        <v>-0.82</v>
      </c>
      <c r="R22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2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105780</v>
      </c>
      <c r="T22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107070</v>
      </c>
      <c r="U22" s="208">
        <f ca="1">IF(Tabla33610673489[[#This Row],[Equity]]&lt;Tabla33610673489[[#This Row],[Equity Peak]],(Tabla33610673489[[#This Row],[Equity Peak]]-Tabla33610673489[[#This Row],[Equity]])/Tabla33610673489[[#This Row],[Equity Peak]],"")</f>
        <v>1.2048192771084338E-2</v>
      </c>
      <c r="V22" s="209">
        <f t="shared" si="7"/>
        <v>0</v>
      </c>
      <c r="W22" s="209">
        <f t="shared" si="8"/>
        <v>0</v>
      </c>
      <c r="X22" s="209">
        <f t="shared" si="9"/>
        <v>-0.82</v>
      </c>
      <c r="Y22" s="209">
        <f t="shared" si="10"/>
        <v>0</v>
      </c>
      <c r="Z22" s="209">
        <f t="shared" si="11"/>
        <v>0</v>
      </c>
      <c r="AA22" s="205">
        <f t="shared" si="12"/>
        <v>0</v>
      </c>
      <c r="AB22" s="209">
        <f t="shared" si="13"/>
        <v>0</v>
      </c>
      <c r="AC22" s="205">
        <f t="shared" si="14"/>
        <v>0</v>
      </c>
      <c r="AD22" s="210">
        <f t="shared" si="15"/>
        <v>2.9069444444394321</v>
      </c>
      <c r="AE22" s="210">
        <f t="shared" si="16"/>
        <v>0</v>
      </c>
      <c r="AF22" s="210">
        <f t="shared" si="17"/>
        <v>2.9069444444394321</v>
      </c>
      <c r="AG22" s="210">
        <f t="shared" si="18"/>
        <v>0</v>
      </c>
    </row>
    <row r="23" spans="2:33" ht="15" customHeight="1" x14ac:dyDescent="0.3">
      <c r="B23" s="196" t="s">
        <v>19</v>
      </c>
      <c r="C23" s="197" t="s">
        <v>15</v>
      </c>
      <c r="D23" s="198" t="str">
        <f t="shared" si="0"/>
        <v>C</v>
      </c>
      <c r="E23" s="199">
        <v>43741.541666666664</v>
      </c>
      <c r="F23" s="200" t="s">
        <v>88</v>
      </c>
      <c r="G23" s="201">
        <v>1500.5</v>
      </c>
      <c r="H23" s="201">
        <v>1478.49</v>
      </c>
      <c r="I23" s="202">
        <f t="shared" si="1"/>
        <v>22.009999999999991</v>
      </c>
      <c r="J23" s="201">
        <v>1641.39</v>
      </c>
      <c r="K23" s="199">
        <v>43745.81527777778</v>
      </c>
      <c r="L23" s="201">
        <v>1490.16</v>
      </c>
      <c r="M23" s="203">
        <f t="shared" si="2"/>
        <v>-10.34</v>
      </c>
      <c r="N23" s="204">
        <f t="shared" si="3"/>
        <v>-0.47</v>
      </c>
      <c r="O23" s="205">
        <f t="shared" si="4"/>
        <v>0</v>
      </c>
      <c r="P23" s="206">
        <f t="shared" si="5"/>
        <v>0</v>
      </c>
      <c r="Q23" s="206">
        <f t="shared" si="6"/>
        <v>-0.47</v>
      </c>
      <c r="R23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3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106600</v>
      </c>
      <c r="T23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107070</v>
      </c>
      <c r="U23" s="208">
        <f ca="1">IF(Tabla33610673489[[#This Row],[Equity]]&lt;Tabla33610673489[[#This Row],[Equity Peak]],(Tabla33610673489[[#This Row],[Equity Peak]]-Tabla33610673489[[#This Row],[Equity]])/Tabla33610673489[[#This Row],[Equity Peak]],"")</f>
        <v>4.3896516297749133E-3</v>
      </c>
      <c r="V23" s="209">
        <f t="shared" si="7"/>
        <v>0</v>
      </c>
      <c r="W23" s="209">
        <f t="shared" si="8"/>
        <v>0</v>
      </c>
      <c r="X23" s="209">
        <f t="shared" si="9"/>
        <v>-0.47</v>
      </c>
      <c r="Y23" s="209">
        <f t="shared" si="10"/>
        <v>0</v>
      </c>
      <c r="Z23" s="209">
        <f t="shared" si="11"/>
        <v>0</v>
      </c>
      <c r="AA23" s="205">
        <f t="shared" si="12"/>
        <v>0</v>
      </c>
      <c r="AB23" s="209">
        <f t="shared" si="13"/>
        <v>0</v>
      </c>
      <c r="AC23" s="205">
        <f t="shared" si="14"/>
        <v>0</v>
      </c>
      <c r="AD23" s="210">
        <f t="shared" si="15"/>
        <v>4.273611111115315</v>
      </c>
      <c r="AE23" s="210">
        <f t="shared" si="16"/>
        <v>0</v>
      </c>
      <c r="AF23" s="210">
        <f t="shared" si="17"/>
        <v>4.273611111115315</v>
      </c>
      <c r="AG23" s="210">
        <f t="shared" si="18"/>
        <v>0</v>
      </c>
    </row>
    <row r="24" spans="2:33" ht="15" customHeight="1" x14ac:dyDescent="0.3">
      <c r="B24" s="196" t="s">
        <v>19</v>
      </c>
      <c r="C24" s="197" t="s">
        <v>15</v>
      </c>
      <c r="D24" s="198" t="str">
        <f t="shared" si="0"/>
        <v>C</v>
      </c>
      <c r="E24" s="199">
        <v>43728.875</v>
      </c>
      <c r="F24" s="200" t="s">
        <v>88</v>
      </c>
      <c r="G24" s="201">
        <v>1510.24</v>
      </c>
      <c r="H24" s="201">
        <v>1491.13</v>
      </c>
      <c r="I24" s="202">
        <f t="shared" si="1"/>
        <v>19.1099999999999</v>
      </c>
      <c r="J24" s="201">
        <v>1632.55</v>
      </c>
      <c r="K24" s="199">
        <v>43733.78402777778</v>
      </c>
      <c r="L24" s="201">
        <v>1517.17</v>
      </c>
      <c r="M24" s="203">
        <f t="shared" si="2"/>
        <v>6.93</v>
      </c>
      <c r="N24" s="204">
        <f t="shared" si="3"/>
        <v>0.36</v>
      </c>
      <c r="O24" s="205">
        <f t="shared" si="4"/>
        <v>0</v>
      </c>
      <c r="P24" s="206">
        <f t="shared" si="5"/>
        <v>0.36</v>
      </c>
      <c r="Q24" s="206">
        <f t="shared" si="6"/>
        <v>0</v>
      </c>
      <c r="R24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4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107070</v>
      </c>
      <c r="T24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107070</v>
      </c>
      <c r="U24" s="208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24" s="209">
        <f t="shared" si="7"/>
        <v>0</v>
      </c>
      <c r="W24" s="209">
        <f t="shared" si="8"/>
        <v>0</v>
      </c>
      <c r="X24" s="209">
        <f t="shared" si="9"/>
        <v>0.36</v>
      </c>
      <c r="Y24" s="209">
        <f t="shared" si="10"/>
        <v>0</v>
      </c>
      <c r="Z24" s="209">
        <f t="shared" si="11"/>
        <v>0</v>
      </c>
      <c r="AA24" s="205">
        <f t="shared" si="12"/>
        <v>0</v>
      </c>
      <c r="AB24" s="209">
        <f t="shared" si="13"/>
        <v>0</v>
      </c>
      <c r="AC24" s="205">
        <f t="shared" si="14"/>
        <v>0</v>
      </c>
      <c r="AD24" s="210">
        <f t="shared" si="15"/>
        <v>4.9090277777795563</v>
      </c>
      <c r="AE24" s="210">
        <f t="shared" si="16"/>
        <v>4.9090277777795563</v>
      </c>
      <c r="AF24" s="210">
        <f t="shared" si="17"/>
        <v>0</v>
      </c>
      <c r="AG24" s="210">
        <f t="shared" si="18"/>
        <v>0</v>
      </c>
    </row>
    <row r="25" spans="2:33" ht="15" customHeight="1" x14ac:dyDescent="0.3">
      <c r="B25" s="196" t="s">
        <v>19</v>
      </c>
      <c r="C25" s="197" t="s">
        <v>15</v>
      </c>
      <c r="D25" s="198" t="str">
        <f t="shared" si="0"/>
        <v>C</v>
      </c>
      <c r="E25" s="199">
        <v>43679.041666666664</v>
      </c>
      <c r="F25" s="200" t="s">
        <v>88</v>
      </c>
      <c r="G25" s="201">
        <v>1444.81</v>
      </c>
      <c r="H25" s="201">
        <v>1422.02</v>
      </c>
      <c r="I25" s="202">
        <f t="shared" si="1"/>
        <v>22.789999999999964</v>
      </c>
      <c r="J25" s="201">
        <v>1590.7</v>
      </c>
      <c r="K25" s="199">
        <v>43690.59652777778</v>
      </c>
      <c r="L25" s="201">
        <v>1515.19</v>
      </c>
      <c r="M25" s="203">
        <f t="shared" si="2"/>
        <v>70.38</v>
      </c>
      <c r="N25" s="204">
        <f t="shared" si="3"/>
        <v>3.09</v>
      </c>
      <c r="O25" s="205">
        <f t="shared" si="4"/>
        <v>0</v>
      </c>
      <c r="P25" s="206">
        <f t="shared" si="5"/>
        <v>3.09</v>
      </c>
      <c r="Q25" s="206">
        <f t="shared" si="6"/>
        <v>0</v>
      </c>
      <c r="R25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5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106710</v>
      </c>
      <c r="T25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106710</v>
      </c>
      <c r="U25" s="208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25" s="209">
        <f t="shared" si="7"/>
        <v>0</v>
      </c>
      <c r="W25" s="209">
        <f t="shared" si="8"/>
        <v>0</v>
      </c>
      <c r="X25" s="209">
        <f t="shared" si="9"/>
        <v>3.09</v>
      </c>
      <c r="Y25" s="209">
        <f t="shared" si="10"/>
        <v>0</v>
      </c>
      <c r="Z25" s="209">
        <f t="shared" si="11"/>
        <v>0</v>
      </c>
      <c r="AA25" s="205">
        <f t="shared" si="12"/>
        <v>0</v>
      </c>
      <c r="AB25" s="209">
        <f t="shared" si="13"/>
        <v>0</v>
      </c>
      <c r="AC25" s="205">
        <f t="shared" si="14"/>
        <v>0</v>
      </c>
      <c r="AD25" s="210">
        <f t="shared" si="15"/>
        <v>11.554861111115315</v>
      </c>
      <c r="AE25" s="210">
        <f t="shared" si="16"/>
        <v>11.554861111115315</v>
      </c>
      <c r="AF25" s="210">
        <f t="shared" si="17"/>
        <v>0</v>
      </c>
      <c r="AG25" s="210">
        <f t="shared" si="18"/>
        <v>0</v>
      </c>
    </row>
    <row r="26" spans="2:33" ht="15" customHeight="1" x14ac:dyDescent="0.3">
      <c r="B26" s="196" t="s">
        <v>19</v>
      </c>
      <c r="C26" s="197" t="s">
        <v>15</v>
      </c>
      <c r="D26" s="198" t="str">
        <f t="shared" si="0"/>
        <v>C</v>
      </c>
      <c r="E26" s="199">
        <v>43675.208333333336</v>
      </c>
      <c r="F26" s="200" t="s">
        <v>88</v>
      </c>
      <c r="G26" s="201">
        <v>1422.96</v>
      </c>
      <c r="H26" s="201">
        <v>1406.57</v>
      </c>
      <c r="I26" s="202">
        <f t="shared" si="1"/>
        <v>16.3900000000001</v>
      </c>
      <c r="J26" s="201">
        <v>1527.86</v>
      </c>
      <c r="K26" s="199">
        <v>43677.954861111109</v>
      </c>
      <c r="L26" s="201">
        <v>1419.64</v>
      </c>
      <c r="M26" s="203">
        <f t="shared" si="2"/>
        <v>-3.32</v>
      </c>
      <c r="N26" s="204">
        <f t="shared" si="3"/>
        <v>-0.2</v>
      </c>
      <c r="O26" s="205">
        <f t="shared" si="4"/>
        <v>0</v>
      </c>
      <c r="P26" s="206">
        <f t="shared" si="5"/>
        <v>0</v>
      </c>
      <c r="Q26" s="206">
        <f t="shared" si="6"/>
        <v>-0.2</v>
      </c>
      <c r="R26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6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103620</v>
      </c>
      <c r="T26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104250</v>
      </c>
      <c r="U26" s="208">
        <f ca="1">IF(Tabla33610673489[[#This Row],[Equity]]&lt;Tabla33610673489[[#This Row],[Equity Peak]],(Tabla33610673489[[#This Row],[Equity Peak]]-Tabla33610673489[[#This Row],[Equity]])/Tabla33610673489[[#This Row],[Equity Peak]],"")</f>
        <v>6.0431654676258995E-3</v>
      </c>
      <c r="V26" s="209">
        <f t="shared" si="7"/>
        <v>0</v>
      </c>
      <c r="W26" s="209">
        <f t="shared" si="8"/>
        <v>0</v>
      </c>
      <c r="X26" s="209">
        <f t="shared" si="9"/>
        <v>-0.2</v>
      </c>
      <c r="Y26" s="209">
        <f t="shared" si="10"/>
        <v>0</v>
      </c>
      <c r="Z26" s="209">
        <f t="shared" si="11"/>
        <v>0</v>
      </c>
      <c r="AA26" s="205">
        <f t="shared" si="12"/>
        <v>0</v>
      </c>
      <c r="AB26" s="209">
        <f t="shared" si="13"/>
        <v>0</v>
      </c>
      <c r="AC26" s="205">
        <f t="shared" si="14"/>
        <v>0</v>
      </c>
      <c r="AD26" s="210">
        <f t="shared" si="15"/>
        <v>2.7465277777737356</v>
      </c>
      <c r="AE26" s="210">
        <f t="shared" si="16"/>
        <v>0</v>
      </c>
      <c r="AF26" s="210">
        <f t="shared" si="17"/>
        <v>2.7465277777737356</v>
      </c>
      <c r="AG26" s="210">
        <f t="shared" si="18"/>
        <v>0</v>
      </c>
    </row>
    <row r="27" spans="2:33" ht="15" customHeight="1" x14ac:dyDescent="0.3">
      <c r="B27" s="196" t="s">
        <v>19</v>
      </c>
      <c r="C27" s="197" t="s">
        <v>15</v>
      </c>
      <c r="D27" s="198" t="str">
        <f t="shared" si="0"/>
        <v>C</v>
      </c>
      <c r="E27" s="199">
        <v>43663.708333333336</v>
      </c>
      <c r="F27" s="200" t="s">
        <v>88</v>
      </c>
      <c r="G27" s="201">
        <v>1411.91</v>
      </c>
      <c r="H27" s="201">
        <v>1396.16</v>
      </c>
      <c r="I27" s="202">
        <f t="shared" si="1"/>
        <v>15.75</v>
      </c>
      <c r="J27" s="201">
        <v>1512.73</v>
      </c>
      <c r="K27" s="199">
        <v>43665.809027777781</v>
      </c>
      <c r="L27" s="201">
        <v>1429.17</v>
      </c>
      <c r="M27" s="203">
        <f t="shared" si="2"/>
        <v>17.260000000000002</v>
      </c>
      <c r="N27" s="204">
        <f t="shared" si="3"/>
        <v>1.1000000000000001</v>
      </c>
      <c r="O27" s="205">
        <f t="shared" si="4"/>
        <v>0</v>
      </c>
      <c r="P27" s="206">
        <f t="shared" si="5"/>
        <v>1.1000000000000001</v>
      </c>
      <c r="Q27" s="206">
        <f t="shared" si="6"/>
        <v>0</v>
      </c>
      <c r="R27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7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103820</v>
      </c>
      <c r="T27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104250</v>
      </c>
      <c r="U27" s="208">
        <f ca="1">IF(Tabla33610673489[[#This Row],[Equity]]&lt;Tabla33610673489[[#This Row],[Equity Peak]],(Tabla33610673489[[#This Row],[Equity Peak]]-Tabla33610673489[[#This Row],[Equity]])/Tabla33610673489[[#This Row],[Equity Peak]],"")</f>
        <v>4.1247002398081536E-3</v>
      </c>
      <c r="V27" s="209">
        <f t="shared" si="7"/>
        <v>0</v>
      </c>
      <c r="W27" s="209">
        <f t="shared" si="8"/>
        <v>0</v>
      </c>
      <c r="X27" s="209">
        <f t="shared" si="9"/>
        <v>1.1000000000000001</v>
      </c>
      <c r="Y27" s="209">
        <f t="shared" si="10"/>
        <v>0</v>
      </c>
      <c r="Z27" s="209">
        <f t="shared" si="11"/>
        <v>0</v>
      </c>
      <c r="AA27" s="205">
        <f t="shared" si="12"/>
        <v>0</v>
      </c>
      <c r="AB27" s="209">
        <f t="shared" si="13"/>
        <v>0</v>
      </c>
      <c r="AC27" s="205">
        <f t="shared" si="14"/>
        <v>0</v>
      </c>
      <c r="AD27" s="210">
        <f t="shared" si="15"/>
        <v>2.1006944444452529</v>
      </c>
      <c r="AE27" s="210">
        <f t="shared" si="16"/>
        <v>2.1006944444452529</v>
      </c>
      <c r="AF27" s="210">
        <f t="shared" si="17"/>
        <v>0</v>
      </c>
      <c r="AG27" s="210">
        <f t="shared" si="18"/>
        <v>0</v>
      </c>
    </row>
    <row r="28" spans="2:33" ht="15" customHeight="1" x14ac:dyDescent="0.3">
      <c r="B28" s="196" t="s">
        <v>19</v>
      </c>
      <c r="C28" s="197" t="s">
        <v>15</v>
      </c>
      <c r="D28" s="198" t="str">
        <f t="shared" si="0"/>
        <v>C</v>
      </c>
      <c r="E28" s="199">
        <v>43656.875</v>
      </c>
      <c r="F28" s="200" t="s">
        <v>88</v>
      </c>
      <c r="G28" s="201">
        <v>1413.16</v>
      </c>
      <c r="H28" s="201">
        <v>1393.67</v>
      </c>
      <c r="I28" s="202">
        <f t="shared" si="1"/>
        <v>19.490000000000009</v>
      </c>
      <c r="J28" s="201">
        <v>1537.87</v>
      </c>
      <c r="K28" s="199">
        <v>43657.977777777778</v>
      </c>
      <c r="L28" s="201">
        <v>1403.07</v>
      </c>
      <c r="M28" s="203">
        <f t="shared" si="2"/>
        <v>-10.09</v>
      </c>
      <c r="N28" s="204">
        <f t="shared" si="3"/>
        <v>-0.52</v>
      </c>
      <c r="O28" s="205">
        <f t="shared" si="4"/>
        <v>0</v>
      </c>
      <c r="P28" s="206">
        <f t="shared" si="5"/>
        <v>0</v>
      </c>
      <c r="Q28" s="206">
        <f t="shared" si="6"/>
        <v>-0.52</v>
      </c>
      <c r="R28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8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102720</v>
      </c>
      <c r="T28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104250</v>
      </c>
      <c r="U28" s="208">
        <f ca="1">IF(Tabla33610673489[[#This Row],[Equity]]&lt;Tabla33610673489[[#This Row],[Equity Peak]],(Tabla33610673489[[#This Row],[Equity Peak]]-Tabla33610673489[[#This Row],[Equity]])/Tabla33610673489[[#This Row],[Equity Peak]],"")</f>
        <v>1.4676258992805755E-2</v>
      </c>
      <c r="V28" s="209">
        <f t="shared" si="7"/>
        <v>0</v>
      </c>
      <c r="W28" s="209">
        <f t="shared" si="8"/>
        <v>0</v>
      </c>
      <c r="X28" s="209">
        <f t="shared" si="9"/>
        <v>-0.52</v>
      </c>
      <c r="Y28" s="209">
        <f t="shared" si="10"/>
        <v>0</v>
      </c>
      <c r="Z28" s="209">
        <f t="shared" si="11"/>
        <v>0</v>
      </c>
      <c r="AA28" s="205">
        <f t="shared" si="12"/>
        <v>0</v>
      </c>
      <c r="AB28" s="209">
        <f t="shared" si="13"/>
        <v>0</v>
      </c>
      <c r="AC28" s="205">
        <f t="shared" si="14"/>
        <v>0</v>
      </c>
      <c r="AD28" s="210">
        <f t="shared" si="15"/>
        <v>1.1027777777781012</v>
      </c>
      <c r="AE28" s="210">
        <f t="shared" si="16"/>
        <v>0</v>
      </c>
      <c r="AF28" s="210">
        <f t="shared" si="17"/>
        <v>1.1027777777781012</v>
      </c>
      <c r="AG28" s="210">
        <f t="shared" si="18"/>
        <v>0</v>
      </c>
    </row>
    <row r="29" spans="2:33" ht="15" customHeight="1" x14ac:dyDescent="0.3">
      <c r="B29" s="196" t="s">
        <v>19</v>
      </c>
      <c r="C29" s="197" t="s">
        <v>15</v>
      </c>
      <c r="D29" s="198" t="str">
        <f t="shared" si="0"/>
        <v>C</v>
      </c>
      <c r="E29" s="199">
        <v>43615.875</v>
      </c>
      <c r="F29" s="200" t="s">
        <v>88</v>
      </c>
      <c r="G29" s="201">
        <v>1288.07</v>
      </c>
      <c r="H29" s="201">
        <v>1277.7</v>
      </c>
      <c r="I29" s="202">
        <f t="shared" si="1"/>
        <v>10.369999999999891</v>
      </c>
      <c r="J29" s="201">
        <v>1354.41</v>
      </c>
      <c r="K29" s="199">
        <v>43621.800694444442</v>
      </c>
      <c r="L29" s="201">
        <v>1326.98</v>
      </c>
      <c r="M29" s="203">
        <f t="shared" si="2"/>
        <v>38.909999999999997</v>
      </c>
      <c r="N29" s="204">
        <f t="shared" si="3"/>
        <v>3.75</v>
      </c>
      <c r="O29" s="205">
        <f t="shared" si="4"/>
        <v>0</v>
      </c>
      <c r="P29" s="206">
        <f t="shared" si="5"/>
        <v>3.75</v>
      </c>
      <c r="Q29" s="206">
        <f t="shared" si="6"/>
        <v>0</v>
      </c>
      <c r="R29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29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103240</v>
      </c>
      <c r="T29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104250</v>
      </c>
      <c r="U29" s="208">
        <f ca="1">IF(Tabla33610673489[[#This Row],[Equity]]&lt;Tabla33610673489[[#This Row],[Equity Peak]],(Tabla33610673489[[#This Row],[Equity Peak]]-Tabla33610673489[[#This Row],[Equity]])/Tabla33610673489[[#This Row],[Equity Peak]],"")</f>
        <v>9.688249400479616E-3</v>
      </c>
      <c r="V29" s="209">
        <f t="shared" si="7"/>
        <v>0</v>
      </c>
      <c r="W29" s="209">
        <f t="shared" si="8"/>
        <v>0</v>
      </c>
      <c r="X29" s="209">
        <f t="shared" si="9"/>
        <v>3.75</v>
      </c>
      <c r="Y29" s="209">
        <f t="shared" si="10"/>
        <v>0</v>
      </c>
      <c r="Z29" s="209">
        <f t="shared" si="11"/>
        <v>0</v>
      </c>
      <c r="AA29" s="205">
        <f t="shared" si="12"/>
        <v>0</v>
      </c>
      <c r="AB29" s="209">
        <f t="shared" si="13"/>
        <v>0</v>
      </c>
      <c r="AC29" s="205">
        <f t="shared" si="14"/>
        <v>0</v>
      </c>
      <c r="AD29" s="210">
        <f t="shared" si="15"/>
        <v>5.9256944444423425</v>
      </c>
      <c r="AE29" s="210">
        <f t="shared" si="16"/>
        <v>5.9256944444423425</v>
      </c>
      <c r="AF29" s="210">
        <f t="shared" si="17"/>
        <v>0</v>
      </c>
      <c r="AG29" s="210">
        <f t="shared" si="18"/>
        <v>0</v>
      </c>
    </row>
    <row r="30" spans="2:33" ht="15" customHeight="1" x14ac:dyDescent="0.3">
      <c r="B30" s="196" t="s">
        <v>19</v>
      </c>
      <c r="C30" s="197" t="s">
        <v>13</v>
      </c>
      <c r="D30" s="198" t="str">
        <f t="shared" si="0"/>
        <v>C</v>
      </c>
      <c r="E30" s="199">
        <v>43613.708333333336</v>
      </c>
      <c r="F30" s="200" t="s">
        <v>88</v>
      </c>
      <c r="G30" s="201">
        <v>1278.58</v>
      </c>
      <c r="H30" s="201">
        <v>1285.4100000000001</v>
      </c>
      <c r="I30" s="202">
        <f t="shared" si="1"/>
        <v>6.8300000000001546</v>
      </c>
      <c r="J30" s="201">
        <v>1234.8399999999999</v>
      </c>
      <c r="K30" s="199">
        <v>43614.48333333333</v>
      </c>
      <c r="L30" s="201">
        <v>1285.26</v>
      </c>
      <c r="M30" s="203">
        <f t="shared" si="2"/>
        <v>-6.68</v>
      </c>
      <c r="N30" s="204">
        <f t="shared" si="3"/>
        <v>-0.98</v>
      </c>
      <c r="O30" s="205">
        <f t="shared" si="4"/>
        <v>0</v>
      </c>
      <c r="P30" s="206">
        <f t="shared" si="5"/>
        <v>0</v>
      </c>
      <c r="Q30" s="206">
        <f t="shared" si="6"/>
        <v>-0.98</v>
      </c>
      <c r="R30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30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99490</v>
      </c>
      <c r="T30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104250</v>
      </c>
      <c r="U30" s="208">
        <f ca="1">IF(Tabla33610673489[[#This Row],[Equity]]&lt;Tabla33610673489[[#This Row],[Equity Peak]],(Tabla33610673489[[#This Row],[Equity Peak]]-Tabla33610673489[[#This Row],[Equity]])/Tabla33610673489[[#This Row],[Equity Peak]],"")</f>
        <v>4.565947242206235E-2</v>
      </c>
      <c r="V30" s="209">
        <f t="shared" si="7"/>
        <v>0</v>
      </c>
      <c r="W30" s="209">
        <f t="shared" si="8"/>
        <v>0</v>
      </c>
      <c r="X30" s="209">
        <f t="shared" si="9"/>
        <v>-0.98</v>
      </c>
      <c r="Y30" s="209">
        <f t="shared" si="10"/>
        <v>0</v>
      </c>
      <c r="Z30" s="209">
        <f t="shared" si="11"/>
        <v>0</v>
      </c>
      <c r="AA30" s="205">
        <f t="shared" si="12"/>
        <v>0</v>
      </c>
      <c r="AB30" s="209">
        <f t="shared" si="13"/>
        <v>0</v>
      </c>
      <c r="AC30" s="205">
        <f t="shared" si="14"/>
        <v>0</v>
      </c>
      <c r="AD30" s="210">
        <f t="shared" si="15"/>
        <v>0.77499999999417923</v>
      </c>
      <c r="AE30" s="210">
        <f t="shared" si="16"/>
        <v>0</v>
      </c>
      <c r="AF30" s="210">
        <f t="shared" si="17"/>
        <v>0.77499999999417923</v>
      </c>
      <c r="AG30" s="210">
        <f t="shared" si="18"/>
        <v>0</v>
      </c>
    </row>
    <row r="31" spans="2:33" ht="15" customHeight="1" x14ac:dyDescent="0.3">
      <c r="B31" s="196" t="s">
        <v>19</v>
      </c>
      <c r="C31" s="197" t="s">
        <v>15</v>
      </c>
      <c r="D31" s="198" t="str">
        <f t="shared" si="0"/>
        <v>C</v>
      </c>
      <c r="E31" s="199">
        <v>43609.208333333336</v>
      </c>
      <c r="F31" s="200" t="s">
        <v>88</v>
      </c>
      <c r="G31" s="201">
        <v>1282.78</v>
      </c>
      <c r="H31" s="201">
        <v>1275.8599999999999</v>
      </c>
      <c r="I31" s="202">
        <f t="shared" si="1"/>
        <v>6.9200000000000728</v>
      </c>
      <c r="J31" s="201">
        <v>1327.05</v>
      </c>
      <c r="K31" s="199">
        <v>43613.624305555553</v>
      </c>
      <c r="L31" s="201">
        <v>1279.7</v>
      </c>
      <c r="M31" s="203">
        <f t="shared" si="2"/>
        <v>-3.08</v>
      </c>
      <c r="N31" s="204">
        <f t="shared" si="3"/>
        <v>-0.45</v>
      </c>
      <c r="O31" s="205">
        <f t="shared" si="4"/>
        <v>0</v>
      </c>
      <c r="P31" s="206">
        <f t="shared" si="5"/>
        <v>0</v>
      </c>
      <c r="Q31" s="206">
        <f t="shared" si="6"/>
        <v>-0.45</v>
      </c>
      <c r="R31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31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100470</v>
      </c>
      <c r="T31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104250</v>
      </c>
      <c r="U31" s="208">
        <f ca="1">IF(Tabla33610673489[[#This Row],[Equity]]&lt;Tabla33610673489[[#This Row],[Equity Peak]],(Tabla33610673489[[#This Row],[Equity Peak]]-Tabla33610673489[[#This Row],[Equity]])/Tabla33610673489[[#This Row],[Equity Peak]],"")</f>
        <v>3.6258992805755397E-2</v>
      </c>
      <c r="V31" s="209">
        <f t="shared" si="7"/>
        <v>0</v>
      </c>
      <c r="W31" s="209">
        <f t="shared" si="8"/>
        <v>0</v>
      </c>
      <c r="X31" s="209">
        <f t="shared" si="9"/>
        <v>-0.45</v>
      </c>
      <c r="Y31" s="209">
        <f t="shared" si="10"/>
        <v>0</v>
      </c>
      <c r="Z31" s="209">
        <f t="shared" si="11"/>
        <v>0</v>
      </c>
      <c r="AA31" s="205">
        <f t="shared" si="12"/>
        <v>0</v>
      </c>
      <c r="AB31" s="209">
        <f t="shared" si="13"/>
        <v>0</v>
      </c>
      <c r="AC31" s="205">
        <f t="shared" si="14"/>
        <v>0</v>
      </c>
      <c r="AD31" s="210">
        <f t="shared" si="15"/>
        <v>4.4159722222175333</v>
      </c>
      <c r="AE31" s="210">
        <f t="shared" si="16"/>
        <v>0</v>
      </c>
      <c r="AF31" s="210">
        <f t="shared" si="17"/>
        <v>4.4159722222175333</v>
      </c>
      <c r="AG31" s="210">
        <f t="shared" si="18"/>
        <v>0</v>
      </c>
    </row>
    <row r="32" spans="2:33" ht="15" customHeight="1" x14ac:dyDescent="0.3">
      <c r="B32" s="196" t="s">
        <v>19</v>
      </c>
      <c r="C32" s="197" t="s">
        <v>15</v>
      </c>
      <c r="D32" s="198" t="str">
        <f t="shared" si="0"/>
        <v>C</v>
      </c>
      <c r="E32" s="199">
        <v>43591.375</v>
      </c>
      <c r="F32" s="200" t="s">
        <v>88</v>
      </c>
      <c r="G32" s="201">
        <v>1282.77</v>
      </c>
      <c r="H32" s="201">
        <v>1273.03</v>
      </c>
      <c r="I32" s="202">
        <f t="shared" si="1"/>
        <v>9.7400000000000091</v>
      </c>
      <c r="J32" s="201">
        <v>1345.1</v>
      </c>
      <c r="K32" s="199">
        <v>43593.789583333331</v>
      </c>
      <c r="L32" s="201">
        <v>1281.04</v>
      </c>
      <c r="M32" s="203">
        <f t="shared" si="2"/>
        <v>-1.73</v>
      </c>
      <c r="N32" s="204">
        <f t="shared" si="3"/>
        <v>-0.18</v>
      </c>
      <c r="O32" s="205">
        <f t="shared" si="4"/>
        <v>0</v>
      </c>
      <c r="P32" s="206">
        <f t="shared" si="5"/>
        <v>0</v>
      </c>
      <c r="Q32" s="206">
        <f t="shared" si="6"/>
        <v>-0.18</v>
      </c>
      <c r="R32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32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100920</v>
      </c>
      <c r="T32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104250</v>
      </c>
      <c r="U32" s="208">
        <f ca="1">IF(Tabla33610673489[[#This Row],[Equity]]&lt;Tabla33610673489[[#This Row],[Equity Peak]],(Tabla33610673489[[#This Row],[Equity Peak]]-Tabla33610673489[[#This Row],[Equity]])/Tabla33610673489[[#This Row],[Equity Peak]],"")</f>
        <v>3.1942446043165471E-2</v>
      </c>
      <c r="V32" s="209">
        <f t="shared" si="7"/>
        <v>0</v>
      </c>
      <c r="W32" s="209">
        <f t="shared" si="8"/>
        <v>0</v>
      </c>
      <c r="X32" s="209">
        <f t="shared" si="9"/>
        <v>-0.18</v>
      </c>
      <c r="Y32" s="209">
        <f t="shared" si="10"/>
        <v>0</v>
      </c>
      <c r="Z32" s="209">
        <f t="shared" si="11"/>
        <v>0</v>
      </c>
      <c r="AA32" s="205">
        <f t="shared" si="12"/>
        <v>0</v>
      </c>
      <c r="AB32" s="209">
        <f t="shared" si="13"/>
        <v>0</v>
      </c>
      <c r="AC32" s="205">
        <f t="shared" si="14"/>
        <v>0</v>
      </c>
      <c r="AD32" s="210">
        <f t="shared" si="15"/>
        <v>2.4145833333313931</v>
      </c>
      <c r="AE32" s="210">
        <f t="shared" si="16"/>
        <v>0</v>
      </c>
      <c r="AF32" s="210">
        <f t="shared" si="17"/>
        <v>2.4145833333313931</v>
      </c>
      <c r="AG32" s="210">
        <f t="shared" si="18"/>
        <v>0</v>
      </c>
    </row>
    <row r="33" spans="2:33" ht="15" customHeight="1" x14ac:dyDescent="0.3">
      <c r="B33" s="196" t="s">
        <v>19</v>
      </c>
      <c r="C33" s="197" t="s">
        <v>13</v>
      </c>
      <c r="D33" s="198" t="str">
        <f t="shared" si="0"/>
        <v>C</v>
      </c>
      <c r="E33" s="199">
        <v>43587.041666666664</v>
      </c>
      <c r="F33" s="200" t="s">
        <v>88</v>
      </c>
      <c r="G33" s="201">
        <v>1276.92</v>
      </c>
      <c r="H33" s="201">
        <v>1287.17</v>
      </c>
      <c r="I33" s="202">
        <f t="shared" si="1"/>
        <v>10.25</v>
      </c>
      <c r="J33" s="201">
        <v>1211.32</v>
      </c>
      <c r="K33" s="199">
        <v>43588.754861111112</v>
      </c>
      <c r="L33" s="201">
        <v>1280.69</v>
      </c>
      <c r="M33" s="203">
        <f t="shared" si="2"/>
        <v>-3.77</v>
      </c>
      <c r="N33" s="204">
        <f t="shared" si="3"/>
        <v>-0.37</v>
      </c>
      <c r="O33" s="205">
        <f t="shared" si="4"/>
        <v>0</v>
      </c>
      <c r="P33" s="206">
        <f t="shared" si="5"/>
        <v>0</v>
      </c>
      <c r="Q33" s="206">
        <f t="shared" si="6"/>
        <v>-0.37</v>
      </c>
      <c r="R33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33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101100</v>
      </c>
      <c r="T33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104250</v>
      </c>
      <c r="U33" s="208">
        <f ca="1">IF(Tabla33610673489[[#This Row],[Equity]]&lt;Tabla33610673489[[#This Row],[Equity Peak]],(Tabla33610673489[[#This Row],[Equity Peak]]-Tabla33610673489[[#This Row],[Equity]])/Tabla33610673489[[#This Row],[Equity Peak]],"")</f>
        <v>3.0215827338129497E-2</v>
      </c>
      <c r="V33" s="209">
        <f t="shared" si="7"/>
        <v>0</v>
      </c>
      <c r="W33" s="209">
        <f t="shared" si="8"/>
        <v>0</v>
      </c>
      <c r="X33" s="209">
        <f t="shared" si="9"/>
        <v>-0.37</v>
      </c>
      <c r="Y33" s="209">
        <f t="shared" si="10"/>
        <v>0</v>
      </c>
      <c r="Z33" s="209">
        <f t="shared" si="11"/>
        <v>0</v>
      </c>
      <c r="AA33" s="205">
        <f t="shared" si="12"/>
        <v>0</v>
      </c>
      <c r="AB33" s="209">
        <f t="shared" si="13"/>
        <v>0</v>
      </c>
      <c r="AC33" s="205">
        <f t="shared" si="14"/>
        <v>0</v>
      </c>
      <c r="AD33" s="210">
        <f t="shared" si="15"/>
        <v>1.7131944444481633</v>
      </c>
      <c r="AE33" s="210">
        <f t="shared" si="16"/>
        <v>0</v>
      </c>
      <c r="AF33" s="210">
        <f t="shared" si="17"/>
        <v>1.7131944444481633</v>
      </c>
      <c r="AG33" s="210">
        <f t="shared" si="18"/>
        <v>0</v>
      </c>
    </row>
    <row r="34" spans="2:33" ht="15" customHeight="1" x14ac:dyDescent="0.3">
      <c r="B34" s="196" t="s">
        <v>19</v>
      </c>
      <c r="C34" s="197" t="s">
        <v>15</v>
      </c>
      <c r="D34" s="198" t="str">
        <f t="shared" si="0"/>
        <v>C</v>
      </c>
      <c r="E34" s="199">
        <v>43585.208333333336</v>
      </c>
      <c r="F34" s="200" t="s">
        <v>88</v>
      </c>
      <c r="G34" s="201">
        <v>1282.33</v>
      </c>
      <c r="H34" s="201">
        <v>1273.6600000000001</v>
      </c>
      <c r="I34" s="202">
        <f t="shared" si="1"/>
        <v>8.6699999999998454</v>
      </c>
      <c r="J34" s="201">
        <v>1337.8</v>
      </c>
      <c r="K34" s="199">
        <v>43586.979861111111</v>
      </c>
      <c r="L34" s="201">
        <v>1275.6300000000001</v>
      </c>
      <c r="M34" s="203">
        <f t="shared" si="2"/>
        <v>-6.7</v>
      </c>
      <c r="N34" s="204">
        <f t="shared" si="3"/>
        <v>-0.77</v>
      </c>
      <c r="O34" s="205">
        <f t="shared" si="4"/>
        <v>0</v>
      </c>
      <c r="P34" s="206">
        <f t="shared" si="5"/>
        <v>0</v>
      </c>
      <c r="Q34" s="206">
        <f t="shared" si="6"/>
        <v>-0.77</v>
      </c>
      <c r="R34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34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101470</v>
      </c>
      <c r="T34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104250</v>
      </c>
      <c r="U34" s="208">
        <f ca="1">IF(Tabla33610673489[[#This Row],[Equity]]&lt;Tabla33610673489[[#This Row],[Equity Peak]],(Tabla33610673489[[#This Row],[Equity Peak]]-Tabla33610673489[[#This Row],[Equity]])/Tabla33610673489[[#This Row],[Equity Peak]],"")</f>
        <v>2.6666666666666668E-2</v>
      </c>
      <c r="V34" s="209">
        <f t="shared" si="7"/>
        <v>0</v>
      </c>
      <c r="W34" s="209">
        <f t="shared" si="8"/>
        <v>0</v>
      </c>
      <c r="X34" s="209">
        <f t="shared" si="9"/>
        <v>-0.77</v>
      </c>
      <c r="Y34" s="209">
        <f t="shared" si="10"/>
        <v>0</v>
      </c>
      <c r="Z34" s="209">
        <f t="shared" si="11"/>
        <v>0</v>
      </c>
      <c r="AA34" s="205">
        <f t="shared" si="12"/>
        <v>0</v>
      </c>
      <c r="AB34" s="209">
        <f t="shared" si="13"/>
        <v>0</v>
      </c>
      <c r="AC34" s="205">
        <f t="shared" si="14"/>
        <v>0</v>
      </c>
      <c r="AD34" s="210">
        <f t="shared" si="15"/>
        <v>1.7715277777751908</v>
      </c>
      <c r="AE34" s="210">
        <f t="shared" si="16"/>
        <v>0</v>
      </c>
      <c r="AF34" s="210">
        <f t="shared" si="17"/>
        <v>1.7715277777751908</v>
      </c>
      <c r="AG34" s="210">
        <f t="shared" si="18"/>
        <v>0</v>
      </c>
    </row>
    <row r="35" spans="2:33" ht="15" customHeight="1" x14ac:dyDescent="0.3">
      <c r="B35" s="196" t="s">
        <v>19</v>
      </c>
      <c r="C35" s="197" t="s">
        <v>13</v>
      </c>
      <c r="D35" s="198" t="str">
        <f t="shared" si="0"/>
        <v>C</v>
      </c>
      <c r="E35" s="199">
        <v>43584.875</v>
      </c>
      <c r="F35" s="200" t="s">
        <v>88</v>
      </c>
      <c r="G35" s="201">
        <v>1279.1099999999999</v>
      </c>
      <c r="H35" s="201">
        <v>1289.31</v>
      </c>
      <c r="I35" s="202">
        <f t="shared" si="1"/>
        <v>10.200000000000045</v>
      </c>
      <c r="J35" s="201">
        <v>1213.82</v>
      </c>
      <c r="K35" s="199">
        <v>43585.208333333336</v>
      </c>
      <c r="L35" s="201">
        <v>1282.33</v>
      </c>
      <c r="M35" s="203">
        <f t="shared" si="2"/>
        <v>-3.22</v>
      </c>
      <c r="N35" s="204">
        <f t="shared" si="3"/>
        <v>-0.32</v>
      </c>
      <c r="O35" s="205">
        <f t="shared" si="4"/>
        <v>0</v>
      </c>
      <c r="P35" s="206">
        <f t="shared" si="5"/>
        <v>0</v>
      </c>
      <c r="Q35" s="206">
        <f t="shared" si="6"/>
        <v>-0.32</v>
      </c>
      <c r="R35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35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102240</v>
      </c>
      <c r="T35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104250</v>
      </c>
      <c r="U35" s="208">
        <f ca="1">IF(Tabla33610673489[[#This Row],[Equity]]&lt;Tabla33610673489[[#This Row],[Equity Peak]],(Tabla33610673489[[#This Row],[Equity Peak]]-Tabla33610673489[[#This Row],[Equity]])/Tabla33610673489[[#This Row],[Equity Peak]],"")</f>
        <v>1.9280575539568346E-2</v>
      </c>
      <c r="V35" s="209">
        <f t="shared" si="7"/>
        <v>0</v>
      </c>
      <c r="W35" s="209">
        <f t="shared" si="8"/>
        <v>0</v>
      </c>
      <c r="X35" s="209">
        <f t="shared" si="9"/>
        <v>-0.32</v>
      </c>
      <c r="Y35" s="209">
        <f t="shared" si="10"/>
        <v>0</v>
      </c>
      <c r="Z35" s="209">
        <f t="shared" si="11"/>
        <v>0</v>
      </c>
      <c r="AA35" s="205">
        <f t="shared" si="12"/>
        <v>0</v>
      </c>
      <c r="AB35" s="209">
        <f t="shared" si="13"/>
        <v>0</v>
      </c>
      <c r="AC35" s="205">
        <f t="shared" si="14"/>
        <v>0</v>
      </c>
      <c r="AD35" s="210">
        <f t="shared" si="15"/>
        <v>0.33333333333575865</v>
      </c>
      <c r="AE35" s="210">
        <f t="shared" si="16"/>
        <v>0</v>
      </c>
      <c r="AF35" s="210">
        <f t="shared" si="17"/>
        <v>0.33333333333575865</v>
      </c>
      <c r="AG35" s="210">
        <f t="shared" si="18"/>
        <v>0</v>
      </c>
    </row>
    <row r="36" spans="2:33" ht="15" customHeight="1" x14ac:dyDescent="0.3">
      <c r="B36" s="196" t="s">
        <v>19</v>
      </c>
      <c r="C36" s="197" t="s">
        <v>15</v>
      </c>
      <c r="D36" s="198" t="str">
        <f t="shared" si="0"/>
        <v>C</v>
      </c>
      <c r="E36" s="199">
        <v>43581.708333333336</v>
      </c>
      <c r="F36" s="200" t="s">
        <v>88</v>
      </c>
      <c r="G36" s="201">
        <v>1285.68</v>
      </c>
      <c r="H36" s="201">
        <v>1274.8699999999999</v>
      </c>
      <c r="I36" s="202">
        <f t="shared" si="1"/>
        <v>10.810000000000173</v>
      </c>
      <c r="J36" s="201">
        <v>1354.87</v>
      </c>
      <c r="K36" s="199">
        <v>43584.875</v>
      </c>
      <c r="L36" s="201">
        <v>1279.1099999999999</v>
      </c>
      <c r="M36" s="203">
        <f t="shared" si="2"/>
        <v>-6.57</v>
      </c>
      <c r="N36" s="204">
        <f t="shared" si="3"/>
        <v>-0.61</v>
      </c>
      <c r="O36" s="205">
        <f t="shared" si="4"/>
        <v>0</v>
      </c>
      <c r="P36" s="206">
        <f t="shared" si="5"/>
        <v>0</v>
      </c>
      <c r="Q36" s="206">
        <f t="shared" si="6"/>
        <v>-0.61</v>
      </c>
      <c r="R36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36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102560</v>
      </c>
      <c r="T36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104250</v>
      </c>
      <c r="U36" s="208">
        <f ca="1">IF(Tabla33610673489[[#This Row],[Equity]]&lt;Tabla33610673489[[#This Row],[Equity Peak]],(Tabla33610673489[[#This Row],[Equity Peak]]-Tabla33610673489[[#This Row],[Equity]])/Tabla33610673489[[#This Row],[Equity Peak]],"")</f>
        <v>1.6211031175059953E-2</v>
      </c>
      <c r="V36" s="209">
        <f t="shared" si="7"/>
        <v>0</v>
      </c>
      <c r="W36" s="209">
        <f t="shared" si="8"/>
        <v>0</v>
      </c>
      <c r="X36" s="209">
        <f t="shared" si="9"/>
        <v>-0.61</v>
      </c>
      <c r="Y36" s="209">
        <f t="shared" si="10"/>
        <v>0</v>
      </c>
      <c r="Z36" s="209">
        <f t="shared" si="11"/>
        <v>0</v>
      </c>
      <c r="AA36" s="205">
        <f t="shared" si="12"/>
        <v>0</v>
      </c>
      <c r="AB36" s="209">
        <f t="shared" si="13"/>
        <v>0</v>
      </c>
      <c r="AC36" s="205">
        <f t="shared" si="14"/>
        <v>0</v>
      </c>
      <c r="AD36" s="210">
        <f t="shared" si="15"/>
        <v>3.1666666666642413</v>
      </c>
      <c r="AE36" s="210">
        <f t="shared" si="16"/>
        <v>0</v>
      </c>
      <c r="AF36" s="210">
        <f t="shared" si="17"/>
        <v>3.1666666666642413</v>
      </c>
      <c r="AG36" s="210">
        <f t="shared" si="18"/>
        <v>0</v>
      </c>
    </row>
    <row r="37" spans="2:33" ht="15" customHeight="1" x14ac:dyDescent="0.3">
      <c r="B37" s="196" t="s">
        <v>19</v>
      </c>
      <c r="C37" s="197" t="s">
        <v>13</v>
      </c>
      <c r="D37" s="198" t="str">
        <f t="shared" si="0"/>
        <v>C</v>
      </c>
      <c r="E37" s="199">
        <v>43571.708333333336</v>
      </c>
      <c r="F37" s="200" t="s">
        <v>88</v>
      </c>
      <c r="G37" s="201">
        <v>1276.29</v>
      </c>
      <c r="H37" s="201">
        <v>1287.0899999999999</v>
      </c>
      <c r="I37" s="202">
        <f t="shared" si="1"/>
        <v>10.799999999999955</v>
      </c>
      <c r="J37" s="201">
        <v>1207.19</v>
      </c>
      <c r="K37" s="199">
        <v>43579.81527777778</v>
      </c>
      <c r="L37" s="201">
        <v>1277.99</v>
      </c>
      <c r="M37" s="203">
        <f t="shared" si="2"/>
        <v>-1.7</v>
      </c>
      <c r="N37" s="204">
        <f t="shared" si="3"/>
        <v>-0.16</v>
      </c>
      <c r="O37" s="205">
        <f t="shared" si="4"/>
        <v>0</v>
      </c>
      <c r="P37" s="206">
        <f t="shared" si="5"/>
        <v>0</v>
      </c>
      <c r="Q37" s="206">
        <f t="shared" si="6"/>
        <v>-0.16</v>
      </c>
      <c r="R37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37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103170</v>
      </c>
      <c r="T37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104250</v>
      </c>
      <c r="U37" s="208">
        <f ca="1">IF(Tabla33610673489[[#This Row],[Equity]]&lt;Tabla33610673489[[#This Row],[Equity Peak]],(Tabla33610673489[[#This Row],[Equity Peak]]-Tabla33610673489[[#This Row],[Equity]])/Tabla33610673489[[#This Row],[Equity Peak]],"")</f>
        <v>1.0359712230215827E-2</v>
      </c>
      <c r="V37" s="209">
        <f t="shared" si="7"/>
        <v>0</v>
      </c>
      <c r="W37" s="209">
        <f t="shared" si="8"/>
        <v>0</v>
      </c>
      <c r="X37" s="209">
        <f t="shared" si="9"/>
        <v>-0.16</v>
      </c>
      <c r="Y37" s="209">
        <f t="shared" si="10"/>
        <v>0</v>
      </c>
      <c r="Z37" s="209">
        <f t="shared" si="11"/>
        <v>0</v>
      </c>
      <c r="AA37" s="205">
        <f t="shared" si="12"/>
        <v>0</v>
      </c>
      <c r="AB37" s="209">
        <f t="shared" si="13"/>
        <v>0</v>
      </c>
      <c r="AC37" s="205">
        <f t="shared" si="14"/>
        <v>0</v>
      </c>
      <c r="AD37" s="210">
        <f t="shared" si="15"/>
        <v>8.1069444444437977</v>
      </c>
      <c r="AE37" s="210">
        <f t="shared" si="16"/>
        <v>0</v>
      </c>
      <c r="AF37" s="210">
        <f t="shared" si="17"/>
        <v>8.1069444444437977</v>
      </c>
      <c r="AG37" s="210">
        <f t="shared" si="18"/>
        <v>0</v>
      </c>
    </row>
    <row r="38" spans="2:33" ht="15" customHeight="1" x14ac:dyDescent="0.3">
      <c r="B38" s="196" t="s">
        <v>19</v>
      </c>
      <c r="C38" s="197" t="s">
        <v>15</v>
      </c>
      <c r="D38" s="198" t="str">
        <f t="shared" si="0"/>
        <v>C</v>
      </c>
      <c r="E38" s="199">
        <v>43563.708333333336</v>
      </c>
      <c r="F38" s="200" t="s">
        <v>88</v>
      </c>
      <c r="G38" s="201">
        <v>1301.04</v>
      </c>
      <c r="H38" s="201">
        <v>1289.2</v>
      </c>
      <c r="I38" s="202">
        <f t="shared" si="1"/>
        <v>11.839999999999918</v>
      </c>
      <c r="J38" s="201">
        <v>1376.82</v>
      </c>
      <c r="K38" s="199">
        <v>43566.620833333334</v>
      </c>
      <c r="L38" s="201">
        <v>1299.5999999999999</v>
      </c>
      <c r="M38" s="203">
        <f t="shared" si="2"/>
        <v>-1.44</v>
      </c>
      <c r="N38" s="204">
        <f t="shared" si="3"/>
        <v>-0.12</v>
      </c>
      <c r="O38" s="205">
        <f t="shared" si="4"/>
        <v>0</v>
      </c>
      <c r="P38" s="206">
        <f t="shared" si="5"/>
        <v>0</v>
      </c>
      <c r="Q38" s="206">
        <f t="shared" si="6"/>
        <v>-0.12</v>
      </c>
      <c r="R38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38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103330</v>
      </c>
      <c r="T38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104250</v>
      </c>
      <c r="U38" s="208">
        <f ca="1">IF(Tabla33610673489[[#This Row],[Equity]]&lt;Tabla33610673489[[#This Row],[Equity Peak]],(Tabla33610673489[[#This Row],[Equity Peak]]-Tabla33610673489[[#This Row],[Equity]])/Tabla33610673489[[#This Row],[Equity Peak]],"")</f>
        <v>8.8249400479616311E-3</v>
      </c>
      <c r="V38" s="209">
        <f t="shared" si="7"/>
        <v>0</v>
      </c>
      <c r="W38" s="209">
        <f t="shared" si="8"/>
        <v>0</v>
      </c>
      <c r="X38" s="209">
        <f t="shared" si="9"/>
        <v>-0.12</v>
      </c>
      <c r="Y38" s="209">
        <f t="shared" si="10"/>
        <v>0</v>
      </c>
      <c r="Z38" s="209">
        <f t="shared" si="11"/>
        <v>0</v>
      </c>
      <c r="AA38" s="205">
        <f t="shared" si="12"/>
        <v>0</v>
      </c>
      <c r="AB38" s="209">
        <f t="shared" si="13"/>
        <v>0</v>
      </c>
      <c r="AC38" s="205">
        <f t="shared" si="14"/>
        <v>0</v>
      </c>
      <c r="AD38" s="210">
        <f t="shared" si="15"/>
        <v>2.9124999999985448</v>
      </c>
      <c r="AE38" s="210">
        <f t="shared" si="16"/>
        <v>0</v>
      </c>
      <c r="AF38" s="210">
        <f t="shared" si="17"/>
        <v>2.9124999999985448</v>
      </c>
      <c r="AG38" s="210">
        <f t="shared" si="18"/>
        <v>0</v>
      </c>
    </row>
    <row r="39" spans="2:33" ht="15" customHeight="1" x14ac:dyDescent="0.3">
      <c r="B39" s="196" t="s">
        <v>19</v>
      </c>
      <c r="C39" s="197" t="s">
        <v>15</v>
      </c>
      <c r="D39" s="198" t="str">
        <f t="shared" si="0"/>
        <v>C</v>
      </c>
      <c r="E39" s="199">
        <v>43539.708333333336</v>
      </c>
      <c r="F39" s="200" t="s">
        <v>88</v>
      </c>
      <c r="G39" s="201">
        <v>1304.76</v>
      </c>
      <c r="H39" s="201">
        <v>1294.04</v>
      </c>
      <c r="I39" s="202">
        <f t="shared" si="1"/>
        <v>10.720000000000027</v>
      </c>
      <c r="J39" s="201">
        <v>1373.35</v>
      </c>
      <c r="K39" s="199">
        <v>43544.8125</v>
      </c>
      <c r="L39" s="201">
        <v>1300.42</v>
      </c>
      <c r="M39" s="203">
        <f t="shared" si="2"/>
        <v>-4.34</v>
      </c>
      <c r="N39" s="204">
        <f t="shared" si="3"/>
        <v>-0.4</v>
      </c>
      <c r="O39" s="205">
        <f t="shared" si="4"/>
        <v>0</v>
      </c>
      <c r="P39" s="206">
        <f t="shared" si="5"/>
        <v>0</v>
      </c>
      <c r="Q39" s="206">
        <f t="shared" si="6"/>
        <v>-0.4</v>
      </c>
      <c r="R39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39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103450</v>
      </c>
      <c r="T39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104250</v>
      </c>
      <c r="U39" s="208">
        <f ca="1">IF(Tabla33610673489[[#This Row],[Equity]]&lt;Tabla33610673489[[#This Row],[Equity Peak]],(Tabla33610673489[[#This Row],[Equity Peak]]-Tabla33610673489[[#This Row],[Equity]])/Tabla33610673489[[#This Row],[Equity Peak]],"")</f>
        <v>7.6738609112709834E-3</v>
      </c>
      <c r="V39" s="209">
        <f t="shared" si="7"/>
        <v>0</v>
      </c>
      <c r="W39" s="209">
        <f t="shared" si="8"/>
        <v>0</v>
      </c>
      <c r="X39" s="209">
        <f t="shared" si="9"/>
        <v>-0.4</v>
      </c>
      <c r="Y39" s="209">
        <f t="shared" si="10"/>
        <v>0</v>
      </c>
      <c r="Z39" s="209">
        <f t="shared" si="11"/>
        <v>0</v>
      </c>
      <c r="AA39" s="205">
        <f t="shared" si="12"/>
        <v>0</v>
      </c>
      <c r="AB39" s="209">
        <f t="shared" si="13"/>
        <v>0</v>
      </c>
      <c r="AC39" s="205">
        <f t="shared" si="14"/>
        <v>0</v>
      </c>
      <c r="AD39" s="210">
        <f t="shared" si="15"/>
        <v>5.1041666666642413</v>
      </c>
      <c r="AE39" s="210">
        <f t="shared" si="16"/>
        <v>0</v>
      </c>
      <c r="AF39" s="210">
        <f t="shared" si="17"/>
        <v>5.1041666666642413</v>
      </c>
      <c r="AG39" s="210">
        <f t="shared" si="18"/>
        <v>0</v>
      </c>
    </row>
    <row r="40" spans="2:33" ht="15" customHeight="1" x14ac:dyDescent="0.3">
      <c r="B40" s="196" t="s">
        <v>19</v>
      </c>
      <c r="C40" s="197" t="s">
        <v>15</v>
      </c>
      <c r="D40" s="198" t="str">
        <f t="shared" si="0"/>
        <v>C</v>
      </c>
      <c r="E40" s="199">
        <v>43537.208333333336</v>
      </c>
      <c r="F40" s="200" t="s">
        <v>88</v>
      </c>
      <c r="G40" s="201">
        <v>1304.04</v>
      </c>
      <c r="H40" s="201">
        <v>1295.8900000000001</v>
      </c>
      <c r="I40" s="202">
        <f t="shared" si="1"/>
        <v>8.1499999999998636</v>
      </c>
      <c r="J40" s="201">
        <v>1356.22</v>
      </c>
      <c r="K40" s="199">
        <v>43538.450694444444</v>
      </c>
      <c r="L40" s="201">
        <v>1300.76</v>
      </c>
      <c r="M40" s="203">
        <f t="shared" si="2"/>
        <v>-3.28</v>
      </c>
      <c r="N40" s="204">
        <f t="shared" si="3"/>
        <v>-0.4</v>
      </c>
      <c r="O40" s="205">
        <f t="shared" si="4"/>
        <v>0</v>
      </c>
      <c r="P40" s="206">
        <f t="shared" si="5"/>
        <v>0</v>
      </c>
      <c r="Q40" s="206">
        <f t="shared" si="6"/>
        <v>-0.4</v>
      </c>
      <c r="R40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40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103850</v>
      </c>
      <c r="T40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104250</v>
      </c>
      <c r="U40" s="208">
        <f ca="1">IF(Tabla33610673489[[#This Row],[Equity]]&lt;Tabla33610673489[[#This Row],[Equity Peak]],(Tabla33610673489[[#This Row],[Equity Peak]]-Tabla33610673489[[#This Row],[Equity]])/Tabla33610673489[[#This Row],[Equity Peak]],"")</f>
        <v>3.8369304556354917E-3</v>
      </c>
      <c r="V40" s="209">
        <f t="shared" si="7"/>
        <v>0</v>
      </c>
      <c r="W40" s="209">
        <f t="shared" si="8"/>
        <v>0</v>
      </c>
      <c r="X40" s="209">
        <f t="shared" si="9"/>
        <v>-0.4</v>
      </c>
      <c r="Y40" s="209">
        <f t="shared" si="10"/>
        <v>0</v>
      </c>
      <c r="Z40" s="209">
        <f t="shared" si="11"/>
        <v>0</v>
      </c>
      <c r="AA40" s="205">
        <f t="shared" si="12"/>
        <v>0</v>
      </c>
      <c r="AB40" s="209">
        <f t="shared" si="13"/>
        <v>0</v>
      </c>
      <c r="AC40" s="205">
        <f t="shared" si="14"/>
        <v>0</v>
      </c>
      <c r="AD40" s="210">
        <f t="shared" si="15"/>
        <v>1.242361111108039</v>
      </c>
      <c r="AE40" s="210">
        <f t="shared" si="16"/>
        <v>0</v>
      </c>
      <c r="AF40" s="210">
        <f t="shared" si="17"/>
        <v>1.242361111108039</v>
      </c>
      <c r="AG40" s="210">
        <f t="shared" si="18"/>
        <v>0</v>
      </c>
    </row>
    <row r="41" spans="2:33" ht="15" customHeight="1" x14ac:dyDescent="0.3">
      <c r="B41" s="196" t="s">
        <v>19</v>
      </c>
      <c r="C41" s="197" t="s">
        <v>15</v>
      </c>
      <c r="D41" s="198" t="str">
        <f t="shared" ref="D41:D42" si="19">IF(E41&lt;&gt;"",IF(K41&lt;&gt;"","C","O"),"")</f>
        <v>C</v>
      </c>
      <c r="E41" s="199">
        <v>43510.875</v>
      </c>
      <c r="F41" s="200" t="s">
        <v>88</v>
      </c>
      <c r="G41" s="201">
        <v>1311.55</v>
      </c>
      <c r="H41" s="201">
        <v>1299.99</v>
      </c>
      <c r="I41" s="202">
        <f t="shared" ref="I41:I42" si="20">ABS(G41-H41)</f>
        <v>11.559999999999945</v>
      </c>
      <c r="J41" s="201">
        <v>1385.53</v>
      </c>
      <c r="K41" s="199">
        <v>43516.981944444444</v>
      </c>
      <c r="L41" s="201">
        <v>1337.73</v>
      </c>
      <c r="M41" s="203">
        <f t="shared" ref="M41:M42" si="21">ROUND(IF(C41="L",(L41-G41),(G41-L41)),4)</f>
        <v>26.18</v>
      </c>
      <c r="N41" s="204">
        <f t="shared" ref="N41:N42" si="22">IFERROR(ROUND((M41/I41),2),"")</f>
        <v>2.2599999999999998</v>
      </c>
      <c r="O41" s="205">
        <f t="shared" ref="O41:O42" si="23">IF(D41="O",IF(N41&lt;0,N41,0),0)</f>
        <v>0</v>
      </c>
      <c r="P41" s="206">
        <f t="shared" ref="P41:P42" si="24">IF(N41&gt;= 0,N41,0)</f>
        <v>2.2599999999999998</v>
      </c>
      <c r="Q41" s="206">
        <f t="shared" ref="Q41:Q42" si="25">IF(N41&lt;0,N41,0)</f>
        <v>0</v>
      </c>
      <c r="R41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41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104250</v>
      </c>
      <c r="T41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104250</v>
      </c>
      <c r="U41" s="208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41" s="209">
        <f t="shared" ref="V41:V42" si="26">IF(B41="FX",N41,0)</f>
        <v>0</v>
      </c>
      <c r="W41" s="209">
        <f t="shared" ref="W41:W42" si="27">IF(D41="O",IF(V41&lt;0,V41,0),0)</f>
        <v>0</v>
      </c>
      <c r="X41" s="209">
        <f t="shared" ref="X41:X42" si="28">IF(B41="COM",N41,0)</f>
        <v>2.2599999999999998</v>
      </c>
      <c r="Y41" s="209">
        <f t="shared" ref="Y41:Y42" si="29">IF(D41="O",IF(X41&lt;0,X41,0),0)</f>
        <v>0</v>
      </c>
      <c r="Z41" s="209">
        <f t="shared" ref="Z41:Z42" si="30">IF(B41="IND",N41,0)</f>
        <v>0</v>
      </c>
      <c r="AA41" s="205">
        <f t="shared" ref="AA41:AA42" si="31">IF(D41="O",IF(Z41&lt;0,Z41,0),0)</f>
        <v>0</v>
      </c>
      <c r="AB41" s="209">
        <f t="shared" ref="AB41:AB42" si="32">IF(B41="CRYPTO",N41,0)</f>
        <v>0</v>
      </c>
      <c r="AC41" s="205">
        <f t="shared" ref="AC41:AC42" si="33">IF(D41="O",IF(AB41&lt;0,AB41,0),0)</f>
        <v>0</v>
      </c>
      <c r="AD41" s="210">
        <f t="shared" ref="AD41:AD42" si="34">IF(K41&lt;&gt;"",K41-E41,0)</f>
        <v>6.1069444444437977</v>
      </c>
      <c r="AE41" s="210">
        <f t="shared" ref="AE41:AE42" si="35">IF(N41&gt;0,AD41,0)</f>
        <v>6.1069444444437977</v>
      </c>
      <c r="AF41" s="210">
        <f t="shared" ref="AF41:AF42" si="36">IF(N41&lt;0,AD41,0)</f>
        <v>0</v>
      </c>
      <c r="AG41" s="210">
        <f t="shared" ref="AG41:AG42" si="37">IF(N41=0,AD41,0)</f>
        <v>0</v>
      </c>
    </row>
    <row r="42" spans="2:33" ht="15" customHeight="1" x14ac:dyDescent="0.3">
      <c r="B42" s="196" t="s">
        <v>19</v>
      </c>
      <c r="C42" s="197" t="s">
        <v>15</v>
      </c>
      <c r="D42" s="198" t="str">
        <f t="shared" si="19"/>
        <v>C</v>
      </c>
      <c r="E42" s="199">
        <v>43490.708333333336</v>
      </c>
      <c r="F42" s="200" t="s">
        <v>88</v>
      </c>
      <c r="G42" s="201">
        <v>1293.77</v>
      </c>
      <c r="H42" s="201">
        <v>1283.33</v>
      </c>
      <c r="I42" s="202">
        <f t="shared" si="20"/>
        <v>10.440000000000055</v>
      </c>
      <c r="J42" s="201">
        <v>1360.57</v>
      </c>
      <c r="K42" s="199">
        <v>43500.257638888892</v>
      </c>
      <c r="L42" s="201">
        <v>1314.59</v>
      </c>
      <c r="M42" s="203">
        <f t="shared" si="21"/>
        <v>20.82</v>
      </c>
      <c r="N42" s="204">
        <f t="shared" si="22"/>
        <v>1.99</v>
      </c>
      <c r="O42" s="205">
        <f t="shared" si="23"/>
        <v>0</v>
      </c>
      <c r="P42" s="206">
        <f t="shared" si="24"/>
        <v>1.99</v>
      </c>
      <c r="Q42" s="206">
        <f t="shared" si="25"/>
        <v>0</v>
      </c>
      <c r="R42" s="206" t="str">
        <f ca="1">IF(AND(OFFSET(Tabla33610673489[[#This Row],[Equity]],1,0)="",Tabla33610673489[[#This Row],[No. of Rs]]&lt;0),"Yes",IF(AND(OFFSET(Tabla33610673489[[#This Row],[Initial Losing Trade]],1,0)="Yes",Tabla33610673489[[#This Row],[No. of Rs]]&lt;0),"Yes","No"))</f>
        <v>No</v>
      </c>
      <c r="S42" s="207">
        <f ca="1">IF(OFFSET(Tabla33610673489[[#This Row],[Equity]],1,0)="",IF(Tabla33610673489[[#This Row],[No. of Rs]]="",$F$11,$F$11+($F$11*Tabla33610673489[[#This Row],[No. of Rs]]/100)),IF(Tabla33610673489[[#This Row],[No. of Rs]]="",OFFSET(Tabla33610673489[[#This Row],[Equity]],1,0),OFFSET(Tabla33610673489[[#This Row],[Equity]],1,0)+($F$11*Tabla33610673489[[#This Row],[No. of Rs]]/100)))</f>
        <v>101990</v>
      </c>
      <c r="T42" s="207">
        <f ca="1">IF(OFFSET(Tabla33610673489[[#This Row],[Equity Peak]],1,0)="",IF(Tabla33610673489[[#This Row],[Initial Losing Trade]]="Yes",$F$11,Tabla33610673489[[#This Row],[Equity]]),IF(OFFSET(Tabla33610673489[[#This Row],[Equity Peak]],1,0)&gt;Tabla33610673489[[#This Row],[Equity]],OFFSET(Tabla33610673489[[#This Row],[Equity Peak]],1,0),Tabla33610673489[[#This Row],[Equity]]))</f>
        <v>101990</v>
      </c>
      <c r="U42" s="208" t="str">
        <f ca="1">IF(Tabla33610673489[[#This Row],[Equity]]&lt;Tabla33610673489[[#This Row],[Equity Peak]],(Tabla33610673489[[#This Row],[Equity Peak]]-Tabla33610673489[[#This Row],[Equity]])/Tabla33610673489[[#This Row],[Equity Peak]],"")</f>
        <v/>
      </c>
      <c r="V42" s="209">
        <f t="shared" si="26"/>
        <v>0</v>
      </c>
      <c r="W42" s="209">
        <f t="shared" si="27"/>
        <v>0</v>
      </c>
      <c r="X42" s="209">
        <f t="shared" si="28"/>
        <v>1.99</v>
      </c>
      <c r="Y42" s="209">
        <f t="shared" si="29"/>
        <v>0</v>
      </c>
      <c r="Z42" s="209">
        <f t="shared" si="30"/>
        <v>0</v>
      </c>
      <c r="AA42" s="205">
        <f t="shared" si="31"/>
        <v>0</v>
      </c>
      <c r="AB42" s="209">
        <f t="shared" si="32"/>
        <v>0</v>
      </c>
      <c r="AC42" s="205">
        <f t="shared" si="33"/>
        <v>0</v>
      </c>
      <c r="AD42" s="210">
        <f t="shared" si="34"/>
        <v>9.5493055555562023</v>
      </c>
      <c r="AE42" s="210">
        <f t="shared" si="35"/>
        <v>9.5493055555562023</v>
      </c>
      <c r="AF42" s="210">
        <f t="shared" si="36"/>
        <v>0</v>
      </c>
      <c r="AG42" s="210">
        <f t="shared" si="37"/>
        <v>0</v>
      </c>
    </row>
  </sheetData>
  <sheetProtection algorithmName="SHA-512" hashValue="oinOKjyYoUuvY6ypv0QnBhJ4uQwFHJpqZ/rhPZV3+8swlHTf3Ec2MaF5Se7ADcbOQdpGMPPUkl4klVxNkZtAPA==" saltValue="Vl7Z7/1SUCQcqEnjRb739w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419" priority="3" operator="equal">
      <formula>"OK"</formula>
    </cfRule>
    <cfRule type="cellIs" dxfId="418" priority="4" operator="equal">
      <formula>"warning"</formula>
    </cfRule>
  </conditionalFormatting>
  <conditionalFormatting sqref="F13">
    <cfRule type="cellIs" dxfId="417" priority="1" operator="equal">
      <formula>"OK"</formula>
    </cfRule>
    <cfRule type="cellIs" dxfId="416" priority="2" operator="equal">
      <formula>"Error!!"</formula>
    </cfRule>
  </conditionalFormatting>
  <conditionalFormatting sqref="E15:H15 K15:L15">
    <cfRule type="expression" dxfId="415" priority="5">
      <formula>+$D15=#REF!</formula>
    </cfRule>
    <cfRule type="expression" dxfId="414" priority="6">
      <formula>+$D15=#REF!</formula>
    </cfRule>
  </conditionalFormatting>
  <conditionalFormatting sqref="D15 K16:L16 D16:H42 J17:L42">
    <cfRule type="expression" dxfId="413" priority="7">
      <formula>+$D15=$AG$8</formula>
    </cfRule>
    <cfRule type="expression" dxfId="412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5:B16" xr:uid="{54B0218A-F85D-4B3B-9CD0-8F440FC3B6FB}">
      <formula1>$AE$4:$AE$6</formula1>
    </dataValidation>
    <dataValidation type="list" allowBlank="1" showInputMessage="1" showErrorMessage="1" promptTitle="Trade Direction" prompt="Select from List" sqref="C15:C16" xr:uid="{77589013-8755-4E62-9989-E01B400878BF}">
      <formula1>$AG$4:$AG$5</formula1>
    </dataValidation>
    <dataValidation type="list" allowBlank="1" showInputMessage="1" showErrorMessage="1" promptTitle="Instrument Type" prompt="Select Type from List_x000a_" sqref="B17:B42" xr:uid="{69E8FCA0-1D6A-48EB-A5C3-B8171E1B4D70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99173-A560-4B25-A2DB-5085B18A7BF3}">
  <sheetPr codeName="Hoja27">
    <pageSetUpPr fitToPage="1"/>
  </sheetPr>
  <dimension ref="A1:AX52"/>
  <sheetViews>
    <sheetView showGridLines="0" showZeros="0" tabSelected="1" zoomScale="115" zoomScaleNormal="115" zoomScalePageLayoutView="99" workbookViewId="0">
      <pane ySplit="16" topLeftCell="A43" activePane="bottomLeft" state="frozen"/>
      <selection activeCell="E2" sqref="E2:N5"/>
      <selection pane="bottomLeft" activeCell="E2" sqref="E2:N5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123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COUNTA(Tabla336106734821[Inst])</f>
        <v>36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6.8500000000000014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0</v>
      </c>
      <c r="W6" s="18"/>
      <c r="X6" s="17">
        <f>+X13</f>
        <v>6.8500000000000014</v>
      </c>
      <c r="Y6" s="19"/>
      <c r="Z6" s="17">
        <f>+Z13</f>
        <v>0</v>
      </c>
      <c r="AA6" s="19"/>
      <c r="AB6" s="17">
        <f>+AB13</f>
        <v>0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COUNTIF(Tabla336106734821[No. of Rs],"&gt;0")</f>
        <v>5</v>
      </c>
      <c r="G7" s="24">
        <f>IFERROR((F7/$F$6),"")</f>
        <v>0.1388888888888889</v>
      </c>
      <c r="H7" s="78">
        <f>IFERROR((+P13/F7),"")</f>
        <v>3.19</v>
      </c>
      <c r="I7" s="227">
        <f>H7/H9</f>
        <v>10.516483516483516</v>
      </c>
      <c r="J7" s="227">
        <f>AVERAGE(Tabla336106734821[No. of Rs])</f>
        <v>0.19027777777777782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0</v>
      </c>
      <c r="W7" s="27"/>
      <c r="X7" s="26">
        <f>IFERROR((X6/N6),"")</f>
        <v>1</v>
      </c>
      <c r="Y7" s="28"/>
      <c r="Z7" s="26">
        <f>IFERROR((Z6/N6),"")</f>
        <v>0</v>
      </c>
      <c r="AA7" s="28"/>
      <c r="AB7" s="26">
        <f>IFERROR((AB6/N6),"")</f>
        <v>0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COUNTIF(Tabla336106734821[No. of Rs],"=0")</f>
        <v>1</v>
      </c>
      <c r="G8" s="24">
        <f>IFERROR((F8/$F$6),"")</f>
        <v>2.7777777777777776E-2</v>
      </c>
      <c r="H8" s="78"/>
      <c r="I8" s="228"/>
      <c r="J8" s="228"/>
      <c r="K8" s="163"/>
      <c r="L8" s="212" t="s">
        <v>112</v>
      </c>
      <c r="M8" s="213"/>
      <c r="N8" s="195">
        <f ca="1">OFFSET(Tabla336106734821[[#Headers],[Equity]],1,0)</f>
        <v>106850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COUNTIF(Tabla336106734821[No. of Rs],"&lt;0")</f>
        <v>30</v>
      </c>
      <c r="G9" s="32">
        <f>IFERROR((F9/$F$6),"")</f>
        <v>0.83333333333333337</v>
      </c>
      <c r="H9" s="79">
        <f>IFERROR((-Q13/F9),"")</f>
        <v>0.30333333333333334</v>
      </c>
      <c r="I9" s="229"/>
      <c r="J9" s="229"/>
      <c r="K9" s="149"/>
      <c r="L9" s="230" t="s">
        <v>106</v>
      </c>
      <c r="M9" s="231"/>
      <c r="N9" s="125">
        <f ca="1">MAX(Tabla336106734821[Drawdown])</f>
        <v>5.3167922020381037E-2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>
        <f ca="1">OFFSET(Tabla336106734821[[#Headers],[Drawdown]],1,0)</f>
        <v>5.3167922020381037E-2</v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COUNTIF(Tabla336106734821[Heat],"&lt;0")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IF(COUNTIFS(Tabla336106734821[O/C],"O")&lt;1,"None",COUNTIFS(Tabla336106734821[O/C],"O"))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SUM(Tabla336106734821[No. of Rs])</f>
        <v>6.8500000000000014</v>
      </c>
      <c r="O13" s="42">
        <f>SUM(Tabla336106734821[Heat])</f>
        <v>0</v>
      </c>
      <c r="P13" s="43">
        <f>SUM(Tabla336106734821[[ TR WIN]])</f>
        <v>15.95</v>
      </c>
      <c r="Q13" s="43">
        <f>SUM(Tabla336106734821[[ TR LOSS]])</f>
        <v>-9.1</v>
      </c>
      <c r="R13" s="114"/>
      <c r="S13" s="115"/>
      <c r="T13" s="115"/>
      <c r="U13" s="121"/>
      <c r="V13" s="44">
        <f>SUM(Tabla336106734821[Currency])</f>
        <v>0</v>
      </c>
      <c r="W13" s="44">
        <f>SUM(Tabla336106734821[Heat3])</f>
        <v>0</v>
      </c>
      <c r="X13" s="44">
        <f>SUM(Tabla336106734821[Commodities])</f>
        <v>6.8500000000000014</v>
      </c>
      <c r="Y13" s="44">
        <f>SUM(Tabla336106734821[Heat4])</f>
        <v>0</v>
      </c>
      <c r="Z13" s="44">
        <f>SUM(Tabla336106734821[Index])</f>
        <v>0</v>
      </c>
      <c r="AA13" s="44">
        <f>SUM(Tabla336106734821[Heat5])</f>
        <v>0</v>
      </c>
      <c r="AB13" s="44">
        <f>SUM(Tabla336106734821[Cryptocurrency])</f>
        <v>0</v>
      </c>
      <c r="AC13" s="44">
        <f>SUM(Tabla336106734821[Heat6])</f>
        <v>0</v>
      </c>
      <c r="AD13" s="75">
        <f>AVERAGEIF(Tabla336106734821[Length of 
Trade],"&lt;&gt;0")</f>
        <v>6.2974537037047815</v>
      </c>
      <c r="AE13" s="75">
        <f>AVERAGEIF(Tabla336106734821[Win],"&lt;&gt;0")</f>
        <v>27.812777777777228</v>
      </c>
      <c r="AF13" s="75">
        <f>AVERAGEIF(Tabla336106734821[Loss],"&lt;&gt;0")</f>
        <v>2.8568981481495332</v>
      </c>
      <c r="AG13" s="76">
        <f>AVERAGEIF(Tabla336106734821[Breakeven],"&lt;&gt;0")</f>
        <v>1.9375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2:33" ht="15" customHeight="1" x14ac:dyDescent="0.3">
      <c r="B17" s="196" t="s">
        <v>19</v>
      </c>
      <c r="C17" s="197" t="s">
        <v>15</v>
      </c>
      <c r="D17" s="198" t="str">
        <f t="shared" ref="D17:D42" si="0">IF(E17&lt;&gt;"",IF(K17&lt;&gt;"","C","O"),"")</f>
        <v>C</v>
      </c>
      <c r="E17" s="199">
        <v>43825.791666666664</v>
      </c>
      <c r="F17" s="200" t="s">
        <v>108</v>
      </c>
      <c r="G17" s="201">
        <v>61.674999999999997</v>
      </c>
      <c r="H17" s="201">
        <v>60.529000000000003</v>
      </c>
      <c r="I17" s="202">
        <f t="shared" ref="I17:I42" si="1">ABS(G17-H17)</f>
        <v>1.1459999999999937</v>
      </c>
      <c r="J17" s="201">
        <v>75.426000000000002</v>
      </c>
      <c r="K17" s="199">
        <v>43829.727777777778</v>
      </c>
      <c r="L17" s="201">
        <v>61.298999999999999</v>
      </c>
      <c r="M17" s="203">
        <f t="shared" ref="M17:M42" si="2">ROUND(IF(C17="L",(L17-G17),(G17-L17)),4)</f>
        <v>-0.376</v>
      </c>
      <c r="N17" s="204">
        <f t="shared" ref="N17:N42" si="3">IFERROR(ROUND((M17/I17),2),"")</f>
        <v>-0.33</v>
      </c>
      <c r="O17" s="205">
        <f t="shared" ref="O17:O42" si="4">IF(D17="O",IF(N17&lt;0,N17,0),0)</f>
        <v>0</v>
      </c>
      <c r="P17" s="206">
        <f t="shared" ref="P17:P42" si="5">IF(N17&gt;= 0,N17,0)</f>
        <v>0</v>
      </c>
      <c r="Q17" s="206">
        <f t="shared" ref="Q17:Q42" si="6">IF(N17&lt;0,N17,0)</f>
        <v>-0.33</v>
      </c>
      <c r="R17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17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106850</v>
      </c>
      <c r="T17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112850</v>
      </c>
      <c r="U17" s="208">
        <f ca="1">IF(Tabla336106734821[[#This Row],[Equity]]&lt;Tabla336106734821[[#This Row],[Equity Peak]],(Tabla336106734821[[#This Row],[Equity Peak]]-Tabla336106734821[[#This Row],[Equity]])/Tabla336106734821[[#This Row],[Equity Peak]],"")</f>
        <v>5.3167922020381037E-2</v>
      </c>
      <c r="V17" s="209">
        <f t="shared" ref="V17:V42" si="7">IF(B17="FX",N17,0)</f>
        <v>0</v>
      </c>
      <c r="W17" s="209">
        <f t="shared" ref="W17:W42" si="8">IF(D17="O",IF(V17&lt;0,V17,0),0)</f>
        <v>0</v>
      </c>
      <c r="X17" s="209">
        <f t="shared" ref="X17:X42" si="9">IF(B17="COM",N17,0)</f>
        <v>-0.33</v>
      </c>
      <c r="Y17" s="209">
        <f t="shared" ref="Y17:Y42" si="10">IF(D17="O",IF(X17&lt;0,X17,0),0)</f>
        <v>0</v>
      </c>
      <c r="Z17" s="209">
        <f t="shared" ref="Z17:Z42" si="11">IF(B17="IND",N17,0)</f>
        <v>0</v>
      </c>
      <c r="AA17" s="205">
        <f t="shared" ref="AA17:AA42" si="12">IF(D17="O",IF(Z17&lt;0,Z17,0),0)</f>
        <v>0</v>
      </c>
      <c r="AB17" s="209">
        <f t="shared" ref="AB17:AB42" si="13">IF(B17="CRYPTO",N17,0)</f>
        <v>0</v>
      </c>
      <c r="AC17" s="205">
        <f t="shared" ref="AC17:AC42" si="14">IF(D17="O",IF(AB17&lt;0,AB17,0),0)</f>
        <v>0</v>
      </c>
      <c r="AD17" s="210">
        <f t="shared" ref="AD17:AD42" si="15">IF(K17&lt;&gt;"",K17-E17,0)</f>
        <v>3.9361111111138598</v>
      </c>
      <c r="AE17" s="210">
        <f t="shared" ref="AE17:AE42" si="16">IF(N17&gt;0,AD17,0)</f>
        <v>0</v>
      </c>
      <c r="AF17" s="210">
        <f t="shared" ref="AF17:AF42" si="17">IF(N17&lt;0,AD17,0)</f>
        <v>3.9361111111138598</v>
      </c>
      <c r="AG17" s="210">
        <f t="shared" ref="AG17:AG42" si="18">IF(N17=0,AD17,0)</f>
        <v>0</v>
      </c>
    </row>
    <row r="18" spans="2:33" ht="15" customHeight="1" x14ac:dyDescent="0.3">
      <c r="B18" s="196" t="s">
        <v>19</v>
      </c>
      <c r="C18" s="197" t="s">
        <v>15</v>
      </c>
      <c r="D18" s="198" t="str">
        <f t="shared" si="0"/>
        <v>C</v>
      </c>
      <c r="E18" s="199">
        <v>43816.791666666664</v>
      </c>
      <c r="F18" s="200" t="s">
        <v>108</v>
      </c>
      <c r="G18" s="201">
        <v>60.820999999999998</v>
      </c>
      <c r="H18" s="201">
        <v>59.597000000000001</v>
      </c>
      <c r="I18" s="202">
        <f t="shared" si="1"/>
        <v>1.2239999999999966</v>
      </c>
      <c r="J18" s="201">
        <v>75.513000000000005</v>
      </c>
      <c r="K18" s="199">
        <v>43819.704861111109</v>
      </c>
      <c r="L18" s="201">
        <v>60.514000000000003</v>
      </c>
      <c r="M18" s="203">
        <f t="shared" si="2"/>
        <v>-0.307</v>
      </c>
      <c r="N18" s="204">
        <f t="shared" si="3"/>
        <v>-0.25</v>
      </c>
      <c r="O18" s="205">
        <f t="shared" si="4"/>
        <v>0</v>
      </c>
      <c r="P18" s="206">
        <f t="shared" si="5"/>
        <v>0</v>
      </c>
      <c r="Q18" s="206">
        <f t="shared" si="6"/>
        <v>-0.25</v>
      </c>
      <c r="R18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18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107180</v>
      </c>
      <c r="T18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112850</v>
      </c>
      <c r="U18" s="208">
        <f ca="1">IF(Tabla336106734821[[#This Row],[Equity]]&lt;Tabla336106734821[[#This Row],[Equity Peak]],(Tabla336106734821[[#This Row],[Equity Peak]]-Tabla336106734821[[#This Row],[Equity]])/Tabla336106734821[[#This Row],[Equity Peak]],"")</f>
        <v>5.0243686309260079E-2</v>
      </c>
      <c r="V18" s="209">
        <f t="shared" si="7"/>
        <v>0</v>
      </c>
      <c r="W18" s="209">
        <f t="shared" si="8"/>
        <v>0</v>
      </c>
      <c r="X18" s="209">
        <f t="shared" si="9"/>
        <v>-0.25</v>
      </c>
      <c r="Y18" s="209">
        <f t="shared" si="10"/>
        <v>0</v>
      </c>
      <c r="Z18" s="209">
        <f t="shared" si="11"/>
        <v>0</v>
      </c>
      <c r="AA18" s="205">
        <f t="shared" si="12"/>
        <v>0</v>
      </c>
      <c r="AB18" s="209">
        <f t="shared" si="13"/>
        <v>0</v>
      </c>
      <c r="AC18" s="205">
        <f t="shared" si="14"/>
        <v>0</v>
      </c>
      <c r="AD18" s="210">
        <f t="shared" si="15"/>
        <v>2.9131944444452529</v>
      </c>
      <c r="AE18" s="210">
        <f t="shared" si="16"/>
        <v>0</v>
      </c>
      <c r="AF18" s="210">
        <f t="shared" si="17"/>
        <v>2.9131944444452529</v>
      </c>
      <c r="AG18" s="210">
        <f t="shared" si="18"/>
        <v>0</v>
      </c>
    </row>
    <row r="19" spans="2:33" ht="15" customHeight="1" x14ac:dyDescent="0.3">
      <c r="B19" s="196" t="s">
        <v>19</v>
      </c>
      <c r="C19" s="197" t="s">
        <v>15</v>
      </c>
      <c r="D19" s="198" t="str">
        <f t="shared" si="0"/>
        <v>C</v>
      </c>
      <c r="E19" s="199">
        <v>43805.791666666664</v>
      </c>
      <c r="F19" s="200" t="s">
        <v>108</v>
      </c>
      <c r="G19" s="201">
        <v>59.136000000000003</v>
      </c>
      <c r="H19" s="201">
        <v>57.817999999999998</v>
      </c>
      <c r="I19" s="202">
        <f t="shared" si="1"/>
        <v>1.3180000000000049</v>
      </c>
      <c r="J19" s="201">
        <v>74.956000000000003</v>
      </c>
      <c r="K19" s="199">
        <v>43808.632638888892</v>
      </c>
      <c r="L19" s="201">
        <v>58.313000000000002</v>
      </c>
      <c r="M19" s="203">
        <f t="shared" si="2"/>
        <v>-0.82299999999999995</v>
      </c>
      <c r="N19" s="204">
        <f t="shared" si="3"/>
        <v>-0.62</v>
      </c>
      <c r="O19" s="205">
        <f t="shared" si="4"/>
        <v>0</v>
      </c>
      <c r="P19" s="206">
        <f t="shared" si="5"/>
        <v>0</v>
      </c>
      <c r="Q19" s="206">
        <f t="shared" si="6"/>
        <v>-0.62</v>
      </c>
      <c r="R19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19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107430</v>
      </c>
      <c r="T19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112850</v>
      </c>
      <c r="U19" s="208">
        <f ca="1">IF(Tabla336106734821[[#This Row],[Equity]]&lt;Tabla336106734821[[#This Row],[Equity Peak]],(Tabla336106734821[[#This Row],[Equity Peak]]-Tabla336106734821[[#This Row],[Equity]])/Tabla336106734821[[#This Row],[Equity Peak]],"")</f>
        <v>4.8028356225077534E-2</v>
      </c>
      <c r="V19" s="209">
        <f t="shared" si="7"/>
        <v>0</v>
      </c>
      <c r="W19" s="209">
        <f t="shared" si="8"/>
        <v>0</v>
      </c>
      <c r="X19" s="209">
        <f t="shared" si="9"/>
        <v>-0.62</v>
      </c>
      <c r="Y19" s="209">
        <f t="shared" si="10"/>
        <v>0</v>
      </c>
      <c r="Z19" s="209">
        <f t="shared" si="11"/>
        <v>0</v>
      </c>
      <c r="AA19" s="205">
        <f t="shared" si="12"/>
        <v>0</v>
      </c>
      <c r="AB19" s="209">
        <f t="shared" si="13"/>
        <v>0</v>
      </c>
      <c r="AC19" s="205">
        <f t="shared" si="14"/>
        <v>0</v>
      </c>
      <c r="AD19" s="210">
        <f t="shared" si="15"/>
        <v>2.8409722222277196</v>
      </c>
      <c r="AE19" s="210">
        <f t="shared" si="16"/>
        <v>0</v>
      </c>
      <c r="AF19" s="210">
        <f t="shared" si="17"/>
        <v>2.8409722222277196</v>
      </c>
      <c r="AG19" s="210">
        <f t="shared" si="18"/>
        <v>0</v>
      </c>
    </row>
    <row r="20" spans="2:33" ht="15" customHeight="1" x14ac:dyDescent="0.3">
      <c r="B20" s="196" t="s">
        <v>19</v>
      </c>
      <c r="C20" s="197" t="s">
        <v>15</v>
      </c>
      <c r="D20" s="198" t="str">
        <f t="shared" si="0"/>
        <v>C</v>
      </c>
      <c r="E20" s="199">
        <v>43804.291666666664</v>
      </c>
      <c r="F20" s="200" t="s">
        <v>108</v>
      </c>
      <c r="G20" s="201">
        <v>58.186999999999998</v>
      </c>
      <c r="H20" s="201">
        <v>56.875999999999998</v>
      </c>
      <c r="I20" s="202">
        <f t="shared" si="1"/>
        <v>1.3109999999999999</v>
      </c>
      <c r="J20" s="201">
        <v>73.921000000000006</v>
      </c>
      <c r="K20" s="199">
        <v>43805.567361111112</v>
      </c>
      <c r="L20" s="201">
        <v>57.838000000000001</v>
      </c>
      <c r="M20" s="203">
        <f t="shared" si="2"/>
        <v>-0.34899999999999998</v>
      </c>
      <c r="N20" s="204">
        <f t="shared" si="3"/>
        <v>-0.27</v>
      </c>
      <c r="O20" s="205">
        <f t="shared" si="4"/>
        <v>0</v>
      </c>
      <c r="P20" s="206">
        <f t="shared" si="5"/>
        <v>0</v>
      </c>
      <c r="Q20" s="206">
        <f t="shared" si="6"/>
        <v>-0.27</v>
      </c>
      <c r="R20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20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108050</v>
      </c>
      <c r="T20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112850</v>
      </c>
      <c r="U20" s="208">
        <f ca="1">IF(Tabla336106734821[[#This Row],[Equity]]&lt;Tabla336106734821[[#This Row],[Equity Peak]],(Tabla336106734821[[#This Row],[Equity Peak]]-Tabla336106734821[[#This Row],[Equity]])/Tabla336106734821[[#This Row],[Equity Peak]],"")</f>
        <v>4.2534337616304832E-2</v>
      </c>
      <c r="V20" s="209">
        <f t="shared" si="7"/>
        <v>0</v>
      </c>
      <c r="W20" s="209">
        <f t="shared" si="8"/>
        <v>0</v>
      </c>
      <c r="X20" s="209">
        <f t="shared" si="9"/>
        <v>-0.27</v>
      </c>
      <c r="Y20" s="209">
        <f t="shared" si="10"/>
        <v>0</v>
      </c>
      <c r="Z20" s="209">
        <f t="shared" si="11"/>
        <v>0</v>
      </c>
      <c r="AA20" s="205">
        <f t="shared" si="12"/>
        <v>0</v>
      </c>
      <c r="AB20" s="209">
        <f t="shared" si="13"/>
        <v>0</v>
      </c>
      <c r="AC20" s="205">
        <f t="shared" si="14"/>
        <v>0</v>
      </c>
      <c r="AD20" s="210">
        <f t="shared" si="15"/>
        <v>1.2756944444481633</v>
      </c>
      <c r="AE20" s="210">
        <f t="shared" si="16"/>
        <v>0</v>
      </c>
      <c r="AF20" s="210">
        <f t="shared" si="17"/>
        <v>1.2756944444481633</v>
      </c>
      <c r="AG20" s="210">
        <f t="shared" si="18"/>
        <v>0</v>
      </c>
    </row>
    <row r="21" spans="2:33" ht="15" customHeight="1" x14ac:dyDescent="0.3">
      <c r="B21" s="196" t="s">
        <v>19</v>
      </c>
      <c r="C21" s="197" t="s">
        <v>13</v>
      </c>
      <c r="D21" s="198" t="str">
        <f t="shared" si="0"/>
        <v>C</v>
      </c>
      <c r="E21" s="199">
        <v>43801.291666666664</v>
      </c>
      <c r="F21" s="200" t="s">
        <v>108</v>
      </c>
      <c r="G21" s="201">
        <v>56.03</v>
      </c>
      <c r="H21" s="201">
        <v>57.371000000000002</v>
      </c>
      <c r="I21" s="202">
        <f t="shared" si="1"/>
        <v>1.3410000000000011</v>
      </c>
      <c r="J21" s="201">
        <v>39.941000000000003</v>
      </c>
      <c r="K21" s="199">
        <v>43802.868055555555</v>
      </c>
      <c r="L21" s="201">
        <v>56.406999999999996</v>
      </c>
      <c r="M21" s="203">
        <f t="shared" si="2"/>
        <v>-0.377</v>
      </c>
      <c r="N21" s="204">
        <f t="shared" si="3"/>
        <v>-0.28000000000000003</v>
      </c>
      <c r="O21" s="205">
        <f t="shared" si="4"/>
        <v>0</v>
      </c>
      <c r="P21" s="206">
        <f t="shared" si="5"/>
        <v>0</v>
      </c>
      <c r="Q21" s="206">
        <f t="shared" si="6"/>
        <v>-0.28000000000000003</v>
      </c>
      <c r="R21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21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108320</v>
      </c>
      <c r="T21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112850</v>
      </c>
      <c r="U21" s="208">
        <f ca="1">IF(Tabla336106734821[[#This Row],[Equity]]&lt;Tabla336106734821[[#This Row],[Equity Peak]],(Tabla336106734821[[#This Row],[Equity Peak]]-Tabla336106734821[[#This Row],[Equity]])/Tabla336106734821[[#This Row],[Equity Peak]],"")</f>
        <v>4.0141781125387681E-2</v>
      </c>
      <c r="V21" s="209">
        <f t="shared" si="7"/>
        <v>0</v>
      </c>
      <c r="W21" s="209">
        <f t="shared" si="8"/>
        <v>0</v>
      </c>
      <c r="X21" s="209">
        <f t="shared" si="9"/>
        <v>-0.28000000000000003</v>
      </c>
      <c r="Y21" s="209">
        <f t="shared" si="10"/>
        <v>0</v>
      </c>
      <c r="Z21" s="209">
        <f t="shared" si="11"/>
        <v>0</v>
      </c>
      <c r="AA21" s="205">
        <f t="shared" si="12"/>
        <v>0</v>
      </c>
      <c r="AB21" s="209">
        <f t="shared" si="13"/>
        <v>0</v>
      </c>
      <c r="AC21" s="205">
        <f t="shared" si="14"/>
        <v>0</v>
      </c>
      <c r="AD21" s="210">
        <f t="shared" si="15"/>
        <v>1.5763888888905058</v>
      </c>
      <c r="AE21" s="210">
        <f t="shared" si="16"/>
        <v>0</v>
      </c>
      <c r="AF21" s="210">
        <f t="shared" si="17"/>
        <v>1.5763888888905058</v>
      </c>
      <c r="AG21" s="210">
        <f t="shared" si="18"/>
        <v>0</v>
      </c>
    </row>
    <row r="22" spans="2:33" ht="15" customHeight="1" x14ac:dyDescent="0.3">
      <c r="B22" s="196" t="s">
        <v>19</v>
      </c>
      <c r="C22" s="197" t="s">
        <v>15</v>
      </c>
      <c r="D22" s="198" t="str">
        <f t="shared" si="0"/>
        <v>C</v>
      </c>
      <c r="E22" s="199">
        <v>43790.625</v>
      </c>
      <c r="F22" s="200" t="s">
        <v>108</v>
      </c>
      <c r="G22" s="201">
        <v>57.171999999999997</v>
      </c>
      <c r="H22" s="201">
        <v>55.793999999999997</v>
      </c>
      <c r="I22" s="202">
        <f t="shared" si="1"/>
        <v>1.3780000000000001</v>
      </c>
      <c r="J22" s="201">
        <v>73.707999999999998</v>
      </c>
      <c r="K22" s="199">
        <v>43798.679861111108</v>
      </c>
      <c r="L22" s="201">
        <v>57.152000000000001</v>
      </c>
      <c r="M22" s="203">
        <f t="shared" si="2"/>
        <v>-0.02</v>
      </c>
      <c r="N22" s="204">
        <f t="shared" si="3"/>
        <v>-0.01</v>
      </c>
      <c r="O22" s="205">
        <f t="shared" si="4"/>
        <v>0</v>
      </c>
      <c r="P22" s="206">
        <f t="shared" si="5"/>
        <v>0</v>
      </c>
      <c r="Q22" s="206">
        <f t="shared" si="6"/>
        <v>-0.01</v>
      </c>
      <c r="R22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22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108600</v>
      </c>
      <c r="T22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112850</v>
      </c>
      <c r="U22" s="208">
        <f ca="1">IF(Tabla336106734821[[#This Row],[Equity]]&lt;Tabla336106734821[[#This Row],[Equity Peak]],(Tabla336106734821[[#This Row],[Equity Peak]]-Tabla336106734821[[#This Row],[Equity]])/Tabla336106734821[[#This Row],[Equity Peak]],"")</f>
        <v>3.7660611431103233E-2</v>
      </c>
      <c r="V22" s="209">
        <f t="shared" si="7"/>
        <v>0</v>
      </c>
      <c r="W22" s="209">
        <f t="shared" si="8"/>
        <v>0</v>
      </c>
      <c r="X22" s="209">
        <f t="shared" si="9"/>
        <v>-0.01</v>
      </c>
      <c r="Y22" s="209">
        <f t="shared" si="10"/>
        <v>0</v>
      </c>
      <c r="Z22" s="209">
        <f t="shared" si="11"/>
        <v>0</v>
      </c>
      <c r="AA22" s="205">
        <f t="shared" si="12"/>
        <v>0</v>
      </c>
      <c r="AB22" s="209">
        <f t="shared" si="13"/>
        <v>0</v>
      </c>
      <c r="AC22" s="205">
        <f t="shared" si="14"/>
        <v>0</v>
      </c>
      <c r="AD22" s="210">
        <f t="shared" si="15"/>
        <v>8.054861111108039</v>
      </c>
      <c r="AE22" s="210">
        <f t="shared" si="16"/>
        <v>0</v>
      </c>
      <c r="AF22" s="210">
        <f t="shared" si="17"/>
        <v>8.054861111108039</v>
      </c>
      <c r="AG22" s="210">
        <f t="shared" si="18"/>
        <v>0</v>
      </c>
    </row>
    <row r="23" spans="2:33" ht="15" customHeight="1" x14ac:dyDescent="0.3">
      <c r="B23" s="196" t="s">
        <v>19</v>
      </c>
      <c r="C23" s="197" t="s">
        <v>13</v>
      </c>
      <c r="D23" s="198" t="str">
        <f t="shared" si="0"/>
        <v>C</v>
      </c>
      <c r="E23" s="199">
        <v>43789.125</v>
      </c>
      <c r="F23" s="200" t="s">
        <v>108</v>
      </c>
      <c r="G23" s="201">
        <v>55.491</v>
      </c>
      <c r="H23" s="201">
        <v>56.863999999999997</v>
      </c>
      <c r="I23" s="202">
        <f t="shared" si="1"/>
        <v>1.3729999999999976</v>
      </c>
      <c r="J23" s="201">
        <v>39.020000000000003</v>
      </c>
      <c r="K23" s="199">
        <v>43789.675000000003</v>
      </c>
      <c r="L23" s="201">
        <v>55.988</v>
      </c>
      <c r="M23" s="203">
        <f t="shared" si="2"/>
        <v>-0.497</v>
      </c>
      <c r="N23" s="204">
        <f t="shared" si="3"/>
        <v>-0.36</v>
      </c>
      <c r="O23" s="205">
        <f t="shared" si="4"/>
        <v>0</v>
      </c>
      <c r="P23" s="206">
        <f t="shared" si="5"/>
        <v>0</v>
      </c>
      <c r="Q23" s="206">
        <f t="shared" si="6"/>
        <v>-0.36</v>
      </c>
      <c r="R23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23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108610</v>
      </c>
      <c r="T23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112850</v>
      </c>
      <c r="U23" s="208">
        <f ca="1">IF(Tabla336106734821[[#This Row],[Equity]]&lt;Tabla336106734821[[#This Row],[Equity Peak]],(Tabla336106734821[[#This Row],[Equity Peak]]-Tabla336106734821[[#This Row],[Equity]])/Tabla336106734821[[#This Row],[Equity Peak]],"")</f>
        <v>3.757199822773593E-2</v>
      </c>
      <c r="V23" s="209">
        <f t="shared" si="7"/>
        <v>0</v>
      </c>
      <c r="W23" s="209">
        <f t="shared" si="8"/>
        <v>0</v>
      </c>
      <c r="X23" s="209">
        <f t="shared" si="9"/>
        <v>-0.36</v>
      </c>
      <c r="Y23" s="209">
        <f t="shared" si="10"/>
        <v>0</v>
      </c>
      <c r="Z23" s="209">
        <f t="shared" si="11"/>
        <v>0</v>
      </c>
      <c r="AA23" s="205">
        <f t="shared" si="12"/>
        <v>0</v>
      </c>
      <c r="AB23" s="209">
        <f t="shared" si="13"/>
        <v>0</v>
      </c>
      <c r="AC23" s="205">
        <f t="shared" si="14"/>
        <v>0</v>
      </c>
      <c r="AD23" s="210">
        <f t="shared" si="15"/>
        <v>0.55000000000291038</v>
      </c>
      <c r="AE23" s="210">
        <f t="shared" si="16"/>
        <v>0</v>
      </c>
      <c r="AF23" s="210">
        <f t="shared" si="17"/>
        <v>0.55000000000291038</v>
      </c>
      <c r="AG23" s="210">
        <f t="shared" si="18"/>
        <v>0</v>
      </c>
    </row>
    <row r="24" spans="2:33" ht="15" customHeight="1" x14ac:dyDescent="0.3">
      <c r="B24" s="196" t="s">
        <v>19</v>
      </c>
      <c r="C24" s="197" t="s">
        <v>15</v>
      </c>
      <c r="D24" s="198" t="str">
        <f t="shared" si="0"/>
        <v>C</v>
      </c>
      <c r="E24" s="199">
        <v>43770.958333333336</v>
      </c>
      <c r="F24" s="200" t="s">
        <v>108</v>
      </c>
      <c r="G24" s="201">
        <v>56.103000000000002</v>
      </c>
      <c r="H24" s="201">
        <v>54.482999999999997</v>
      </c>
      <c r="I24" s="202">
        <f t="shared" si="1"/>
        <v>1.6200000000000045</v>
      </c>
      <c r="J24" s="201">
        <v>75.540000000000006</v>
      </c>
      <c r="K24" s="199">
        <v>43777.568749999999</v>
      </c>
      <c r="L24" s="201">
        <v>56.067</v>
      </c>
      <c r="M24" s="203">
        <f t="shared" si="2"/>
        <v>-3.5999999999999997E-2</v>
      </c>
      <c r="N24" s="204">
        <f t="shared" si="3"/>
        <v>-0.02</v>
      </c>
      <c r="O24" s="205">
        <f t="shared" si="4"/>
        <v>0</v>
      </c>
      <c r="P24" s="206">
        <f t="shared" si="5"/>
        <v>0</v>
      </c>
      <c r="Q24" s="206">
        <f t="shared" si="6"/>
        <v>-0.02</v>
      </c>
      <c r="R24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24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108970</v>
      </c>
      <c r="T24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112850</v>
      </c>
      <c r="U24" s="208">
        <f ca="1">IF(Tabla336106734821[[#This Row],[Equity]]&lt;Tabla336106734821[[#This Row],[Equity Peak]],(Tabla336106734821[[#This Row],[Equity Peak]]-Tabla336106734821[[#This Row],[Equity]])/Tabla336106734821[[#This Row],[Equity Peak]],"")</f>
        <v>3.4381922906513068E-2</v>
      </c>
      <c r="V24" s="209">
        <f t="shared" si="7"/>
        <v>0</v>
      </c>
      <c r="W24" s="209">
        <f t="shared" si="8"/>
        <v>0</v>
      </c>
      <c r="X24" s="209">
        <f t="shared" si="9"/>
        <v>-0.02</v>
      </c>
      <c r="Y24" s="209">
        <f t="shared" si="10"/>
        <v>0</v>
      </c>
      <c r="Z24" s="209">
        <f t="shared" si="11"/>
        <v>0</v>
      </c>
      <c r="AA24" s="205">
        <f t="shared" si="12"/>
        <v>0</v>
      </c>
      <c r="AB24" s="209">
        <f t="shared" si="13"/>
        <v>0</v>
      </c>
      <c r="AC24" s="205">
        <f t="shared" si="14"/>
        <v>0</v>
      </c>
      <c r="AD24" s="210">
        <f t="shared" si="15"/>
        <v>6.6104166666627862</v>
      </c>
      <c r="AE24" s="210">
        <f t="shared" si="16"/>
        <v>0</v>
      </c>
      <c r="AF24" s="210">
        <f t="shared" si="17"/>
        <v>6.6104166666627862</v>
      </c>
      <c r="AG24" s="210">
        <f t="shared" si="18"/>
        <v>0</v>
      </c>
    </row>
    <row r="25" spans="2:33" ht="15" customHeight="1" x14ac:dyDescent="0.3">
      <c r="B25" s="196" t="s">
        <v>19</v>
      </c>
      <c r="C25" s="197" t="s">
        <v>13</v>
      </c>
      <c r="D25" s="198" t="str">
        <f t="shared" si="0"/>
        <v>C</v>
      </c>
      <c r="E25" s="199">
        <v>43770.291666666664</v>
      </c>
      <c r="F25" s="200" t="s">
        <v>108</v>
      </c>
      <c r="G25" s="201">
        <v>54.378999999999998</v>
      </c>
      <c r="H25" s="201">
        <v>55.997</v>
      </c>
      <c r="I25" s="202">
        <f t="shared" si="1"/>
        <v>1.6180000000000021</v>
      </c>
      <c r="J25" s="201">
        <v>34.966000000000001</v>
      </c>
      <c r="K25" s="199">
        <v>43770.70416666667</v>
      </c>
      <c r="L25" s="201">
        <v>55.143000000000001</v>
      </c>
      <c r="M25" s="203">
        <f t="shared" si="2"/>
        <v>-0.76400000000000001</v>
      </c>
      <c r="N25" s="204">
        <f t="shared" si="3"/>
        <v>-0.47</v>
      </c>
      <c r="O25" s="205">
        <f t="shared" si="4"/>
        <v>0</v>
      </c>
      <c r="P25" s="206">
        <f t="shared" si="5"/>
        <v>0</v>
      </c>
      <c r="Q25" s="206">
        <f t="shared" si="6"/>
        <v>-0.47</v>
      </c>
      <c r="R25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25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108990</v>
      </c>
      <c r="T25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112850</v>
      </c>
      <c r="U25" s="208">
        <f ca="1">IF(Tabla336106734821[[#This Row],[Equity]]&lt;Tabla336106734821[[#This Row],[Equity Peak]],(Tabla336106734821[[#This Row],[Equity Peak]]-Tabla336106734821[[#This Row],[Equity]])/Tabla336106734821[[#This Row],[Equity Peak]],"")</f>
        <v>3.4204696499778468E-2</v>
      </c>
      <c r="V25" s="209">
        <f t="shared" si="7"/>
        <v>0</v>
      </c>
      <c r="W25" s="209">
        <f t="shared" si="8"/>
        <v>0</v>
      </c>
      <c r="X25" s="209">
        <f t="shared" si="9"/>
        <v>-0.47</v>
      </c>
      <c r="Y25" s="209">
        <f t="shared" si="10"/>
        <v>0</v>
      </c>
      <c r="Z25" s="209">
        <f t="shared" si="11"/>
        <v>0</v>
      </c>
      <c r="AA25" s="205">
        <f t="shared" si="12"/>
        <v>0</v>
      </c>
      <c r="AB25" s="209">
        <f t="shared" si="13"/>
        <v>0</v>
      </c>
      <c r="AC25" s="205">
        <f t="shared" si="14"/>
        <v>0</v>
      </c>
      <c r="AD25" s="210">
        <f t="shared" si="15"/>
        <v>0.41250000000582077</v>
      </c>
      <c r="AE25" s="210">
        <f t="shared" si="16"/>
        <v>0</v>
      </c>
      <c r="AF25" s="210">
        <f t="shared" si="17"/>
        <v>0.41250000000582077</v>
      </c>
      <c r="AG25" s="210">
        <f t="shared" si="18"/>
        <v>0</v>
      </c>
    </row>
    <row r="26" spans="2:33" ht="15" customHeight="1" x14ac:dyDescent="0.3">
      <c r="B26" s="196" t="s">
        <v>19</v>
      </c>
      <c r="C26" s="197" t="s">
        <v>15</v>
      </c>
      <c r="D26" s="198" t="str">
        <f t="shared" si="0"/>
        <v>C</v>
      </c>
      <c r="E26" s="199">
        <v>43761.125</v>
      </c>
      <c r="F26" s="200" t="s">
        <v>108</v>
      </c>
      <c r="G26" s="201">
        <v>54.234000000000002</v>
      </c>
      <c r="H26" s="201">
        <v>52.603000000000002</v>
      </c>
      <c r="I26" s="202">
        <f t="shared" si="1"/>
        <v>1.6310000000000002</v>
      </c>
      <c r="J26" s="201">
        <v>73.801000000000002</v>
      </c>
      <c r="K26" s="199">
        <v>43769.701388888891</v>
      </c>
      <c r="L26" s="201">
        <v>54.219000000000001</v>
      </c>
      <c r="M26" s="203">
        <f t="shared" si="2"/>
        <v>-1.4999999999999999E-2</v>
      </c>
      <c r="N26" s="204">
        <f t="shared" si="3"/>
        <v>-0.01</v>
      </c>
      <c r="O26" s="205">
        <f t="shared" si="4"/>
        <v>0</v>
      </c>
      <c r="P26" s="206">
        <f t="shared" si="5"/>
        <v>0</v>
      </c>
      <c r="Q26" s="206">
        <f t="shared" si="6"/>
        <v>-0.01</v>
      </c>
      <c r="R26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26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109460</v>
      </c>
      <c r="T26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112850</v>
      </c>
      <c r="U26" s="208">
        <f ca="1">IF(Tabla336106734821[[#This Row],[Equity]]&lt;Tabla336106734821[[#This Row],[Equity Peak]],(Tabla336106734821[[#This Row],[Equity Peak]]-Tabla336106734821[[#This Row],[Equity]])/Tabla336106734821[[#This Row],[Equity Peak]],"")</f>
        <v>3.0039875941515286E-2</v>
      </c>
      <c r="V26" s="209">
        <f t="shared" si="7"/>
        <v>0</v>
      </c>
      <c r="W26" s="209">
        <f t="shared" si="8"/>
        <v>0</v>
      </c>
      <c r="X26" s="209">
        <f t="shared" si="9"/>
        <v>-0.01</v>
      </c>
      <c r="Y26" s="209">
        <f t="shared" si="10"/>
        <v>0</v>
      </c>
      <c r="Z26" s="209">
        <f t="shared" si="11"/>
        <v>0</v>
      </c>
      <c r="AA26" s="205">
        <f t="shared" si="12"/>
        <v>0</v>
      </c>
      <c r="AB26" s="209">
        <f t="shared" si="13"/>
        <v>0</v>
      </c>
      <c r="AC26" s="205">
        <f t="shared" si="14"/>
        <v>0</v>
      </c>
      <c r="AD26" s="210">
        <f t="shared" si="15"/>
        <v>8.5763888888905058</v>
      </c>
      <c r="AE26" s="210">
        <f t="shared" si="16"/>
        <v>0</v>
      </c>
      <c r="AF26" s="210">
        <f t="shared" si="17"/>
        <v>8.5763888888905058</v>
      </c>
      <c r="AG26" s="210">
        <f t="shared" si="18"/>
        <v>0</v>
      </c>
    </row>
    <row r="27" spans="2:33" ht="15" customHeight="1" x14ac:dyDescent="0.3">
      <c r="B27" s="196" t="s">
        <v>19</v>
      </c>
      <c r="C27" s="197" t="s">
        <v>13</v>
      </c>
      <c r="D27" s="198" t="str">
        <f t="shared" si="0"/>
        <v>C</v>
      </c>
      <c r="E27" s="199">
        <v>43733.625</v>
      </c>
      <c r="F27" s="200" t="s">
        <v>108</v>
      </c>
      <c r="G27" s="201">
        <v>56.145000000000003</v>
      </c>
      <c r="H27" s="201">
        <v>57.832999999999998</v>
      </c>
      <c r="I27" s="202">
        <f t="shared" si="1"/>
        <v>1.6879999999999953</v>
      </c>
      <c r="J27" s="201">
        <v>35.890999999999998</v>
      </c>
      <c r="K27" s="199">
        <v>43761.125</v>
      </c>
      <c r="L27" s="201">
        <v>54.234000000000002</v>
      </c>
      <c r="M27" s="203">
        <f t="shared" si="2"/>
        <v>1.911</v>
      </c>
      <c r="N27" s="204">
        <f t="shared" si="3"/>
        <v>1.1299999999999999</v>
      </c>
      <c r="O27" s="205">
        <f t="shared" si="4"/>
        <v>0</v>
      </c>
      <c r="P27" s="206">
        <f t="shared" si="5"/>
        <v>1.1299999999999999</v>
      </c>
      <c r="Q27" s="206">
        <f t="shared" si="6"/>
        <v>0</v>
      </c>
      <c r="R27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27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109470</v>
      </c>
      <c r="T27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112850</v>
      </c>
      <c r="U27" s="208">
        <f ca="1">IF(Tabla336106734821[[#This Row],[Equity]]&lt;Tabla336106734821[[#This Row],[Equity Peak]],(Tabla336106734821[[#This Row],[Equity Peak]]-Tabla336106734821[[#This Row],[Equity]])/Tabla336106734821[[#This Row],[Equity Peak]],"")</f>
        <v>2.9951262738147983E-2</v>
      </c>
      <c r="V27" s="209">
        <f t="shared" si="7"/>
        <v>0</v>
      </c>
      <c r="W27" s="209">
        <f t="shared" si="8"/>
        <v>0</v>
      </c>
      <c r="X27" s="209">
        <f t="shared" si="9"/>
        <v>1.1299999999999999</v>
      </c>
      <c r="Y27" s="209">
        <f t="shared" si="10"/>
        <v>0</v>
      </c>
      <c r="Z27" s="209">
        <f t="shared" si="11"/>
        <v>0</v>
      </c>
      <c r="AA27" s="205">
        <f t="shared" si="12"/>
        <v>0</v>
      </c>
      <c r="AB27" s="209">
        <f t="shared" si="13"/>
        <v>0</v>
      </c>
      <c r="AC27" s="205">
        <f t="shared" si="14"/>
        <v>0</v>
      </c>
      <c r="AD27" s="210">
        <f t="shared" si="15"/>
        <v>27.5</v>
      </c>
      <c r="AE27" s="210">
        <f t="shared" si="16"/>
        <v>27.5</v>
      </c>
      <c r="AF27" s="210">
        <f t="shared" si="17"/>
        <v>0</v>
      </c>
      <c r="AG27" s="210">
        <f t="shared" si="18"/>
        <v>0</v>
      </c>
    </row>
    <row r="28" spans="2:33" ht="15" customHeight="1" x14ac:dyDescent="0.3">
      <c r="B28" s="196" t="s">
        <v>19</v>
      </c>
      <c r="C28" s="197" t="s">
        <v>15</v>
      </c>
      <c r="D28" s="198" t="str">
        <f t="shared" si="0"/>
        <v>C</v>
      </c>
      <c r="E28" s="199">
        <v>43724.291666666664</v>
      </c>
      <c r="F28" s="200" t="s">
        <v>108</v>
      </c>
      <c r="G28" s="201">
        <v>59.494999999999997</v>
      </c>
      <c r="H28" s="201">
        <v>57.963000000000001</v>
      </c>
      <c r="I28" s="202">
        <f t="shared" si="1"/>
        <v>1.5319999999999965</v>
      </c>
      <c r="J28" s="201">
        <v>77.878</v>
      </c>
      <c r="K28" s="199">
        <v>43725.729861111111</v>
      </c>
      <c r="L28" s="201">
        <v>59.222000000000001</v>
      </c>
      <c r="M28" s="203">
        <f t="shared" si="2"/>
        <v>-0.27300000000000002</v>
      </c>
      <c r="N28" s="204">
        <f t="shared" si="3"/>
        <v>-0.18</v>
      </c>
      <c r="O28" s="205">
        <f t="shared" si="4"/>
        <v>0</v>
      </c>
      <c r="P28" s="206">
        <f t="shared" si="5"/>
        <v>0</v>
      </c>
      <c r="Q28" s="206">
        <f t="shared" si="6"/>
        <v>-0.18</v>
      </c>
      <c r="R28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28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108340</v>
      </c>
      <c r="T28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112850</v>
      </c>
      <c r="U28" s="208">
        <f ca="1">IF(Tabla336106734821[[#This Row],[Equity]]&lt;Tabla336106734821[[#This Row],[Equity Peak]],(Tabla336106734821[[#This Row],[Equity Peak]]-Tabla336106734821[[#This Row],[Equity]])/Tabla336106734821[[#This Row],[Equity Peak]],"")</f>
        <v>3.9964554718653081E-2</v>
      </c>
      <c r="V28" s="209">
        <f t="shared" si="7"/>
        <v>0</v>
      </c>
      <c r="W28" s="209">
        <f t="shared" si="8"/>
        <v>0</v>
      </c>
      <c r="X28" s="209">
        <f t="shared" si="9"/>
        <v>-0.18</v>
      </c>
      <c r="Y28" s="209">
        <f t="shared" si="10"/>
        <v>0</v>
      </c>
      <c r="Z28" s="209">
        <f t="shared" si="11"/>
        <v>0</v>
      </c>
      <c r="AA28" s="205">
        <f t="shared" si="12"/>
        <v>0</v>
      </c>
      <c r="AB28" s="209">
        <f t="shared" si="13"/>
        <v>0</v>
      </c>
      <c r="AC28" s="205">
        <f t="shared" si="14"/>
        <v>0</v>
      </c>
      <c r="AD28" s="210">
        <f t="shared" si="15"/>
        <v>1.4381944444467081</v>
      </c>
      <c r="AE28" s="210">
        <f t="shared" si="16"/>
        <v>0</v>
      </c>
      <c r="AF28" s="210">
        <f t="shared" si="17"/>
        <v>1.4381944444467081</v>
      </c>
      <c r="AG28" s="210">
        <f t="shared" si="18"/>
        <v>0</v>
      </c>
    </row>
    <row r="29" spans="2:33" ht="15" customHeight="1" x14ac:dyDescent="0.3">
      <c r="B29" s="196" t="s">
        <v>19</v>
      </c>
      <c r="C29" s="197" t="s">
        <v>13</v>
      </c>
      <c r="D29" s="198" t="str">
        <f t="shared" si="0"/>
        <v>C</v>
      </c>
      <c r="E29" s="199">
        <v>43721.291666666664</v>
      </c>
      <c r="F29" s="200" t="s">
        <v>108</v>
      </c>
      <c r="G29" s="201">
        <v>54.902999999999999</v>
      </c>
      <c r="H29" s="201">
        <v>56.375</v>
      </c>
      <c r="I29" s="202">
        <f t="shared" si="1"/>
        <v>1.4720000000000013</v>
      </c>
      <c r="J29" s="201">
        <v>37.235999999999997</v>
      </c>
      <c r="K29" s="199">
        <v>43724.125</v>
      </c>
      <c r="L29" s="201">
        <v>55.747999999999998</v>
      </c>
      <c r="M29" s="203">
        <f t="shared" si="2"/>
        <v>-0.84499999999999997</v>
      </c>
      <c r="N29" s="204">
        <f t="shared" si="3"/>
        <v>-0.56999999999999995</v>
      </c>
      <c r="O29" s="205">
        <f t="shared" si="4"/>
        <v>0</v>
      </c>
      <c r="P29" s="206">
        <f t="shared" si="5"/>
        <v>0</v>
      </c>
      <c r="Q29" s="206">
        <f t="shared" si="6"/>
        <v>-0.56999999999999995</v>
      </c>
      <c r="R29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29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108520</v>
      </c>
      <c r="T29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112850</v>
      </c>
      <c r="U29" s="208">
        <f ca="1">IF(Tabla336106734821[[#This Row],[Equity]]&lt;Tabla336106734821[[#This Row],[Equity Peak]],(Tabla336106734821[[#This Row],[Equity Peak]]-Tabla336106734821[[#This Row],[Equity]])/Tabla336106734821[[#This Row],[Equity Peak]],"")</f>
        <v>3.8369517058041647E-2</v>
      </c>
      <c r="V29" s="209">
        <f t="shared" si="7"/>
        <v>0</v>
      </c>
      <c r="W29" s="209">
        <f t="shared" si="8"/>
        <v>0</v>
      </c>
      <c r="X29" s="209">
        <f t="shared" si="9"/>
        <v>-0.56999999999999995</v>
      </c>
      <c r="Y29" s="209">
        <f t="shared" si="10"/>
        <v>0</v>
      </c>
      <c r="Z29" s="209">
        <f t="shared" si="11"/>
        <v>0</v>
      </c>
      <c r="AA29" s="205">
        <f t="shared" si="12"/>
        <v>0</v>
      </c>
      <c r="AB29" s="209">
        <f t="shared" si="13"/>
        <v>0</v>
      </c>
      <c r="AC29" s="205">
        <f t="shared" si="14"/>
        <v>0</v>
      </c>
      <c r="AD29" s="210">
        <f t="shared" si="15"/>
        <v>2.8333333333357587</v>
      </c>
      <c r="AE29" s="210">
        <f t="shared" si="16"/>
        <v>0</v>
      </c>
      <c r="AF29" s="210">
        <f t="shared" si="17"/>
        <v>2.8333333333357587</v>
      </c>
      <c r="AG29" s="210">
        <f t="shared" si="18"/>
        <v>0</v>
      </c>
    </row>
    <row r="30" spans="2:33" ht="15" customHeight="1" x14ac:dyDescent="0.3">
      <c r="B30" s="196" t="s">
        <v>19</v>
      </c>
      <c r="C30" s="197" t="s">
        <v>15</v>
      </c>
      <c r="D30" s="198" t="str">
        <f t="shared" si="0"/>
        <v>C</v>
      </c>
      <c r="E30" s="199">
        <v>43713.291666666664</v>
      </c>
      <c r="F30" s="200" t="s">
        <v>108</v>
      </c>
      <c r="G30" s="201">
        <v>56.125999999999998</v>
      </c>
      <c r="H30" s="201">
        <v>54.668999999999997</v>
      </c>
      <c r="I30" s="202">
        <f t="shared" si="1"/>
        <v>1.4570000000000007</v>
      </c>
      <c r="J30" s="201">
        <v>73.608000000000004</v>
      </c>
      <c r="K30" s="199">
        <v>43714.538888888892</v>
      </c>
      <c r="L30" s="201">
        <v>55.5</v>
      </c>
      <c r="M30" s="203">
        <f t="shared" si="2"/>
        <v>-0.626</v>
      </c>
      <c r="N30" s="204">
        <f t="shared" si="3"/>
        <v>-0.43</v>
      </c>
      <c r="O30" s="205">
        <f t="shared" si="4"/>
        <v>0</v>
      </c>
      <c r="P30" s="206">
        <f t="shared" si="5"/>
        <v>0</v>
      </c>
      <c r="Q30" s="206">
        <f t="shared" si="6"/>
        <v>-0.43</v>
      </c>
      <c r="R30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30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109090</v>
      </c>
      <c r="T30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112850</v>
      </c>
      <c r="U30" s="208">
        <f ca="1">IF(Tabla336106734821[[#This Row],[Equity]]&lt;Tabla336106734821[[#This Row],[Equity Peak]],(Tabla336106734821[[#This Row],[Equity Peak]]-Tabla336106734821[[#This Row],[Equity]])/Tabla336106734821[[#This Row],[Equity Peak]],"")</f>
        <v>3.3318564466105448E-2</v>
      </c>
      <c r="V30" s="209">
        <f t="shared" si="7"/>
        <v>0</v>
      </c>
      <c r="W30" s="209">
        <f t="shared" si="8"/>
        <v>0</v>
      </c>
      <c r="X30" s="209">
        <f t="shared" si="9"/>
        <v>-0.43</v>
      </c>
      <c r="Y30" s="209">
        <f t="shared" si="10"/>
        <v>0</v>
      </c>
      <c r="Z30" s="209">
        <f t="shared" si="11"/>
        <v>0</v>
      </c>
      <c r="AA30" s="205">
        <f t="shared" si="12"/>
        <v>0</v>
      </c>
      <c r="AB30" s="209">
        <f t="shared" si="13"/>
        <v>0</v>
      </c>
      <c r="AC30" s="205">
        <f t="shared" si="14"/>
        <v>0</v>
      </c>
      <c r="AD30" s="210">
        <f t="shared" si="15"/>
        <v>1.2472222222277196</v>
      </c>
      <c r="AE30" s="210">
        <f t="shared" si="16"/>
        <v>0</v>
      </c>
      <c r="AF30" s="210">
        <f t="shared" si="17"/>
        <v>1.2472222222277196</v>
      </c>
      <c r="AG30" s="210">
        <f t="shared" si="18"/>
        <v>0</v>
      </c>
    </row>
    <row r="31" spans="2:33" ht="15" customHeight="1" x14ac:dyDescent="0.3">
      <c r="B31" s="196" t="s">
        <v>19</v>
      </c>
      <c r="C31" s="197" t="s">
        <v>13</v>
      </c>
      <c r="D31" s="198" t="str">
        <f t="shared" si="0"/>
        <v>C</v>
      </c>
      <c r="E31" s="199">
        <v>43711.017361111109</v>
      </c>
      <c r="F31" s="200" t="s">
        <v>108</v>
      </c>
      <c r="G31" s="201">
        <v>54.783999999999999</v>
      </c>
      <c r="H31" s="201">
        <v>56.218000000000004</v>
      </c>
      <c r="I31" s="202">
        <f t="shared" si="1"/>
        <v>1.4340000000000046</v>
      </c>
      <c r="J31" s="201">
        <v>37.578000000000003</v>
      </c>
      <c r="K31" s="199">
        <v>43712.649305555555</v>
      </c>
      <c r="L31" s="201">
        <v>54.859000000000002</v>
      </c>
      <c r="M31" s="203">
        <f t="shared" si="2"/>
        <v>-7.4999999999999997E-2</v>
      </c>
      <c r="N31" s="204">
        <f t="shared" si="3"/>
        <v>-0.05</v>
      </c>
      <c r="O31" s="205">
        <f t="shared" si="4"/>
        <v>0</v>
      </c>
      <c r="P31" s="206">
        <f t="shared" si="5"/>
        <v>0</v>
      </c>
      <c r="Q31" s="206">
        <f t="shared" si="6"/>
        <v>-0.05</v>
      </c>
      <c r="R31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31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109520</v>
      </c>
      <c r="T31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112850</v>
      </c>
      <c r="U31" s="208">
        <f ca="1">IF(Tabla336106734821[[#This Row],[Equity]]&lt;Tabla336106734821[[#This Row],[Equity Peak]],(Tabla336106734821[[#This Row],[Equity Peak]]-Tabla336106734821[[#This Row],[Equity]])/Tabla336106734821[[#This Row],[Equity Peak]],"")</f>
        <v>2.9508196721311476E-2</v>
      </c>
      <c r="V31" s="209">
        <f t="shared" si="7"/>
        <v>0</v>
      </c>
      <c r="W31" s="209">
        <f t="shared" si="8"/>
        <v>0</v>
      </c>
      <c r="X31" s="209">
        <f t="shared" si="9"/>
        <v>-0.05</v>
      </c>
      <c r="Y31" s="209">
        <f t="shared" si="10"/>
        <v>0</v>
      </c>
      <c r="Z31" s="209">
        <f t="shared" si="11"/>
        <v>0</v>
      </c>
      <c r="AA31" s="205">
        <f t="shared" si="12"/>
        <v>0</v>
      </c>
      <c r="AB31" s="209">
        <f t="shared" si="13"/>
        <v>0</v>
      </c>
      <c r="AC31" s="205">
        <f t="shared" si="14"/>
        <v>0</v>
      </c>
      <c r="AD31" s="210">
        <f t="shared" si="15"/>
        <v>1.6319444444452529</v>
      </c>
      <c r="AE31" s="210">
        <f t="shared" si="16"/>
        <v>0</v>
      </c>
      <c r="AF31" s="210">
        <f t="shared" si="17"/>
        <v>1.6319444444452529</v>
      </c>
      <c r="AG31" s="210">
        <f t="shared" si="18"/>
        <v>0</v>
      </c>
    </row>
    <row r="32" spans="2:33" ht="15" customHeight="1" x14ac:dyDescent="0.3">
      <c r="B32" s="196" t="s">
        <v>19</v>
      </c>
      <c r="C32" s="197" t="s">
        <v>15</v>
      </c>
      <c r="D32" s="198" t="str">
        <f t="shared" si="0"/>
        <v>C</v>
      </c>
      <c r="E32" s="199">
        <v>43705.958333333336</v>
      </c>
      <c r="F32" s="200" t="s">
        <v>108</v>
      </c>
      <c r="G32" s="201">
        <v>55.881999999999998</v>
      </c>
      <c r="H32" s="201">
        <v>54.457000000000001</v>
      </c>
      <c r="I32" s="202">
        <f t="shared" si="1"/>
        <v>1.4249999999999972</v>
      </c>
      <c r="J32" s="201">
        <v>72.977999999999994</v>
      </c>
      <c r="K32" s="199">
        <v>43707.56527777778</v>
      </c>
      <c r="L32" s="201">
        <v>55.697000000000003</v>
      </c>
      <c r="M32" s="203">
        <f t="shared" si="2"/>
        <v>-0.185</v>
      </c>
      <c r="N32" s="204">
        <f t="shared" si="3"/>
        <v>-0.13</v>
      </c>
      <c r="O32" s="205">
        <f t="shared" si="4"/>
        <v>0</v>
      </c>
      <c r="P32" s="206">
        <f t="shared" si="5"/>
        <v>0</v>
      </c>
      <c r="Q32" s="206">
        <f t="shared" si="6"/>
        <v>-0.13</v>
      </c>
      <c r="R32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32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109570</v>
      </c>
      <c r="T32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112850</v>
      </c>
      <c r="U32" s="208">
        <f ca="1">IF(Tabla336106734821[[#This Row],[Equity]]&lt;Tabla336106734821[[#This Row],[Equity Peak]],(Tabla336106734821[[#This Row],[Equity Peak]]-Tabla336106734821[[#This Row],[Equity]])/Tabla336106734821[[#This Row],[Equity Peak]],"")</f>
        <v>2.9065130704474966E-2</v>
      </c>
      <c r="V32" s="209">
        <f t="shared" si="7"/>
        <v>0</v>
      </c>
      <c r="W32" s="209">
        <f t="shared" si="8"/>
        <v>0</v>
      </c>
      <c r="X32" s="209">
        <f t="shared" si="9"/>
        <v>-0.13</v>
      </c>
      <c r="Y32" s="209">
        <f t="shared" si="10"/>
        <v>0</v>
      </c>
      <c r="Z32" s="209">
        <f t="shared" si="11"/>
        <v>0</v>
      </c>
      <c r="AA32" s="205">
        <f t="shared" si="12"/>
        <v>0</v>
      </c>
      <c r="AB32" s="209">
        <f t="shared" si="13"/>
        <v>0</v>
      </c>
      <c r="AC32" s="205">
        <f t="shared" si="14"/>
        <v>0</v>
      </c>
      <c r="AD32" s="210">
        <f t="shared" si="15"/>
        <v>1.6069444444437977</v>
      </c>
      <c r="AE32" s="210">
        <f t="shared" si="16"/>
        <v>0</v>
      </c>
      <c r="AF32" s="210">
        <f t="shared" si="17"/>
        <v>1.6069444444437977</v>
      </c>
      <c r="AG32" s="210">
        <f t="shared" si="18"/>
        <v>0</v>
      </c>
    </row>
    <row r="33" spans="2:33" ht="15" customHeight="1" x14ac:dyDescent="0.3">
      <c r="B33" s="196" t="s">
        <v>19</v>
      </c>
      <c r="C33" s="197" t="s">
        <v>13</v>
      </c>
      <c r="D33" s="198" t="str">
        <f t="shared" si="0"/>
        <v>C</v>
      </c>
      <c r="E33" s="199">
        <v>43700.791666666664</v>
      </c>
      <c r="F33" s="200" t="s">
        <v>108</v>
      </c>
      <c r="G33" s="201">
        <v>53.514000000000003</v>
      </c>
      <c r="H33" s="201">
        <v>54.923000000000002</v>
      </c>
      <c r="I33" s="202">
        <f t="shared" si="1"/>
        <v>1.4089999999999989</v>
      </c>
      <c r="J33" s="201">
        <v>36.603000000000002</v>
      </c>
      <c r="K33" s="199">
        <v>43703.372916666667</v>
      </c>
      <c r="L33" s="201">
        <v>53.957000000000001</v>
      </c>
      <c r="M33" s="203">
        <f t="shared" si="2"/>
        <v>-0.443</v>
      </c>
      <c r="N33" s="204">
        <f t="shared" si="3"/>
        <v>-0.31</v>
      </c>
      <c r="O33" s="205">
        <f t="shared" si="4"/>
        <v>0</v>
      </c>
      <c r="P33" s="206">
        <f t="shared" si="5"/>
        <v>0</v>
      </c>
      <c r="Q33" s="206">
        <f t="shared" si="6"/>
        <v>-0.31</v>
      </c>
      <c r="R33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33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109700</v>
      </c>
      <c r="T33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112850</v>
      </c>
      <c r="U33" s="208">
        <f ca="1">IF(Tabla336106734821[[#This Row],[Equity]]&lt;Tabla336106734821[[#This Row],[Equity Peak]],(Tabla336106734821[[#This Row],[Equity Peak]]-Tabla336106734821[[#This Row],[Equity]])/Tabla336106734821[[#This Row],[Equity Peak]],"")</f>
        <v>2.7913159060700046E-2</v>
      </c>
      <c r="V33" s="209">
        <f t="shared" si="7"/>
        <v>0</v>
      </c>
      <c r="W33" s="209">
        <f t="shared" si="8"/>
        <v>0</v>
      </c>
      <c r="X33" s="209">
        <f t="shared" si="9"/>
        <v>-0.31</v>
      </c>
      <c r="Y33" s="209">
        <f t="shared" si="10"/>
        <v>0</v>
      </c>
      <c r="Z33" s="209">
        <f t="shared" si="11"/>
        <v>0</v>
      </c>
      <c r="AA33" s="205">
        <f t="shared" si="12"/>
        <v>0</v>
      </c>
      <c r="AB33" s="209">
        <f t="shared" si="13"/>
        <v>0</v>
      </c>
      <c r="AC33" s="205">
        <f t="shared" si="14"/>
        <v>0</v>
      </c>
      <c r="AD33" s="210">
        <f t="shared" si="15"/>
        <v>2.5812500000029104</v>
      </c>
      <c r="AE33" s="210">
        <f t="shared" si="16"/>
        <v>0</v>
      </c>
      <c r="AF33" s="210">
        <f t="shared" si="17"/>
        <v>2.5812500000029104</v>
      </c>
      <c r="AG33" s="210">
        <f t="shared" si="18"/>
        <v>0</v>
      </c>
    </row>
    <row r="34" spans="2:33" ht="15" customHeight="1" x14ac:dyDescent="0.3">
      <c r="B34" s="196" t="s">
        <v>19</v>
      </c>
      <c r="C34" s="197" t="s">
        <v>15</v>
      </c>
      <c r="D34" s="198" t="str">
        <f t="shared" si="0"/>
        <v>C</v>
      </c>
      <c r="E34" s="199">
        <v>43696.291666666664</v>
      </c>
      <c r="F34" s="200" t="s">
        <v>108</v>
      </c>
      <c r="G34" s="201">
        <v>55.283000000000001</v>
      </c>
      <c r="H34" s="201">
        <v>53.838999999999999</v>
      </c>
      <c r="I34" s="202">
        <f t="shared" si="1"/>
        <v>1.4440000000000026</v>
      </c>
      <c r="J34" s="201">
        <v>72.614999999999995</v>
      </c>
      <c r="K34" s="199">
        <v>43697.732638888891</v>
      </c>
      <c r="L34" s="201">
        <v>55.228999999999999</v>
      </c>
      <c r="M34" s="203">
        <f t="shared" si="2"/>
        <v>-5.3999999999999999E-2</v>
      </c>
      <c r="N34" s="204">
        <f t="shared" si="3"/>
        <v>-0.04</v>
      </c>
      <c r="O34" s="205">
        <f t="shared" si="4"/>
        <v>0</v>
      </c>
      <c r="P34" s="206">
        <f t="shared" si="5"/>
        <v>0</v>
      </c>
      <c r="Q34" s="206">
        <f t="shared" si="6"/>
        <v>-0.04</v>
      </c>
      <c r="R34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34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110010</v>
      </c>
      <c r="T34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112850</v>
      </c>
      <c r="U34" s="208">
        <f ca="1">IF(Tabla336106734821[[#This Row],[Equity]]&lt;Tabla336106734821[[#This Row],[Equity Peak]],(Tabla336106734821[[#This Row],[Equity Peak]]-Tabla336106734821[[#This Row],[Equity]])/Tabla336106734821[[#This Row],[Equity Peak]],"")</f>
        <v>2.5166149756313691E-2</v>
      </c>
      <c r="V34" s="209">
        <f t="shared" si="7"/>
        <v>0</v>
      </c>
      <c r="W34" s="209">
        <f t="shared" si="8"/>
        <v>0</v>
      </c>
      <c r="X34" s="209">
        <f t="shared" si="9"/>
        <v>-0.04</v>
      </c>
      <c r="Y34" s="209">
        <f t="shared" si="10"/>
        <v>0</v>
      </c>
      <c r="Z34" s="209">
        <f t="shared" si="11"/>
        <v>0</v>
      </c>
      <c r="AA34" s="205">
        <f t="shared" si="12"/>
        <v>0</v>
      </c>
      <c r="AB34" s="209">
        <f t="shared" si="13"/>
        <v>0</v>
      </c>
      <c r="AC34" s="205">
        <f t="shared" si="14"/>
        <v>0</v>
      </c>
      <c r="AD34" s="210">
        <f t="shared" si="15"/>
        <v>1.4409722222262644</v>
      </c>
      <c r="AE34" s="210">
        <f t="shared" si="16"/>
        <v>0</v>
      </c>
      <c r="AF34" s="210">
        <f t="shared" si="17"/>
        <v>1.4409722222262644</v>
      </c>
      <c r="AG34" s="210">
        <f t="shared" si="18"/>
        <v>0</v>
      </c>
    </row>
    <row r="35" spans="2:33" ht="15" customHeight="1" x14ac:dyDescent="0.3">
      <c r="B35" s="196" t="s">
        <v>19</v>
      </c>
      <c r="C35" s="197" t="s">
        <v>13</v>
      </c>
      <c r="D35" s="198" t="str">
        <f t="shared" si="0"/>
        <v>C</v>
      </c>
      <c r="E35" s="199">
        <v>43693.017361111109</v>
      </c>
      <c r="F35" s="200" t="s">
        <v>108</v>
      </c>
      <c r="G35" s="201">
        <v>54.652000000000001</v>
      </c>
      <c r="H35" s="201">
        <v>56.097999999999999</v>
      </c>
      <c r="I35" s="202">
        <f t="shared" si="1"/>
        <v>1.445999999999998</v>
      </c>
      <c r="J35" s="201">
        <v>37.298999999999999</v>
      </c>
      <c r="K35" s="199">
        <v>43693.469444444447</v>
      </c>
      <c r="L35" s="201">
        <v>55.462000000000003</v>
      </c>
      <c r="M35" s="203">
        <f t="shared" si="2"/>
        <v>-0.81</v>
      </c>
      <c r="N35" s="204">
        <f t="shared" si="3"/>
        <v>-0.56000000000000005</v>
      </c>
      <c r="O35" s="205">
        <f t="shared" si="4"/>
        <v>0</v>
      </c>
      <c r="P35" s="206">
        <f t="shared" si="5"/>
        <v>0</v>
      </c>
      <c r="Q35" s="206">
        <f t="shared" si="6"/>
        <v>-0.56000000000000005</v>
      </c>
      <c r="R35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35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110050</v>
      </c>
      <c r="T35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112850</v>
      </c>
      <c r="U35" s="208">
        <f ca="1">IF(Tabla336106734821[[#This Row],[Equity]]&lt;Tabla336106734821[[#This Row],[Equity Peak]],(Tabla336106734821[[#This Row],[Equity Peak]]-Tabla336106734821[[#This Row],[Equity]])/Tabla336106734821[[#This Row],[Equity Peak]],"")</f>
        <v>2.4811696942844484E-2</v>
      </c>
      <c r="V35" s="209">
        <f t="shared" si="7"/>
        <v>0</v>
      </c>
      <c r="W35" s="209">
        <f t="shared" si="8"/>
        <v>0</v>
      </c>
      <c r="X35" s="209">
        <f t="shared" si="9"/>
        <v>-0.56000000000000005</v>
      </c>
      <c r="Y35" s="209">
        <f t="shared" si="10"/>
        <v>0</v>
      </c>
      <c r="Z35" s="209">
        <f t="shared" si="11"/>
        <v>0</v>
      </c>
      <c r="AA35" s="205">
        <f t="shared" si="12"/>
        <v>0</v>
      </c>
      <c r="AB35" s="209">
        <f t="shared" si="13"/>
        <v>0</v>
      </c>
      <c r="AC35" s="205">
        <f t="shared" si="14"/>
        <v>0</v>
      </c>
      <c r="AD35" s="210">
        <f t="shared" si="15"/>
        <v>0.45208333333721384</v>
      </c>
      <c r="AE35" s="210">
        <f t="shared" si="16"/>
        <v>0</v>
      </c>
      <c r="AF35" s="210">
        <f t="shared" si="17"/>
        <v>0.45208333333721384</v>
      </c>
      <c r="AG35" s="210">
        <f t="shared" si="18"/>
        <v>0</v>
      </c>
    </row>
    <row r="36" spans="2:33" ht="15" customHeight="1" x14ac:dyDescent="0.3">
      <c r="B36" s="196" t="s">
        <v>19</v>
      </c>
      <c r="C36" s="197" t="s">
        <v>15</v>
      </c>
      <c r="D36" s="198" t="str">
        <f t="shared" si="0"/>
        <v>C</v>
      </c>
      <c r="E36" s="199">
        <v>43690.958333333336</v>
      </c>
      <c r="F36" s="200" t="s">
        <v>108</v>
      </c>
      <c r="G36" s="201">
        <v>57.091999999999999</v>
      </c>
      <c r="H36" s="201">
        <v>55.664999999999999</v>
      </c>
      <c r="I36" s="202">
        <f t="shared" si="1"/>
        <v>1.4269999999999996</v>
      </c>
      <c r="J36" s="201">
        <v>74.215999999999994</v>
      </c>
      <c r="K36" s="199">
        <v>43691.507638888892</v>
      </c>
      <c r="L36" s="201">
        <v>56.204999999999998</v>
      </c>
      <c r="M36" s="203">
        <f t="shared" si="2"/>
        <v>-0.88700000000000001</v>
      </c>
      <c r="N36" s="204">
        <f t="shared" si="3"/>
        <v>-0.62</v>
      </c>
      <c r="O36" s="205">
        <f t="shared" si="4"/>
        <v>0</v>
      </c>
      <c r="P36" s="206">
        <f t="shared" si="5"/>
        <v>0</v>
      </c>
      <c r="Q36" s="206">
        <f t="shared" si="6"/>
        <v>-0.62</v>
      </c>
      <c r="R36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36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110610</v>
      </c>
      <c r="T36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112850</v>
      </c>
      <c r="U36" s="208">
        <f ca="1">IF(Tabla336106734821[[#This Row],[Equity]]&lt;Tabla336106734821[[#This Row],[Equity Peak]],(Tabla336106734821[[#This Row],[Equity Peak]]-Tabla336106734821[[#This Row],[Equity]])/Tabla336106734821[[#This Row],[Equity Peak]],"")</f>
        <v>1.9849357554275589E-2</v>
      </c>
      <c r="V36" s="209">
        <f t="shared" si="7"/>
        <v>0</v>
      </c>
      <c r="W36" s="209">
        <f t="shared" si="8"/>
        <v>0</v>
      </c>
      <c r="X36" s="209">
        <f t="shared" si="9"/>
        <v>-0.62</v>
      </c>
      <c r="Y36" s="209">
        <f t="shared" si="10"/>
        <v>0</v>
      </c>
      <c r="Z36" s="209">
        <f t="shared" si="11"/>
        <v>0</v>
      </c>
      <c r="AA36" s="205">
        <f t="shared" si="12"/>
        <v>0</v>
      </c>
      <c r="AB36" s="209">
        <f t="shared" si="13"/>
        <v>0</v>
      </c>
      <c r="AC36" s="205">
        <f t="shared" si="14"/>
        <v>0</v>
      </c>
      <c r="AD36" s="210">
        <f t="shared" si="15"/>
        <v>0.54930555555620231</v>
      </c>
      <c r="AE36" s="210">
        <f t="shared" si="16"/>
        <v>0</v>
      </c>
      <c r="AF36" s="210">
        <f t="shared" si="17"/>
        <v>0.54930555555620231</v>
      </c>
      <c r="AG36" s="210">
        <f t="shared" si="18"/>
        <v>0</v>
      </c>
    </row>
    <row r="37" spans="2:33" ht="15" customHeight="1" x14ac:dyDescent="0.3">
      <c r="B37" s="196" t="s">
        <v>19</v>
      </c>
      <c r="C37" s="197" t="s">
        <v>13</v>
      </c>
      <c r="D37" s="198" t="str">
        <f t="shared" si="0"/>
        <v>C</v>
      </c>
      <c r="E37" s="199">
        <v>43684.625</v>
      </c>
      <c r="F37" s="200" t="s">
        <v>108</v>
      </c>
      <c r="G37" s="201">
        <v>53.213000000000001</v>
      </c>
      <c r="H37" s="201">
        <v>54.610999999999997</v>
      </c>
      <c r="I37" s="202">
        <f t="shared" si="1"/>
        <v>1.3979999999999961</v>
      </c>
      <c r="J37" s="201">
        <v>36.435000000000002</v>
      </c>
      <c r="K37" s="199">
        <v>43686.5625</v>
      </c>
      <c r="L37" s="201">
        <v>53.215000000000003</v>
      </c>
      <c r="M37" s="203">
        <f t="shared" si="2"/>
        <v>-2E-3</v>
      </c>
      <c r="N37" s="204">
        <f t="shared" si="3"/>
        <v>0</v>
      </c>
      <c r="O37" s="205">
        <f t="shared" si="4"/>
        <v>0</v>
      </c>
      <c r="P37" s="206">
        <f t="shared" si="5"/>
        <v>0</v>
      </c>
      <c r="Q37" s="206">
        <f t="shared" si="6"/>
        <v>0</v>
      </c>
      <c r="R37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37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111230</v>
      </c>
      <c r="T37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112850</v>
      </c>
      <c r="U37" s="208">
        <f ca="1">IF(Tabla336106734821[[#This Row],[Equity]]&lt;Tabla336106734821[[#This Row],[Equity Peak]],(Tabla336106734821[[#This Row],[Equity Peak]]-Tabla336106734821[[#This Row],[Equity]])/Tabla336106734821[[#This Row],[Equity Peak]],"")</f>
        <v>1.435533894550288E-2</v>
      </c>
      <c r="V37" s="209">
        <f t="shared" si="7"/>
        <v>0</v>
      </c>
      <c r="W37" s="209">
        <f t="shared" si="8"/>
        <v>0</v>
      </c>
      <c r="X37" s="209">
        <f t="shared" si="9"/>
        <v>0</v>
      </c>
      <c r="Y37" s="209">
        <f t="shared" si="10"/>
        <v>0</v>
      </c>
      <c r="Z37" s="209">
        <f t="shared" si="11"/>
        <v>0</v>
      </c>
      <c r="AA37" s="205">
        <f t="shared" si="12"/>
        <v>0</v>
      </c>
      <c r="AB37" s="209">
        <f t="shared" si="13"/>
        <v>0</v>
      </c>
      <c r="AC37" s="205">
        <f t="shared" si="14"/>
        <v>0</v>
      </c>
      <c r="AD37" s="210">
        <f t="shared" si="15"/>
        <v>1.9375</v>
      </c>
      <c r="AE37" s="210">
        <f t="shared" si="16"/>
        <v>0</v>
      </c>
      <c r="AF37" s="210">
        <f t="shared" si="17"/>
        <v>0</v>
      </c>
      <c r="AG37" s="210">
        <f t="shared" si="18"/>
        <v>1.9375</v>
      </c>
    </row>
    <row r="38" spans="2:33" ht="15" customHeight="1" x14ac:dyDescent="0.3">
      <c r="B38" s="196" t="s">
        <v>19</v>
      </c>
      <c r="C38" s="197" t="s">
        <v>13</v>
      </c>
      <c r="D38" s="198" t="str">
        <f t="shared" si="0"/>
        <v>C</v>
      </c>
      <c r="E38" s="199">
        <v>43678.958333333336</v>
      </c>
      <c r="F38" s="200" t="s">
        <v>108</v>
      </c>
      <c r="G38" s="201">
        <v>54.518000000000001</v>
      </c>
      <c r="H38" s="201">
        <v>55.932000000000002</v>
      </c>
      <c r="I38" s="202">
        <f t="shared" si="1"/>
        <v>1.4140000000000015</v>
      </c>
      <c r="J38" s="201">
        <v>37.546999999999997</v>
      </c>
      <c r="K38" s="199">
        <v>43679.23541666667</v>
      </c>
      <c r="L38" s="201">
        <v>55.296999999999997</v>
      </c>
      <c r="M38" s="203">
        <f t="shared" si="2"/>
        <v>-0.77900000000000003</v>
      </c>
      <c r="N38" s="204">
        <f t="shared" si="3"/>
        <v>-0.55000000000000004</v>
      </c>
      <c r="O38" s="205">
        <f t="shared" si="4"/>
        <v>0</v>
      </c>
      <c r="P38" s="206">
        <f t="shared" si="5"/>
        <v>0</v>
      </c>
      <c r="Q38" s="206">
        <f t="shared" si="6"/>
        <v>-0.55000000000000004</v>
      </c>
      <c r="R38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38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111230</v>
      </c>
      <c r="T38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112850</v>
      </c>
      <c r="U38" s="208">
        <f ca="1">IF(Tabla336106734821[[#This Row],[Equity]]&lt;Tabla336106734821[[#This Row],[Equity Peak]],(Tabla336106734821[[#This Row],[Equity Peak]]-Tabla336106734821[[#This Row],[Equity]])/Tabla336106734821[[#This Row],[Equity Peak]],"")</f>
        <v>1.435533894550288E-2</v>
      </c>
      <c r="V38" s="209">
        <f t="shared" si="7"/>
        <v>0</v>
      </c>
      <c r="W38" s="209">
        <f t="shared" si="8"/>
        <v>0</v>
      </c>
      <c r="X38" s="209">
        <f t="shared" si="9"/>
        <v>-0.55000000000000004</v>
      </c>
      <c r="Y38" s="209">
        <f t="shared" si="10"/>
        <v>0</v>
      </c>
      <c r="Z38" s="209">
        <f t="shared" si="11"/>
        <v>0</v>
      </c>
      <c r="AA38" s="205">
        <f t="shared" si="12"/>
        <v>0</v>
      </c>
      <c r="AB38" s="209">
        <f t="shared" si="13"/>
        <v>0</v>
      </c>
      <c r="AC38" s="205">
        <f t="shared" si="14"/>
        <v>0</v>
      </c>
      <c r="AD38" s="210">
        <f t="shared" si="15"/>
        <v>0.27708333333430346</v>
      </c>
      <c r="AE38" s="210">
        <f t="shared" si="16"/>
        <v>0</v>
      </c>
      <c r="AF38" s="210">
        <f t="shared" si="17"/>
        <v>0.27708333333430346</v>
      </c>
      <c r="AG38" s="210">
        <f t="shared" si="18"/>
        <v>0</v>
      </c>
    </row>
    <row r="39" spans="2:33" ht="15" customHeight="1" x14ac:dyDescent="0.3">
      <c r="B39" s="196" t="s">
        <v>19</v>
      </c>
      <c r="C39" s="197" t="s">
        <v>15</v>
      </c>
      <c r="D39" s="198" t="str">
        <f t="shared" si="0"/>
        <v>C</v>
      </c>
      <c r="E39" s="199">
        <v>43676.958333333336</v>
      </c>
      <c r="F39" s="200" t="s">
        <v>108</v>
      </c>
      <c r="G39" s="201">
        <v>58.244</v>
      </c>
      <c r="H39" s="201">
        <v>56.838000000000001</v>
      </c>
      <c r="I39" s="202">
        <f t="shared" si="1"/>
        <v>1.4059999999999988</v>
      </c>
      <c r="J39" s="201">
        <v>75.117000000000004</v>
      </c>
      <c r="K39" s="199">
        <v>43678</v>
      </c>
      <c r="L39" s="201">
        <v>57.69</v>
      </c>
      <c r="M39" s="203">
        <f t="shared" si="2"/>
        <v>-0.55400000000000005</v>
      </c>
      <c r="N39" s="204">
        <f t="shared" si="3"/>
        <v>-0.39</v>
      </c>
      <c r="O39" s="205">
        <f t="shared" si="4"/>
        <v>0</v>
      </c>
      <c r="P39" s="206">
        <f t="shared" si="5"/>
        <v>0</v>
      </c>
      <c r="Q39" s="206">
        <f t="shared" si="6"/>
        <v>-0.39</v>
      </c>
      <c r="R39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39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111780</v>
      </c>
      <c r="T39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112850</v>
      </c>
      <c r="U39" s="208">
        <f ca="1">IF(Tabla336106734821[[#This Row],[Equity]]&lt;Tabla336106734821[[#This Row],[Equity Peak]],(Tabla336106734821[[#This Row],[Equity Peak]]-Tabla336106734821[[#This Row],[Equity]])/Tabla336106734821[[#This Row],[Equity Peak]],"")</f>
        <v>9.4816127603012841E-3</v>
      </c>
      <c r="V39" s="209">
        <f t="shared" si="7"/>
        <v>0</v>
      </c>
      <c r="W39" s="209">
        <f t="shared" si="8"/>
        <v>0</v>
      </c>
      <c r="X39" s="209">
        <f t="shared" si="9"/>
        <v>-0.39</v>
      </c>
      <c r="Y39" s="209">
        <f t="shared" si="10"/>
        <v>0</v>
      </c>
      <c r="Z39" s="209">
        <f t="shared" si="11"/>
        <v>0</v>
      </c>
      <c r="AA39" s="205">
        <f t="shared" si="12"/>
        <v>0</v>
      </c>
      <c r="AB39" s="209">
        <f t="shared" si="13"/>
        <v>0</v>
      </c>
      <c r="AC39" s="205">
        <f t="shared" si="14"/>
        <v>0</v>
      </c>
      <c r="AD39" s="210">
        <f t="shared" si="15"/>
        <v>1.0416666666642413</v>
      </c>
      <c r="AE39" s="210">
        <f t="shared" si="16"/>
        <v>0</v>
      </c>
      <c r="AF39" s="210">
        <f t="shared" si="17"/>
        <v>1.0416666666642413</v>
      </c>
      <c r="AG39" s="210">
        <f t="shared" si="18"/>
        <v>0</v>
      </c>
    </row>
    <row r="40" spans="2:33" ht="15" customHeight="1" x14ac:dyDescent="0.3">
      <c r="B40" s="196" t="s">
        <v>19</v>
      </c>
      <c r="C40" s="197" t="s">
        <v>13</v>
      </c>
      <c r="D40" s="198" t="str">
        <f t="shared" si="0"/>
        <v>C</v>
      </c>
      <c r="E40" s="199">
        <v>43663.791666666664</v>
      </c>
      <c r="F40" s="200" t="s">
        <v>108</v>
      </c>
      <c r="G40" s="201">
        <v>57.374000000000002</v>
      </c>
      <c r="H40" s="201">
        <v>58.9</v>
      </c>
      <c r="I40" s="202">
        <f t="shared" si="1"/>
        <v>1.5259999999999962</v>
      </c>
      <c r="J40" s="201">
        <v>39.067</v>
      </c>
      <c r="K40" s="199">
        <v>43670.638194444444</v>
      </c>
      <c r="L40" s="201">
        <v>57.526000000000003</v>
      </c>
      <c r="M40" s="203">
        <f t="shared" si="2"/>
        <v>-0.152</v>
      </c>
      <c r="N40" s="204">
        <f t="shared" si="3"/>
        <v>-0.1</v>
      </c>
      <c r="O40" s="205">
        <f t="shared" si="4"/>
        <v>0</v>
      </c>
      <c r="P40" s="206">
        <f t="shared" si="5"/>
        <v>0</v>
      </c>
      <c r="Q40" s="206">
        <f t="shared" si="6"/>
        <v>-0.1</v>
      </c>
      <c r="R40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40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112170</v>
      </c>
      <c r="T40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112850</v>
      </c>
      <c r="U40" s="208">
        <f ca="1">IF(Tabla336106734821[[#This Row],[Equity]]&lt;Tabla336106734821[[#This Row],[Equity Peak]],(Tabla336106734821[[#This Row],[Equity Peak]]-Tabla336106734821[[#This Row],[Equity]])/Tabla336106734821[[#This Row],[Equity Peak]],"")</f>
        <v>6.0256978289765176E-3</v>
      </c>
      <c r="V40" s="209">
        <f t="shared" si="7"/>
        <v>0</v>
      </c>
      <c r="W40" s="209">
        <f t="shared" si="8"/>
        <v>0</v>
      </c>
      <c r="X40" s="209">
        <f t="shared" si="9"/>
        <v>-0.1</v>
      </c>
      <c r="Y40" s="209">
        <f t="shared" si="10"/>
        <v>0</v>
      </c>
      <c r="Z40" s="209">
        <f t="shared" si="11"/>
        <v>0</v>
      </c>
      <c r="AA40" s="205">
        <f t="shared" si="12"/>
        <v>0</v>
      </c>
      <c r="AB40" s="209">
        <f t="shared" si="13"/>
        <v>0</v>
      </c>
      <c r="AC40" s="205">
        <f t="shared" si="14"/>
        <v>0</v>
      </c>
      <c r="AD40" s="210">
        <f t="shared" si="15"/>
        <v>6.8465277777795563</v>
      </c>
      <c r="AE40" s="210">
        <f t="shared" si="16"/>
        <v>0</v>
      </c>
      <c r="AF40" s="210">
        <f t="shared" si="17"/>
        <v>6.8465277777795563</v>
      </c>
      <c r="AG40" s="210">
        <f t="shared" si="18"/>
        <v>0</v>
      </c>
    </row>
    <row r="41" spans="2:33" ht="15" customHeight="1" x14ac:dyDescent="0.3">
      <c r="B41" s="196" t="s">
        <v>19</v>
      </c>
      <c r="C41" s="197" t="s">
        <v>15</v>
      </c>
      <c r="D41" s="198" t="str">
        <f t="shared" si="0"/>
        <v>C</v>
      </c>
      <c r="E41" s="199">
        <v>43654.458333333336</v>
      </c>
      <c r="F41" s="200" t="s">
        <v>108</v>
      </c>
      <c r="G41" s="201">
        <v>57.685000000000002</v>
      </c>
      <c r="H41" s="201">
        <v>56.146000000000001</v>
      </c>
      <c r="I41" s="202">
        <f t="shared" si="1"/>
        <v>1.5390000000000015</v>
      </c>
      <c r="J41" s="201">
        <v>76.155000000000001</v>
      </c>
      <c r="K41" s="199">
        <v>43662.898611111108</v>
      </c>
      <c r="L41" s="201">
        <v>57.468000000000004</v>
      </c>
      <c r="M41" s="203">
        <f t="shared" si="2"/>
        <v>-0.217</v>
      </c>
      <c r="N41" s="204">
        <f t="shared" si="3"/>
        <v>-0.14000000000000001</v>
      </c>
      <c r="O41" s="205">
        <f t="shared" si="4"/>
        <v>0</v>
      </c>
      <c r="P41" s="206">
        <f t="shared" si="5"/>
        <v>0</v>
      </c>
      <c r="Q41" s="206">
        <f t="shared" si="6"/>
        <v>-0.14000000000000001</v>
      </c>
      <c r="R41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41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112270</v>
      </c>
      <c r="T41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112850</v>
      </c>
      <c r="U41" s="208">
        <f ca="1">IF(Tabla336106734821[[#This Row],[Equity]]&lt;Tabla336106734821[[#This Row],[Equity Peak]],(Tabla336106734821[[#This Row],[Equity Peak]]-Tabla336106734821[[#This Row],[Equity]])/Tabla336106734821[[#This Row],[Equity Peak]],"")</f>
        <v>5.1395657953035006E-3</v>
      </c>
      <c r="V41" s="209">
        <f t="shared" si="7"/>
        <v>0</v>
      </c>
      <c r="W41" s="209">
        <f t="shared" si="8"/>
        <v>0</v>
      </c>
      <c r="X41" s="209">
        <f t="shared" si="9"/>
        <v>-0.14000000000000001</v>
      </c>
      <c r="Y41" s="209">
        <f t="shared" si="10"/>
        <v>0</v>
      </c>
      <c r="Z41" s="209">
        <f t="shared" si="11"/>
        <v>0</v>
      </c>
      <c r="AA41" s="205">
        <f t="shared" si="12"/>
        <v>0</v>
      </c>
      <c r="AB41" s="209">
        <f t="shared" si="13"/>
        <v>0</v>
      </c>
      <c r="AC41" s="205">
        <f t="shared" si="14"/>
        <v>0</v>
      </c>
      <c r="AD41" s="210">
        <f t="shared" si="15"/>
        <v>8.4402777777722804</v>
      </c>
      <c r="AE41" s="210">
        <f t="shared" si="16"/>
        <v>0</v>
      </c>
      <c r="AF41" s="210">
        <f t="shared" si="17"/>
        <v>8.4402777777722804</v>
      </c>
      <c r="AG41" s="210">
        <f t="shared" si="18"/>
        <v>0</v>
      </c>
    </row>
    <row r="42" spans="2:33" ht="15" customHeight="1" x14ac:dyDescent="0.3">
      <c r="B42" s="196" t="s">
        <v>19</v>
      </c>
      <c r="C42" s="197" t="s">
        <v>13</v>
      </c>
      <c r="D42" s="198" t="str">
        <f t="shared" si="0"/>
        <v>C</v>
      </c>
      <c r="E42" s="199">
        <v>43650.458333333336</v>
      </c>
      <c r="F42" s="200" t="s">
        <v>108</v>
      </c>
      <c r="G42" s="201">
        <v>56.738999999999997</v>
      </c>
      <c r="H42" s="201">
        <v>58.29</v>
      </c>
      <c r="I42" s="202">
        <f t="shared" si="1"/>
        <v>1.5510000000000019</v>
      </c>
      <c r="J42" s="201">
        <v>38.122</v>
      </c>
      <c r="K42" s="199">
        <v>43651.708333333336</v>
      </c>
      <c r="L42" s="201">
        <v>57.423999999999999</v>
      </c>
      <c r="M42" s="203">
        <f t="shared" si="2"/>
        <v>-0.68500000000000005</v>
      </c>
      <c r="N42" s="204">
        <f t="shared" si="3"/>
        <v>-0.44</v>
      </c>
      <c r="O42" s="205">
        <f t="shared" si="4"/>
        <v>0</v>
      </c>
      <c r="P42" s="206">
        <f t="shared" si="5"/>
        <v>0</v>
      </c>
      <c r="Q42" s="206">
        <f t="shared" si="6"/>
        <v>-0.44</v>
      </c>
      <c r="R42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42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112410</v>
      </c>
      <c r="T42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112850</v>
      </c>
      <c r="U42" s="208">
        <f ca="1">IF(Tabla336106734821[[#This Row],[Equity]]&lt;Tabla336106734821[[#This Row],[Equity Peak]],(Tabla336106734821[[#This Row],[Equity Peak]]-Tabla336106734821[[#This Row],[Equity]])/Tabla336106734821[[#This Row],[Equity Peak]],"")</f>
        <v>3.8989809481612759E-3</v>
      </c>
      <c r="V42" s="209">
        <f t="shared" si="7"/>
        <v>0</v>
      </c>
      <c r="W42" s="209">
        <f t="shared" si="8"/>
        <v>0</v>
      </c>
      <c r="X42" s="209">
        <f t="shared" si="9"/>
        <v>-0.44</v>
      </c>
      <c r="Y42" s="209">
        <f t="shared" si="10"/>
        <v>0</v>
      </c>
      <c r="Z42" s="209">
        <f t="shared" si="11"/>
        <v>0</v>
      </c>
      <c r="AA42" s="205">
        <f t="shared" si="12"/>
        <v>0</v>
      </c>
      <c r="AB42" s="209">
        <f t="shared" si="13"/>
        <v>0</v>
      </c>
      <c r="AC42" s="205">
        <f t="shared" si="14"/>
        <v>0</v>
      </c>
      <c r="AD42" s="210">
        <f t="shared" si="15"/>
        <v>1.25</v>
      </c>
      <c r="AE42" s="210">
        <f t="shared" si="16"/>
        <v>0</v>
      </c>
      <c r="AF42" s="210">
        <f t="shared" si="17"/>
        <v>1.25</v>
      </c>
      <c r="AG42" s="210">
        <f t="shared" si="18"/>
        <v>0</v>
      </c>
    </row>
    <row r="43" spans="2:33" ht="15" customHeight="1" x14ac:dyDescent="0.3">
      <c r="B43" s="196" t="s">
        <v>19</v>
      </c>
      <c r="C43" s="197" t="s">
        <v>15</v>
      </c>
      <c r="D43" s="198" t="str">
        <f t="shared" ref="D43:D52" si="19">IF(E43&lt;&gt;"",IF(K43&lt;&gt;"","C","O"),"")</f>
        <v>C</v>
      </c>
      <c r="E43" s="199">
        <v>43636.017361111109</v>
      </c>
      <c r="F43" s="200" t="s">
        <v>108</v>
      </c>
      <c r="G43" s="201">
        <v>54.631</v>
      </c>
      <c r="H43" s="201">
        <v>53.112000000000002</v>
      </c>
      <c r="I43" s="202">
        <f t="shared" ref="I43:I52" si="20">ABS(G43-H43)</f>
        <v>1.5189999999999984</v>
      </c>
      <c r="J43" s="201">
        <v>72.861999999999995</v>
      </c>
      <c r="K43" s="199">
        <v>43648.9</v>
      </c>
      <c r="L43" s="201">
        <v>56.201999999999998</v>
      </c>
      <c r="M43" s="203">
        <f t="shared" ref="M43:M52" si="21">ROUND(IF(C43="L",(L43-G43),(G43-L43)),4)</f>
        <v>1.571</v>
      </c>
      <c r="N43" s="204">
        <f t="shared" ref="N43:N52" si="22">IFERROR(ROUND((M43/I43),2),"")</f>
        <v>1.03</v>
      </c>
      <c r="O43" s="205">
        <f t="shared" ref="O43:O52" si="23">IF(D43="O",IF(N43&lt;0,N43,0),0)</f>
        <v>0</v>
      </c>
      <c r="P43" s="206">
        <f t="shared" ref="P43:P52" si="24">IF(N43&gt;= 0,N43,0)</f>
        <v>1.03</v>
      </c>
      <c r="Q43" s="206">
        <f t="shared" ref="Q43:Q52" si="25">IF(N43&lt;0,N43,0)</f>
        <v>0</v>
      </c>
      <c r="R43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43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112850</v>
      </c>
      <c r="T43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112850</v>
      </c>
      <c r="U43" s="208" t="str">
        <f ca="1">IF(Tabla336106734821[[#This Row],[Equity]]&lt;Tabla336106734821[[#This Row],[Equity Peak]],(Tabla336106734821[[#This Row],[Equity Peak]]-Tabla336106734821[[#This Row],[Equity]])/Tabla336106734821[[#This Row],[Equity Peak]],"")</f>
        <v/>
      </c>
      <c r="V43" s="209">
        <f t="shared" ref="V43:V52" si="26">IF(B43="FX",N43,0)</f>
        <v>0</v>
      </c>
      <c r="W43" s="209">
        <f t="shared" ref="W43:W52" si="27">IF(D43="O",IF(V43&lt;0,V43,0),0)</f>
        <v>0</v>
      </c>
      <c r="X43" s="209">
        <f t="shared" ref="X43:X52" si="28">IF(B43="COM",N43,0)</f>
        <v>1.03</v>
      </c>
      <c r="Y43" s="209">
        <f t="shared" ref="Y43:Y52" si="29">IF(D43="O",IF(X43&lt;0,X43,0),0)</f>
        <v>0</v>
      </c>
      <c r="Z43" s="209">
        <f t="shared" ref="Z43:Z52" si="30">IF(B43="IND",N43,0)</f>
        <v>0</v>
      </c>
      <c r="AA43" s="205">
        <f t="shared" ref="AA43:AA52" si="31">IF(D43="O",IF(Z43&lt;0,Z43,0),0)</f>
        <v>0</v>
      </c>
      <c r="AB43" s="209">
        <f t="shared" ref="AB43:AB52" si="32">IF(B43="CRYPTO",N43,0)</f>
        <v>0</v>
      </c>
      <c r="AC43" s="205">
        <f t="shared" ref="AC43:AC52" si="33">IF(D43="O",IF(AB43&lt;0,AB43,0),0)</f>
        <v>0</v>
      </c>
      <c r="AD43" s="210">
        <f t="shared" ref="AD43:AD52" si="34">IF(K43&lt;&gt;"",K43-E43,0)</f>
        <v>12.882638888891961</v>
      </c>
      <c r="AE43" s="210">
        <f t="shared" ref="AE43:AE52" si="35">IF(N43&gt;0,AD43,0)</f>
        <v>12.882638888891961</v>
      </c>
      <c r="AF43" s="210">
        <f t="shared" ref="AF43:AF52" si="36">IF(N43&lt;0,AD43,0)</f>
        <v>0</v>
      </c>
      <c r="AG43" s="210">
        <f t="shared" ref="AG43:AG52" si="37">IF(N43=0,AD43,0)</f>
        <v>0</v>
      </c>
    </row>
    <row r="44" spans="2:33" ht="15" customHeight="1" x14ac:dyDescent="0.3">
      <c r="B44" s="196" t="s">
        <v>19</v>
      </c>
      <c r="C44" s="197" t="s">
        <v>13</v>
      </c>
      <c r="D44" s="198" t="str">
        <f t="shared" si="19"/>
        <v>C</v>
      </c>
      <c r="E44" s="199">
        <v>43607.958333333336</v>
      </c>
      <c r="F44" s="200" t="s">
        <v>108</v>
      </c>
      <c r="G44" s="201">
        <v>61.253999999999998</v>
      </c>
      <c r="H44" s="201">
        <v>62.417000000000002</v>
      </c>
      <c r="I44" s="202">
        <f t="shared" si="20"/>
        <v>1.1630000000000038</v>
      </c>
      <c r="J44" s="201">
        <v>47.293999999999997</v>
      </c>
      <c r="K44" s="199">
        <v>43626.027777777781</v>
      </c>
      <c r="L44" s="201">
        <v>54.643999999999998</v>
      </c>
      <c r="M44" s="203">
        <f t="shared" si="21"/>
        <v>6.61</v>
      </c>
      <c r="N44" s="204">
        <f t="shared" si="22"/>
        <v>5.68</v>
      </c>
      <c r="O44" s="205">
        <f t="shared" si="23"/>
        <v>0</v>
      </c>
      <c r="P44" s="206">
        <f t="shared" si="24"/>
        <v>5.68</v>
      </c>
      <c r="Q44" s="206">
        <f t="shared" si="25"/>
        <v>0</v>
      </c>
      <c r="R44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44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111820</v>
      </c>
      <c r="T44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111820</v>
      </c>
      <c r="U44" s="208" t="str">
        <f ca="1">IF(Tabla336106734821[[#This Row],[Equity]]&lt;Tabla336106734821[[#This Row],[Equity Peak]],(Tabla336106734821[[#This Row],[Equity Peak]]-Tabla336106734821[[#This Row],[Equity]])/Tabla336106734821[[#This Row],[Equity Peak]],"")</f>
        <v/>
      </c>
      <c r="V44" s="209">
        <f t="shared" si="26"/>
        <v>0</v>
      </c>
      <c r="W44" s="209">
        <f t="shared" si="27"/>
        <v>0</v>
      </c>
      <c r="X44" s="209">
        <f t="shared" si="28"/>
        <v>5.68</v>
      </c>
      <c r="Y44" s="209">
        <f t="shared" si="29"/>
        <v>0</v>
      </c>
      <c r="Z44" s="209">
        <f t="shared" si="30"/>
        <v>0</v>
      </c>
      <c r="AA44" s="205">
        <f t="shared" si="31"/>
        <v>0</v>
      </c>
      <c r="AB44" s="209">
        <f t="shared" si="32"/>
        <v>0</v>
      </c>
      <c r="AC44" s="205">
        <f t="shared" si="33"/>
        <v>0</v>
      </c>
      <c r="AD44" s="210">
        <f t="shared" si="34"/>
        <v>18.069444444445253</v>
      </c>
      <c r="AE44" s="210">
        <f t="shared" si="35"/>
        <v>18.069444444445253</v>
      </c>
      <c r="AF44" s="210">
        <f t="shared" si="36"/>
        <v>0</v>
      </c>
      <c r="AG44" s="210">
        <f t="shared" si="37"/>
        <v>0</v>
      </c>
    </row>
    <row r="45" spans="2:33" ht="15" customHeight="1" x14ac:dyDescent="0.3">
      <c r="B45" s="196" t="s">
        <v>19</v>
      </c>
      <c r="C45" s="197" t="s">
        <v>15</v>
      </c>
      <c r="D45" s="198" t="str">
        <f t="shared" si="19"/>
        <v>C</v>
      </c>
      <c r="E45" s="199">
        <v>43601.791666666664</v>
      </c>
      <c r="F45" s="200" t="s">
        <v>108</v>
      </c>
      <c r="G45" s="201">
        <v>63.524999999999999</v>
      </c>
      <c r="H45" s="201">
        <v>62.371000000000002</v>
      </c>
      <c r="I45" s="202">
        <f t="shared" si="20"/>
        <v>1.1539999999999964</v>
      </c>
      <c r="J45" s="201">
        <v>77.37</v>
      </c>
      <c r="K45" s="199">
        <v>43602.870833333334</v>
      </c>
      <c r="L45" s="201">
        <v>62.829000000000001</v>
      </c>
      <c r="M45" s="203">
        <f t="shared" si="21"/>
        <v>-0.69599999999999995</v>
      </c>
      <c r="N45" s="204">
        <f t="shared" si="22"/>
        <v>-0.6</v>
      </c>
      <c r="O45" s="205">
        <f t="shared" si="23"/>
        <v>0</v>
      </c>
      <c r="P45" s="206">
        <f t="shared" si="24"/>
        <v>0</v>
      </c>
      <c r="Q45" s="206">
        <f t="shared" si="25"/>
        <v>-0.6</v>
      </c>
      <c r="R45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45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106140</v>
      </c>
      <c r="T45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107340</v>
      </c>
      <c r="U45" s="208">
        <f ca="1">IF(Tabla336106734821[[#This Row],[Equity]]&lt;Tabla336106734821[[#This Row],[Equity Peak]],(Tabla336106734821[[#This Row],[Equity Peak]]-Tabla336106734821[[#This Row],[Equity]])/Tabla336106734821[[#This Row],[Equity Peak]],"")</f>
        <v>1.1179429849077696E-2</v>
      </c>
      <c r="V45" s="209">
        <f t="shared" si="26"/>
        <v>0</v>
      </c>
      <c r="W45" s="209">
        <f t="shared" si="27"/>
        <v>0</v>
      </c>
      <c r="X45" s="209">
        <f t="shared" si="28"/>
        <v>-0.6</v>
      </c>
      <c r="Y45" s="209">
        <f t="shared" si="29"/>
        <v>0</v>
      </c>
      <c r="Z45" s="209">
        <f t="shared" si="30"/>
        <v>0</v>
      </c>
      <c r="AA45" s="205">
        <f t="shared" si="31"/>
        <v>0</v>
      </c>
      <c r="AB45" s="209">
        <f t="shared" si="32"/>
        <v>0</v>
      </c>
      <c r="AC45" s="205">
        <f t="shared" si="33"/>
        <v>0</v>
      </c>
      <c r="AD45" s="210">
        <f t="shared" si="34"/>
        <v>1.0791666666700621</v>
      </c>
      <c r="AE45" s="210">
        <f t="shared" si="35"/>
        <v>0</v>
      </c>
      <c r="AF45" s="210">
        <f t="shared" si="36"/>
        <v>1.0791666666700621</v>
      </c>
      <c r="AG45" s="210">
        <f t="shared" si="37"/>
        <v>0</v>
      </c>
    </row>
    <row r="46" spans="2:33" ht="15" customHeight="1" x14ac:dyDescent="0.3">
      <c r="B46" s="196" t="s">
        <v>19</v>
      </c>
      <c r="C46" s="197" t="s">
        <v>13</v>
      </c>
      <c r="D46" s="198" t="str">
        <f t="shared" si="19"/>
        <v>C</v>
      </c>
      <c r="E46" s="199">
        <v>43584.017361111109</v>
      </c>
      <c r="F46" s="200" t="s">
        <v>108</v>
      </c>
      <c r="G46" s="201">
        <v>62.857999999999997</v>
      </c>
      <c r="H46" s="201">
        <v>63.856999999999999</v>
      </c>
      <c r="I46" s="202">
        <f t="shared" si="20"/>
        <v>0.99900000000000233</v>
      </c>
      <c r="J46" s="201">
        <v>50.871000000000002</v>
      </c>
      <c r="K46" s="199">
        <v>43584.866666666669</v>
      </c>
      <c r="L46" s="201">
        <v>63.457000000000001</v>
      </c>
      <c r="M46" s="203">
        <f t="shared" si="21"/>
        <v>-0.59899999999999998</v>
      </c>
      <c r="N46" s="204">
        <f t="shared" si="22"/>
        <v>-0.6</v>
      </c>
      <c r="O46" s="205">
        <f t="shared" si="23"/>
        <v>0</v>
      </c>
      <c r="P46" s="206">
        <f t="shared" si="24"/>
        <v>0</v>
      </c>
      <c r="Q46" s="206">
        <f t="shared" si="25"/>
        <v>-0.6</v>
      </c>
      <c r="R46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46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106740</v>
      </c>
      <c r="T46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107340</v>
      </c>
      <c r="U46" s="208">
        <f ca="1">IF(Tabla336106734821[[#This Row],[Equity]]&lt;Tabla336106734821[[#This Row],[Equity Peak]],(Tabla336106734821[[#This Row],[Equity Peak]]-Tabla336106734821[[#This Row],[Equity]])/Tabla336106734821[[#This Row],[Equity Peak]],"")</f>
        <v>5.5897149245388482E-3</v>
      </c>
      <c r="V46" s="209">
        <f t="shared" si="26"/>
        <v>0</v>
      </c>
      <c r="W46" s="209">
        <f t="shared" si="27"/>
        <v>0</v>
      </c>
      <c r="X46" s="209">
        <f t="shared" si="28"/>
        <v>-0.6</v>
      </c>
      <c r="Y46" s="209">
        <f t="shared" si="29"/>
        <v>0</v>
      </c>
      <c r="Z46" s="209">
        <f t="shared" si="30"/>
        <v>0</v>
      </c>
      <c r="AA46" s="205">
        <f t="shared" si="31"/>
        <v>0</v>
      </c>
      <c r="AB46" s="209">
        <f t="shared" si="32"/>
        <v>0</v>
      </c>
      <c r="AC46" s="205">
        <f t="shared" si="33"/>
        <v>0</v>
      </c>
      <c r="AD46" s="210">
        <f t="shared" si="34"/>
        <v>0.84930555555911269</v>
      </c>
      <c r="AE46" s="210">
        <f t="shared" si="35"/>
        <v>0</v>
      </c>
      <c r="AF46" s="210">
        <f t="shared" si="36"/>
        <v>0.84930555555911269</v>
      </c>
      <c r="AG46" s="210">
        <f t="shared" si="37"/>
        <v>0</v>
      </c>
    </row>
    <row r="47" spans="2:33" ht="15" customHeight="1" x14ac:dyDescent="0.3">
      <c r="B47" s="196" t="s">
        <v>19</v>
      </c>
      <c r="C47" s="197" t="s">
        <v>15</v>
      </c>
      <c r="D47" s="198" t="str">
        <f t="shared" si="19"/>
        <v>C</v>
      </c>
      <c r="E47" s="199">
        <v>43535.458333333336</v>
      </c>
      <c r="F47" s="200" t="s">
        <v>108</v>
      </c>
      <c r="G47" s="201">
        <v>56.712000000000003</v>
      </c>
      <c r="H47" s="201">
        <v>55.408000000000001</v>
      </c>
      <c r="I47" s="202">
        <f t="shared" si="20"/>
        <v>1.304000000000002</v>
      </c>
      <c r="J47" s="201">
        <v>72.364999999999995</v>
      </c>
      <c r="K47" s="199">
        <v>43581.677777777775</v>
      </c>
      <c r="L47" s="201">
        <v>63.728000000000002</v>
      </c>
      <c r="M47" s="203">
        <f t="shared" si="21"/>
        <v>7.016</v>
      </c>
      <c r="N47" s="204">
        <f t="shared" si="22"/>
        <v>5.38</v>
      </c>
      <c r="O47" s="205">
        <f t="shared" si="23"/>
        <v>0</v>
      </c>
      <c r="P47" s="206">
        <f t="shared" si="24"/>
        <v>5.38</v>
      </c>
      <c r="Q47" s="206">
        <f t="shared" si="25"/>
        <v>0</v>
      </c>
      <c r="R47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47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107340</v>
      </c>
      <c r="T47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107340</v>
      </c>
      <c r="U47" s="208" t="str">
        <f ca="1">IF(Tabla336106734821[[#This Row],[Equity]]&lt;Tabla336106734821[[#This Row],[Equity Peak]],(Tabla336106734821[[#This Row],[Equity Peak]]-Tabla336106734821[[#This Row],[Equity]])/Tabla336106734821[[#This Row],[Equity Peak]],"")</f>
        <v/>
      </c>
      <c r="V47" s="209">
        <f t="shared" si="26"/>
        <v>0</v>
      </c>
      <c r="W47" s="209">
        <f t="shared" si="27"/>
        <v>0</v>
      </c>
      <c r="X47" s="209">
        <f t="shared" si="28"/>
        <v>5.38</v>
      </c>
      <c r="Y47" s="209">
        <f t="shared" si="29"/>
        <v>0</v>
      </c>
      <c r="Z47" s="209">
        <f t="shared" si="30"/>
        <v>0</v>
      </c>
      <c r="AA47" s="205">
        <f t="shared" si="31"/>
        <v>0</v>
      </c>
      <c r="AB47" s="209">
        <f t="shared" si="32"/>
        <v>0</v>
      </c>
      <c r="AC47" s="205">
        <f t="shared" si="33"/>
        <v>0</v>
      </c>
      <c r="AD47" s="210">
        <f t="shared" si="34"/>
        <v>46.219444444439432</v>
      </c>
      <c r="AE47" s="210">
        <f t="shared" si="35"/>
        <v>46.219444444439432</v>
      </c>
      <c r="AF47" s="210">
        <f t="shared" si="36"/>
        <v>0</v>
      </c>
      <c r="AG47" s="210">
        <f t="shared" si="37"/>
        <v>0</v>
      </c>
    </row>
    <row r="48" spans="2:33" ht="15" customHeight="1" x14ac:dyDescent="0.3">
      <c r="B48" s="196" t="s">
        <v>19</v>
      </c>
      <c r="C48" s="197" t="s">
        <v>13</v>
      </c>
      <c r="D48" s="198" t="str">
        <f t="shared" si="19"/>
        <v>C</v>
      </c>
      <c r="E48" s="199">
        <v>43532.791666666664</v>
      </c>
      <c r="F48" s="200" t="s">
        <v>108</v>
      </c>
      <c r="G48" s="201">
        <v>55.161999999999999</v>
      </c>
      <c r="H48" s="201">
        <v>56.475999999999999</v>
      </c>
      <c r="I48" s="202">
        <f t="shared" si="20"/>
        <v>1.3140000000000001</v>
      </c>
      <c r="J48" s="201">
        <v>39.389000000000003</v>
      </c>
      <c r="K48" s="199">
        <v>43532.842361111114</v>
      </c>
      <c r="L48" s="201">
        <v>55.948999999999998</v>
      </c>
      <c r="M48" s="203">
        <f t="shared" si="21"/>
        <v>-0.78700000000000003</v>
      </c>
      <c r="N48" s="204">
        <f t="shared" si="22"/>
        <v>-0.6</v>
      </c>
      <c r="O48" s="205">
        <f t="shared" si="23"/>
        <v>0</v>
      </c>
      <c r="P48" s="206">
        <f t="shared" si="24"/>
        <v>0</v>
      </c>
      <c r="Q48" s="206">
        <f t="shared" si="25"/>
        <v>-0.6</v>
      </c>
      <c r="R48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48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101960</v>
      </c>
      <c r="T48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102730</v>
      </c>
      <c r="U48" s="208">
        <f ca="1">IF(Tabla336106734821[[#This Row],[Equity]]&lt;Tabla336106734821[[#This Row],[Equity Peak]],(Tabla336106734821[[#This Row],[Equity Peak]]-Tabla336106734821[[#This Row],[Equity]])/Tabla336106734821[[#This Row],[Equity Peak]],"")</f>
        <v>7.4953762289496741E-3</v>
      </c>
      <c r="V48" s="209">
        <f t="shared" si="26"/>
        <v>0</v>
      </c>
      <c r="W48" s="209">
        <f t="shared" si="27"/>
        <v>0</v>
      </c>
      <c r="X48" s="209">
        <f t="shared" si="28"/>
        <v>-0.6</v>
      </c>
      <c r="Y48" s="209">
        <f t="shared" si="29"/>
        <v>0</v>
      </c>
      <c r="Z48" s="209">
        <f t="shared" si="30"/>
        <v>0</v>
      </c>
      <c r="AA48" s="205">
        <f t="shared" si="31"/>
        <v>0</v>
      </c>
      <c r="AB48" s="209">
        <f t="shared" si="32"/>
        <v>0</v>
      </c>
      <c r="AC48" s="205">
        <f t="shared" si="33"/>
        <v>0</v>
      </c>
      <c r="AD48" s="210">
        <f t="shared" si="34"/>
        <v>5.0694444449618459E-2</v>
      </c>
      <c r="AE48" s="210">
        <f t="shared" si="35"/>
        <v>0</v>
      </c>
      <c r="AF48" s="210">
        <f t="shared" si="36"/>
        <v>5.0694444449618459E-2</v>
      </c>
      <c r="AG48" s="210">
        <f t="shared" si="37"/>
        <v>0</v>
      </c>
    </row>
    <row r="49" spans="2:33" ht="15" customHeight="1" x14ac:dyDescent="0.3">
      <c r="B49" s="196" t="s">
        <v>19</v>
      </c>
      <c r="C49" s="197" t="s">
        <v>15</v>
      </c>
      <c r="D49" s="198" t="str">
        <f t="shared" si="19"/>
        <v>C</v>
      </c>
      <c r="E49" s="199">
        <v>43511.791666666664</v>
      </c>
      <c r="F49" s="200" t="s">
        <v>108</v>
      </c>
      <c r="G49" s="201">
        <v>56.027000000000001</v>
      </c>
      <c r="H49" s="201">
        <v>54.375</v>
      </c>
      <c r="I49" s="202">
        <f t="shared" si="20"/>
        <v>1.652000000000001</v>
      </c>
      <c r="J49" s="201">
        <v>75.853999999999999</v>
      </c>
      <c r="K49" s="199">
        <v>43521.679861111108</v>
      </c>
      <c r="L49" s="201">
        <v>56.009</v>
      </c>
      <c r="M49" s="203">
        <f t="shared" si="21"/>
        <v>-1.7999999999999999E-2</v>
      </c>
      <c r="N49" s="204">
        <f t="shared" si="22"/>
        <v>-0.01</v>
      </c>
      <c r="O49" s="205">
        <f t="shared" si="23"/>
        <v>0</v>
      </c>
      <c r="P49" s="206">
        <f t="shared" si="24"/>
        <v>0</v>
      </c>
      <c r="Q49" s="206">
        <f t="shared" si="25"/>
        <v>-0.01</v>
      </c>
      <c r="R49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49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102560</v>
      </c>
      <c r="T49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102730</v>
      </c>
      <c r="U49" s="208">
        <f ca="1">IF(Tabla336106734821[[#This Row],[Equity]]&lt;Tabla336106734821[[#This Row],[Equity Peak]],(Tabla336106734821[[#This Row],[Equity Peak]]-Tabla336106734821[[#This Row],[Equity]])/Tabla336106734821[[#This Row],[Equity Peak]],"")</f>
        <v>1.6548233232746034E-3</v>
      </c>
      <c r="V49" s="209">
        <f t="shared" si="26"/>
        <v>0</v>
      </c>
      <c r="W49" s="209">
        <f t="shared" si="27"/>
        <v>0</v>
      </c>
      <c r="X49" s="209">
        <f t="shared" si="28"/>
        <v>-0.01</v>
      </c>
      <c r="Y49" s="209">
        <f t="shared" si="29"/>
        <v>0</v>
      </c>
      <c r="Z49" s="209">
        <f t="shared" si="30"/>
        <v>0</v>
      </c>
      <c r="AA49" s="205">
        <f t="shared" si="31"/>
        <v>0</v>
      </c>
      <c r="AB49" s="209">
        <f t="shared" si="32"/>
        <v>0</v>
      </c>
      <c r="AC49" s="205">
        <f t="shared" si="33"/>
        <v>0</v>
      </c>
      <c r="AD49" s="210">
        <f t="shared" si="34"/>
        <v>9.8881944444437977</v>
      </c>
      <c r="AE49" s="210">
        <f t="shared" si="35"/>
        <v>0</v>
      </c>
      <c r="AF49" s="210">
        <f t="shared" si="36"/>
        <v>9.8881944444437977</v>
      </c>
      <c r="AG49" s="210">
        <f t="shared" si="37"/>
        <v>0</v>
      </c>
    </row>
    <row r="50" spans="2:33" ht="15" customHeight="1" x14ac:dyDescent="0.3">
      <c r="B50" s="196" t="s">
        <v>19</v>
      </c>
      <c r="C50" s="197" t="s">
        <v>15</v>
      </c>
      <c r="D50" s="198" t="str">
        <f t="shared" si="19"/>
        <v>C</v>
      </c>
      <c r="E50" s="199">
        <v>43509.458333333336</v>
      </c>
      <c r="F50" s="200" t="s">
        <v>108</v>
      </c>
      <c r="G50" s="201">
        <v>53.777000000000001</v>
      </c>
      <c r="H50" s="201">
        <v>52.104999999999997</v>
      </c>
      <c r="I50" s="202">
        <f t="shared" si="20"/>
        <v>1.6720000000000041</v>
      </c>
      <c r="J50" s="201">
        <v>73.837000000000003</v>
      </c>
      <c r="K50" s="199">
        <v>43510.731249999997</v>
      </c>
      <c r="L50" s="201">
        <v>53.668999999999997</v>
      </c>
      <c r="M50" s="203">
        <f t="shared" si="21"/>
        <v>-0.108</v>
      </c>
      <c r="N50" s="204">
        <f t="shared" si="22"/>
        <v>-0.06</v>
      </c>
      <c r="O50" s="205">
        <f t="shared" si="23"/>
        <v>0</v>
      </c>
      <c r="P50" s="206">
        <f t="shared" si="24"/>
        <v>0</v>
      </c>
      <c r="Q50" s="206">
        <f t="shared" si="25"/>
        <v>-0.06</v>
      </c>
      <c r="R50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50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102570</v>
      </c>
      <c r="T50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102730</v>
      </c>
      <c r="U50" s="208">
        <f ca="1">IF(Tabla336106734821[[#This Row],[Equity]]&lt;Tabla336106734821[[#This Row],[Equity Peak]],(Tabla336106734821[[#This Row],[Equity Peak]]-Tabla336106734821[[#This Row],[Equity]])/Tabla336106734821[[#This Row],[Equity Peak]],"")</f>
        <v>1.5574807748466855E-3</v>
      </c>
      <c r="V50" s="209">
        <f t="shared" si="26"/>
        <v>0</v>
      </c>
      <c r="W50" s="209">
        <f t="shared" si="27"/>
        <v>0</v>
      </c>
      <c r="X50" s="209">
        <f t="shared" si="28"/>
        <v>-0.06</v>
      </c>
      <c r="Y50" s="209">
        <f t="shared" si="29"/>
        <v>0</v>
      </c>
      <c r="Z50" s="209">
        <f t="shared" si="30"/>
        <v>0</v>
      </c>
      <c r="AA50" s="205">
        <f t="shared" si="31"/>
        <v>0</v>
      </c>
      <c r="AB50" s="209">
        <f t="shared" si="32"/>
        <v>0</v>
      </c>
      <c r="AC50" s="205">
        <f t="shared" si="33"/>
        <v>0</v>
      </c>
      <c r="AD50" s="210">
        <f t="shared" si="34"/>
        <v>1.272916666661331</v>
      </c>
      <c r="AE50" s="210">
        <f t="shared" si="35"/>
        <v>0</v>
      </c>
      <c r="AF50" s="210">
        <f t="shared" si="36"/>
        <v>1.272916666661331</v>
      </c>
      <c r="AG50" s="210">
        <f t="shared" si="37"/>
        <v>0</v>
      </c>
    </row>
    <row r="51" spans="2:33" ht="15" customHeight="1" x14ac:dyDescent="0.3">
      <c r="B51" s="196" t="s">
        <v>19</v>
      </c>
      <c r="C51" s="197" t="s">
        <v>13</v>
      </c>
      <c r="D51" s="198" t="str">
        <f t="shared" si="19"/>
        <v>C</v>
      </c>
      <c r="E51" s="199">
        <v>43504.017361111109</v>
      </c>
      <c r="F51" s="200" t="s">
        <v>108</v>
      </c>
      <c r="G51" s="201">
        <v>52.8</v>
      </c>
      <c r="H51" s="201">
        <v>54.518999999999998</v>
      </c>
      <c r="I51" s="202">
        <f t="shared" si="20"/>
        <v>1.7190000000000012</v>
      </c>
      <c r="J51" s="201">
        <v>32.168999999999997</v>
      </c>
      <c r="K51" s="199">
        <v>43508.200694444444</v>
      </c>
      <c r="L51" s="201">
        <v>52.972000000000001</v>
      </c>
      <c r="M51" s="203">
        <f t="shared" si="21"/>
        <v>-0.17199999999999999</v>
      </c>
      <c r="N51" s="204">
        <f t="shared" si="22"/>
        <v>-0.1</v>
      </c>
      <c r="O51" s="205">
        <f t="shared" si="23"/>
        <v>0</v>
      </c>
      <c r="P51" s="206">
        <f t="shared" si="24"/>
        <v>0</v>
      </c>
      <c r="Q51" s="206">
        <f t="shared" si="25"/>
        <v>-0.1</v>
      </c>
      <c r="R51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51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102630</v>
      </c>
      <c r="T51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102730</v>
      </c>
      <c r="U51" s="208">
        <f ca="1">IF(Tabla336106734821[[#This Row],[Equity]]&lt;Tabla336106734821[[#This Row],[Equity Peak]],(Tabla336106734821[[#This Row],[Equity Peak]]-Tabla336106734821[[#This Row],[Equity]])/Tabla336106734821[[#This Row],[Equity Peak]],"")</f>
        <v>9.7342548427917838E-4</v>
      </c>
      <c r="V51" s="209">
        <f t="shared" si="26"/>
        <v>0</v>
      </c>
      <c r="W51" s="209">
        <f t="shared" si="27"/>
        <v>0</v>
      </c>
      <c r="X51" s="209">
        <f t="shared" si="28"/>
        <v>-0.1</v>
      </c>
      <c r="Y51" s="209">
        <f t="shared" si="29"/>
        <v>0</v>
      </c>
      <c r="Z51" s="209">
        <f t="shared" si="30"/>
        <v>0</v>
      </c>
      <c r="AA51" s="205">
        <f t="shared" si="31"/>
        <v>0</v>
      </c>
      <c r="AB51" s="209">
        <f t="shared" si="32"/>
        <v>0</v>
      </c>
      <c r="AC51" s="205">
        <f t="shared" si="33"/>
        <v>0</v>
      </c>
      <c r="AD51" s="210">
        <f t="shared" si="34"/>
        <v>4.1833333333343035</v>
      </c>
      <c r="AE51" s="210">
        <f t="shared" si="35"/>
        <v>0</v>
      </c>
      <c r="AF51" s="210">
        <f t="shared" si="36"/>
        <v>4.1833333333343035</v>
      </c>
      <c r="AG51" s="210">
        <f t="shared" si="37"/>
        <v>0</v>
      </c>
    </row>
    <row r="52" spans="2:33" ht="15" customHeight="1" x14ac:dyDescent="0.3">
      <c r="B52" s="196" t="s">
        <v>19</v>
      </c>
      <c r="C52" s="197" t="s">
        <v>15</v>
      </c>
      <c r="D52" s="198" t="str">
        <f t="shared" si="19"/>
        <v>C</v>
      </c>
      <c r="E52" s="199">
        <v>43469.625</v>
      </c>
      <c r="F52" s="200" t="s">
        <v>108</v>
      </c>
      <c r="G52" s="201">
        <v>48.131999999999998</v>
      </c>
      <c r="H52" s="201">
        <v>46.424999999999997</v>
      </c>
      <c r="I52" s="202">
        <f t="shared" si="20"/>
        <v>1.7070000000000007</v>
      </c>
      <c r="J52" s="201">
        <v>68.614999999999995</v>
      </c>
      <c r="K52" s="199">
        <v>43504.017361111109</v>
      </c>
      <c r="L52" s="201">
        <v>52.8</v>
      </c>
      <c r="M52" s="203">
        <f t="shared" si="21"/>
        <v>4.6680000000000001</v>
      </c>
      <c r="N52" s="204">
        <f t="shared" si="22"/>
        <v>2.73</v>
      </c>
      <c r="O52" s="205">
        <f t="shared" si="23"/>
        <v>0</v>
      </c>
      <c r="P52" s="206">
        <f t="shared" si="24"/>
        <v>2.73</v>
      </c>
      <c r="Q52" s="206">
        <f t="shared" si="25"/>
        <v>0</v>
      </c>
      <c r="R52" s="206" t="str">
        <f ca="1">IF(AND(OFFSET(Tabla336106734821[[#This Row],[Equity]],1,0)="",Tabla336106734821[[#This Row],[No. of Rs]]&lt;0),"Yes",IF(AND(OFFSET(Tabla336106734821[[#This Row],[Initial Losing Trade]],1,0)="Yes",Tabla336106734821[[#This Row],[No. of Rs]]&lt;0),"Yes","No"))</f>
        <v>No</v>
      </c>
      <c r="S52" s="207">
        <f ca="1">IF(OFFSET(Tabla336106734821[[#This Row],[Equity]],1,0)="",IF(Tabla336106734821[[#This Row],[No. of Rs]]="",$F$11,$F$11+($F$11*Tabla336106734821[[#This Row],[No. of Rs]]/100)),IF(Tabla336106734821[[#This Row],[No. of Rs]]="",OFFSET(Tabla336106734821[[#This Row],[Equity]],1,0),OFFSET(Tabla336106734821[[#This Row],[Equity]],1,0)+($F$11*Tabla336106734821[[#This Row],[No. of Rs]]/100)))</f>
        <v>102730</v>
      </c>
      <c r="T52" s="207">
        <f ca="1">IF(OFFSET(Tabla336106734821[[#This Row],[Equity Peak]],1,0)="",IF(Tabla336106734821[[#This Row],[Initial Losing Trade]]="Yes",$F$11,Tabla336106734821[[#This Row],[Equity]]),IF(OFFSET(Tabla336106734821[[#This Row],[Equity Peak]],1,0)&gt;Tabla336106734821[[#This Row],[Equity]],OFFSET(Tabla336106734821[[#This Row],[Equity Peak]],1,0),Tabla336106734821[[#This Row],[Equity]]))</f>
        <v>102730</v>
      </c>
      <c r="U52" s="208" t="str">
        <f ca="1">IF(Tabla336106734821[[#This Row],[Equity]]&lt;Tabla336106734821[[#This Row],[Equity Peak]],(Tabla336106734821[[#This Row],[Equity Peak]]-Tabla336106734821[[#This Row],[Equity]])/Tabla336106734821[[#This Row],[Equity Peak]],"")</f>
        <v/>
      </c>
      <c r="V52" s="209">
        <f t="shared" si="26"/>
        <v>0</v>
      </c>
      <c r="W52" s="209">
        <f t="shared" si="27"/>
        <v>0</v>
      </c>
      <c r="X52" s="209">
        <f t="shared" si="28"/>
        <v>2.73</v>
      </c>
      <c r="Y52" s="209">
        <f t="shared" si="29"/>
        <v>0</v>
      </c>
      <c r="Z52" s="209">
        <f t="shared" si="30"/>
        <v>0</v>
      </c>
      <c r="AA52" s="205">
        <f t="shared" si="31"/>
        <v>0</v>
      </c>
      <c r="AB52" s="209">
        <f t="shared" si="32"/>
        <v>0</v>
      </c>
      <c r="AC52" s="205">
        <f t="shared" si="33"/>
        <v>0</v>
      </c>
      <c r="AD52" s="210">
        <f t="shared" si="34"/>
        <v>34.392361111109494</v>
      </c>
      <c r="AE52" s="210">
        <f t="shared" si="35"/>
        <v>34.392361111109494</v>
      </c>
      <c r="AF52" s="210">
        <f t="shared" si="36"/>
        <v>0</v>
      </c>
      <c r="AG52" s="210">
        <f t="shared" si="37"/>
        <v>0</v>
      </c>
    </row>
  </sheetData>
  <sheetProtection algorithmName="SHA-512" hashValue="3rxpfpdwH10wWNFhLsCU9H9lbHCEZpS44Ak6b+E0t1ReAY0Gksy1nhUex1na0qW1nnH3eB8KxoJm2R1lvXAI/Q==" saltValue="FK70ciE3QUpU1PjV5PqbYQ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377" priority="3" operator="equal">
      <formula>"OK"</formula>
    </cfRule>
    <cfRule type="cellIs" dxfId="376" priority="4" operator="equal">
      <formula>"warning"</formula>
    </cfRule>
  </conditionalFormatting>
  <conditionalFormatting sqref="F13">
    <cfRule type="cellIs" dxfId="375" priority="1" operator="equal">
      <formula>"OK"</formula>
    </cfRule>
    <cfRule type="cellIs" dxfId="374" priority="2" operator="equal">
      <formula>"Error!!"</formula>
    </cfRule>
  </conditionalFormatting>
  <conditionalFormatting sqref="E15:H15 K15:L15">
    <cfRule type="expression" dxfId="373" priority="5">
      <formula>+$D15=#REF!</formula>
    </cfRule>
    <cfRule type="expression" dxfId="372" priority="6">
      <formula>+$D15=#REF!</formula>
    </cfRule>
  </conditionalFormatting>
  <conditionalFormatting sqref="D15 K16:L16 D16:H52 J17:L52">
    <cfRule type="expression" dxfId="371" priority="7">
      <formula>+$D15=$AG$8</formula>
    </cfRule>
    <cfRule type="expression" dxfId="370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5:B16" xr:uid="{DC588E5A-9E58-4DDA-A955-F359AC1E6509}">
      <formula1>$AE$4:$AE$6</formula1>
    </dataValidation>
    <dataValidation type="list" allowBlank="1" showInputMessage="1" showErrorMessage="1" promptTitle="Trade Direction" prompt="Select from List" sqref="C15:C16" xr:uid="{26C24FD5-3744-4D68-A8BE-2979FC1DC613}">
      <formula1>$AG$4:$AG$5</formula1>
    </dataValidation>
    <dataValidation type="list" allowBlank="1" showInputMessage="1" showErrorMessage="1" promptTitle="Instrument Type" prompt="Select Type from List_x000a_" sqref="B17:B52" xr:uid="{70C0A403-42A9-4B98-ACFF-C93457D845C7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81A4D-A6AC-4821-9B7F-235FC877808E}">
  <sheetPr codeName="Hoja28">
    <pageSetUpPr fitToPage="1"/>
  </sheetPr>
  <dimension ref="A1:AX35"/>
  <sheetViews>
    <sheetView showGridLines="0" showZeros="0" tabSelected="1" zoomScale="115" zoomScaleNormal="115" zoomScalePageLayoutView="99" workbookViewId="0">
      <pane ySplit="16" topLeftCell="A17" activePane="bottomLeft" state="frozen"/>
      <selection activeCell="E2" sqref="E2:N5"/>
      <selection pane="bottomLeft" activeCell="E2" sqref="E2:N5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123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COUNTA(Tabla336106734822[Inst])</f>
        <v>19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6.4900000000000011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0</v>
      </c>
      <c r="W6" s="18"/>
      <c r="X6" s="17">
        <f>+X13</f>
        <v>0</v>
      </c>
      <c r="Y6" s="19"/>
      <c r="Z6" s="17">
        <f>+Z13</f>
        <v>6.4900000000000011</v>
      </c>
      <c r="AA6" s="19"/>
      <c r="AB6" s="17">
        <f>+AB13</f>
        <v>0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COUNTIF(Tabla336106734822[No. of Rs],"&gt;0")</f>
        <v>7</v>
      </c>
      <c r="G7" s="24">
        <f>IFERROR((F7/$F$6),"")</f>
        <v>0.36842105263157893</v>
      </c>
      <c r="H7" s="78">
        <f>IFERROR((+P13/F7),"")</f>
        <v>2.4257142857142857</v>
      </c>
      <c r="I7" s="227">
        <f>H7/H9</f>
        <v>2.7748876481002314</v>
      </c>
      <c r="J7" s="227">
        <f>AVERAGE(Tabla336106734822[No. of Rs])</f>
        <v>0.34157894736842109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0</v>
      </c>
      <c r="W7" s="27"/>
      <c r="X7" s="26">
        <f>IFERROR((X6/N6),"")</f>
        <v>0</v>
      </c>
      <c r="Y7" s="28"/>
      <c r="Z7" s="26">
        <f>IFERROR((Z6/N6),"")</f>
        <v>1</v>
      </c>
      <c r="AA7" s="28"/>
      <c r="AB7" s="26">
        <f>IFERROR((AB6/N6),"")</f>
        <v>0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COUNTIF(Tabla336106734822[No. of Rs],"=0")</f>
        <v>0</v>
      </c>
      <c r="G8" s="24">
        <f>IFERROR((F8/$F$6),"")</f>
        <v>0</v>
      </c>
      <c r="H8" s="78"/>
      <c r="I8" s="228"/>
      <c r="J8" s="228"/>
      <c r="K8" s="163"/>
      <c r="L8" s="212" t="s">
        <v>112</v>
      </c>
      <c r="M8" s="213"/>
      <c r="N8" s="195">
        <f ca="1">OFFSET(Tabla336106734822[[#Headers],[Equity]],1,0)</f>
        <v>106490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COUNTIF(Tabla336106734822[No. of Rs],"&lt;0")</f>
        <v>12</v>
      </c>
      <c r="G9" s="32">
        <f>IFERROR((F9/$F$6),"")</f>
        <v>0.63157894736842102</v>
      </c>
      <c r="H9" s="79">
        <f>IFERROR((-Q13/F9),"")</f>
        <v>0.87416666666666665</v>
      </c>
      <c r="I9" s="229"/>
      <c r="J9" s="229"/>
      <c r="K9" s="149"/>
      <c r="L9" s="230" t="s">
        <v>106</v>
      </c>
      <c r="M9" s="231"/>
      <c r="N9" s="125">
        <f ca="1">MAX(Tabla336106734822[Drawdown])</f>
        <v>3.4542157751586582E-2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>
        <f ca="1">OFFSET(Tabla336106734822[[#Headers],[Drawdown]],1,0)</f>
        <v>3.4542157751586582E-2</v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COUNTIF(Tabla336106734822[Heat],"&lt;0")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IF(COUNTIFS(Tabla336106734822[O/C],"O")&lt;1,"None",COUNTIFS(Tabla336106734822[O/C],"O"))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SUM(Tabla336106734822[No. of Rs])</f>
        <v>6.4900000000000011</v>
      </c>
      <c r="O13" s="42">
        <f>SUM(Tabla336106734822[Heat])</f>
        <v>0</v>
      </c>
      <c r="P13" s="43">
        <f>SUM(Tabla336106734822[[ TR WIN]])</f>
        <v>16.98</v>
      </c>
      <c r="Q13" s="43">
        <f>SUM(Tabla336106734822[[ TR LOSS]])</f>
        <v>-10.49</v>
      </c>
      <c r="R13" s="114"/>
      <c r="S13" s="115"/>
      <c r="T13" s="115"/>
      <c r="U13" s="121"/>
      <c r="V13" s="44">
        <f>SUM(Tabla336106734822[Currency])</f>
        <v>0</v>
      </c>
      <c r="W13" s="44">
        <f>SUM(Tabla336106734822[Heat3])</f>
        <v>0</v>
      </c>
      <c r="X13" s="44">
        <f>SUM(Tabla336106734822[Commodities])</f>
        <v>0</v>
      </c>
      <c r="Y13" s="44">
        <f>SUM(Tabla336106734822[Heat4])</f>
        <v>0</v>
      </c>
      <c r="Z13" s="44">
        <f>SUM(Tabla336106734822[Index])</f>
        <v>6.4900000000000011</v>
      </c>
      <c r="AA13" s="44">
        <f>SUM(Tabla336106734822[Heat5])</f>
        <v>0</v>
      </c>
      <c r="AB13" s="44">
        <f>SUM(Tabla336106734822[Cryptocurrency])</f>
        <v>0</v>
      </c>
      <c r="AC13" s="44">
        <f>SUM(Tabla336106734822[Heat6])</f>
        <v>0</v>
      </c>
      <c r="AD13" s="75">
        <f>AVERAGEIF(Tabla336106734822[Length of 
Trade],"&lt;&gt;0")</f>
        <v>5.4598684210531676</v>
      </c>
      <c r="AE13" s="75">
        <f>AVERAGEIF(Tabla336106734822[Win],"&lt;&gt;0")</f>
        <v>12.277678571429403</v>
      </c>
      <c r="AF13" s="75">
        <f>AVERAGEIF(Tabla336106734822[Loss],"&lt;&gt;0")</f>
        <v>1.4828125000003638</v>
      </c>
      <c r="AG13" s="76" t="e">
        <f>AVERAGEIF(Tabla336106734822[Breakeven],"&lt;&gt;0")</f>
        <v>#DIV/0!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2:33" ht="15" customHeight="1" x14ac:dyDescent="0.3">
      <c r="B17" s="196" t="s">
        <v>5</v>
      </c>
      <c r="C17" s="197" t="s">
        <v>15</v>
      </c>
      <c r="D17" s="198" t="str">
        <f t="shared" ref="D17:D25" si="0">IF(E17&lt;&gt;"",IF(K17&lt;&gt;"","C","O"),"")</f>
        <v>C</v>
      </c>
      <c r="E17" s="199">
        <v>43815.201388888891</v>
      </c>
      <c r="F17" s="200" t="s">
        <v>90</v>
      </c>
      <c r="G17" s="201">
        <v>6844.4</v>
      </c>
      <c r="H17" s="201">
        <v>6798.4</v>
      </c>
      <c r="I17" s="202">
        <f t="shared" ref="I17:I25" si="1">ABS(G17-H17)</f>
        <v>46</v>
      </c>
      <c r="J17" s="201">
        <v>7457.69</v>
      </c>
      <c r="K17" s="199">
        <v>43818.449305555558</v>
      </c>
      <c r="L17" s="201">
        <v>6813.27</v>
      </c>
      <c r="M17" s="203">
        <f t="shared" ref="M17:M25" si="2">ROUND(IF(C17="L",(L17-G17),(G17-L17)),4)</f>
        <v>-31.13</v>
      </c>
      <c r="N17" s="204">
        <f t="shared" ref="N17:N25" si="3">IFERROR(ROUND((M17/I17),2),"")</f>
        <v>-0.68</v>
      </c>
      <c r="O17" s="205">
        <f t="shared" ref="O17:O25" si="4">IF(D17="O",IF(N17&lt;0,N17,0),0)</f>
        <v>0</v>
      </c>
      <c r="P17" s="206">
        <f t="shared" ref="P17:P25" si="5">IF(N17&gt;= 0,N17,0)</f>
        <v>0</v>
      </c>
      <c r="Q17" s="206">
        <f t="shared" ref="Q17:Q25" si="6">IF(N17&lt;0,N17,0)</f>
        <v>-0.68</v>
      </c>
      <c r="R17" s="206" t="str">
        <f ca="1">IF(AND(OFFSET(Tabla336106734822[[#This Row],[Equity]],1,0)="",Tabla336106734822[[#This Row],[No. of Rs]]&lt;0),"Yes",IF(AND(OFFSET(Tabla336106734822[[#This Row],[Initial Losing Trade]],1,0)="Yes",Tabla336106734822[[#This Row],[No. of Rs]]&lt;0),"Yes","No"))</f>
        <v>No</v>
      </c>
      <c r="S17" s="207">
        <f ca="1">IF(OFFSET(Tabla336106734822[[#This Row],[Equity]],1,0)="",IF(Tabla336106734822[[#This Row],[No. of Rs]]="",$F$11,$F$11+($F$11*Tabla336106734822[[#This Row],[No. of Rs]]/100)),IF(Tabla336106734822[[#This Row],[No. of Rs]]="",OFFSET(Tabla336106734822[[#This Row],[Equity]],1,0),OFFSET(Tabla336106734822[[#This Row],[Equity]],1,0)+($F$11*Tabla336106734822[[#This Row],[No. of Rs]]/100)))</f>
        <v>106490</v>
      </c>
      <c r="T17" s="207">
        <f ca="1">IF(OFFSET(Tabla336106734822[[#This Row],[Equity Peak]],1,0)="",IF(Tabla336106734822[[#This Row],[Initial Losing Trade]]="Yes",$F$11,Tabla336106734822[[#This Row],[Equity]]),IF(OFFSET(Tabla336106734822[[#This Row],[Equity Peak]],1,0)&gt;Tabla336106734822[[#This Row],[Equity]],OFFSET(Tabla336106734822[[#This Row],[Equity Peak]],1,0),Tabla336106734822[[#This Row],[Equity]]))</f>
        <v>110300</v>
      </c>
      <c r="U17" s="208">
        <f ca="1">IF(Tabla336106734822[[#This Row],[Equity]]&lt;Tabla336106734822[[#This Row],[Equity Peak]],(Tabla336106734822[[#This Row],[Equity Peak]]-Tabla336106734822[[#This Row],[Equity]])/Tabla336106734822[[#This Row],[Equity Peak]],"")</f>
        <v>3.4542157751586582E-2</v>
      </c>
      <c r="V17" s="209">
        <f t="shared" ref="V17:V25" si="7">IF(B17="FX",N17,0)</f>
        <v>0</v>
      </c>
      <c r="W17" s="209">
        <f t="shared" ref="W17:W25" si="8">IF(D17="O",IF(V17&lt;0,V17,0),0)</f>
        <v>0</v>
      </c>
      <c r="X17" s="209">
        <f t="shared" ref="X17:X25" si="9">IF(B17="COM",N17,0)</f>
        <v>0</v>
      </c>
      <c r="Y17" s="209">
        <f t="shared" ref="Y17:Y25" si="10">IF(D17="O",IF(X17&lt;0,X17,0),0)</f>
        <v>0</v>
      </c>
      <c r="Z17" s="209">
        <f t="shared" ref="Z17:Z25" si="11">IF(B17="IND",N17,0)</f>
        <v>-0.68</v>
      </c>
      <c r="AA17" s="205">
        <f t="shared" ref="AA17:AA25" si="12">IF(D17="O",IF(Z17&lt;0,Z17,0),0)</f>
        <v>0</v>
      </c>
      <c r="AB17" s="209">
        <f t="shared" ref="AB17:AB25" si="13">IF(B17="CRYPTO",N17,0)</f>
        <v>0</v>
      </c>
      <c r="AC17" s="205">
        <f t="shared" ref="AC17:AC25" si="14">IF(D17="O",IF(AB17&lt;0,AB17,0),0)</f>
        <v>0</v>
      </c>
      <c r="AD17" s="210">
        <f t="shared" ref="AD17:AD25" si="15">IF(K17&lt;&gt;"",K17-E17,0)</f>
        <v>3.2479166666671517</v>
      </c>
      <c r="AE17" s="210">
        <f t="shared" ref="AE17:AE25" si="16">IF(N17&gt;0,AD17,0)</f>
        <v>0</v>
      </c>
      <c r="AF17" s="210">
        <f t="shared" ref="AF17:AF25" si="17">IF(N17&lt;0,AD17,0)</f>
        <v>3.2479166666671517</v>
      </c>
      <c r="AG17" s="210">
        <f t="shared" ref="AG17:AG25" si="18">IF(N17=0,AD17,0)</f>
        <v>0</v>
      </c>
    </row>
    <row r="18" spans="2:33" ht="15" customHeight="1" x14ac:dyDescent="0.3">
      <c r="B18" s="196" t="s">
        <v>5</v>
      </c>
      <c r="C18" s="197" t="s">
        <v>13</v>
      </c>
      <c r="D18" s="198" t="str">
        <f t="shared" si="0"/>
        <v>C</v>
      </c>
      <c r="E18" s="199">
        <v>43803.340277777781</v>
      </c>
      <c r="F18" s="200" t="s">
        <v>90</v>
      </c>
      <c r="G18" s="201">
        <v>6609.9</v>
      </c>
      <c r="H18" s="201">
        <v>6672.8</v>
      </c>
      <c r="I18" s="202">
        <f t="shared" si="1"/>
        <v>62.900000000000546</v>
      </c>
      <c r="J18" s="201">
        <v>5771.19</v>
      </c>
      <c r="K18" s="199">
        <v>43803.948611111111</v>
      </c>
      <c r="L18" s="201">
        <v>6672.8</v>
      </c>
      <c r="M18" s="203">
        <f t="shared" si="2"/>
        <v>-62.9</v>
      </c>
      <c r="N18" s="204">
        <f t="shared" si="3"/>
        <v>-1</v>
      </c>
      <c r="O18" s="205">
        <f t="shared" si="4"/>
        <v>0</v>
      </c>
      <c r="P18" s="206">
        <f t="shared" si="5"/>
        <v>0</v>
      </c>
      <c r="Q18" s="206">
        <f t="shared" si="6"/>
        <v>-1</v>
      </c>
      <c r="R18" s="206" t="str">
        <f ca="1">IF(AND(OFFSET(Tabla336106734822[[#This Row],[Equity]],1,0)="",Tabla336106734822[[#This Row],[No. of Rs]]&lt;0),"Yes",IF(AND(OFFSET(Tabla336106734822[[#This Row],[Initial Losing Trade]],1,0)="Yes",Tabla336106734822[[#This Row],[No. of Rs]]&lt;0),"Yes","No"))</f>
        <v>No</v>
      </c>
      <c r="S18" s="207">
        <f ca="1">IF(OFFSET(Tabla336106734822[[#This Row],[Equity]],1,0)="",IF(Tabla336106734822[[#This Row],[No. of Rs]]="",$F$11,$F$11+($F$11*Tabla336106734822[[#This Row],[No. of Rs]]/100)),IF(Tabla336106734822[[#This Row],[No. of Rs]]="",OFFSET(Tabla336106734822[[#This Row],[Equity]],1,0),OFFSET(Tabla336106734822[[#This Row],[Equity]],1,0)+($F$11*Tabla336106734822[[#This Row],[No. of Rs]]/100)))</f>
        <v>107170</v>
      </c>
      <c r="T18" s="207">
        <f ca="1">IF(OFFSET(Tabla336106734822[[#This Row],[Equity Peak]],1,0)="",IF(Tabla336106734822[[#This Row],[Initial Losing Trade]]="Yes",$F$11,Tabla336106734822[[#This Row],[Equity]]),IF(OFFSET(Tabla336106734822[[#This Row],[Equity Peak]],1,0)&gt;Tabla336106734822[[#This Row],[Equity]],OFFSET(Tabla336106734822[[#This Row],[Equity Peak]],1,0),Tabla336106734822[[#This Row],[Equity]]))</f>
        <v>110300</v>
      </c>
      <c r="U18" s="208">
        <f ca="1">IF(Tabla336106734822[[#This Row],[Equity]]&lt;Tabla336106734822[[#This Row],[Equity Peak]],(Tabla336106734822[[#This Row],[Equity Peak]]-Tabla336106734822[[#This Row],[Equity]])/Tabla336106734822[[#This Row],[Equity Peak]],"")</f>
        <v>2.8377153218495012E-2</v>
      </c>
      <c r="V18" s="209">
        <f t="shared" si="7"/>
        <v>0</v>
      </c>
      <c r="W18" s="209">
        <f t="shared" si="8"/>
        <v>0</v>
      </c>
      <c r="X18" s="209">
        <f t="shared" si="9"/>
        <v>0</v>
      </c>
      <c r="Y18" s="209">
        <f t="shared" si="10"/>
        <v>0</v>
      </c>
      <c r="Z18" s="209">
        <f t="shared" si="11"/>
        <v>-1</v>
      </c>
      <c r="AA18" s="205">
        <f t="shared" si="12"/>
        <v>0</v>
      </c>
      <c r="AB18" s="209">
        <f t="shared" si="13"/>
        <v>0</v>
      </c>
      <c r="AC18" s="205">
        <f t="shared" si="14"/>
        <v>0</v>
      </c>
      <c r="AD18" s="210">
        <f t="shared" si="15"/>
        <v>0.60833333332993789</v>
      </c>
      <c r="AE18" s="210">
        <f t="shared" si="16"/>
        <v>0</v>
      </c>
      <c r="AF18" s="210">
        <f t="shared" si="17"/>
        <v>0.60833333332993789</v>
      </c>
      <c r="AG18" s="210">
        <f t="shared" si="18"/>
        <v>0</v>
      </c>
    </row>
    <row r="19" spans="2:33" ht="15" customHeight="1" x14ac:dyDescent="0.3">
      <c r="B19" s="196" t="s">
        <v>5</v>
      </c>
      <c r="C19" s="197" t="s">
        <v>15</v>
      </c>
      <c r="D19" s="198" t="str">
        <f t="shared" si="0"/>
        <v>C</v>
      </c>
      <c r="E19" s="199">
        <v>43796.340277777781</v>
      </c>
      <c r="F19" s="200" t="s">
        <v>90</v>
      </c>
      <c r="G19" s="201">
        <v>6849.3</v>
      </c>
      <c r="H19" s="201">
        <v>6813.8</v>
      </c>
      <c r="I19" s="202">
        <f t="shared" si="1"/>
        <v>35.5</v>
      </c>
      <c r="J19" s="201">
        <v>7322.59</v>
      </c>
      <c r="K19" s="199">
        <v>43801.588888888888</v>
      </c>
      <c r="L19" s="201">
        <v>6833.59</v>
      </c>
      <c r="M19" s="203">
        <f t="shared" si="2"/>
        <v>-15.71</v>
      </c>
      <c r="N19" s="204">
        <f t="shared" si="3"/>
        <v>-0.44</v>
      </c>
      <c r="O19" s="205">
        <f t="shared" si="4"/>
        <v>0</v>
      </c>
      <c r="P19" s="206">
        <f t="shared" si="5"/>
        <v>0</v>
      </c>
      <c r="Q19" s="206">
        <f t="shared" si="6"/>
        <v>-0.44</v>
      </c>
      <c r="R19" s="206" t="str">
        <f ca="1">IF(AND(OFFSET(Tabla336106734822[[#This Row],[Equity]],1,0)="",Tabla336106734822[[#This Row],[No. of Rs]]&lt;0),"Yes",IF(AND(OFFSET(Tabla336106734822[[#This Row],[Initial Losing Trade]],1,0)="Yes",Tabla336106734822[[#This Row],[No. of Rs]]&lt;0),"Yes","No"))</f>
        <v>No</v>
      </c>
      <c r="S19" s="207">
        <f ca="1">IF(OFFSET(Tabla336106734822[[#This Row],[Equity]],1,0)="",IF(Tabla336106734822[[#This Row],[No. of Rs]]="",$F$11,$F$11+($F$11*Tabla336106734822[[#This Row],[No. of Rs]]/100)),IF(Tabla336106734822[[#This Row],[No. of Rs]]="",OFFSET(Tabla336106734822[[#This Row],[Equity]],1,0),OFFSET(Tabla336106734822[[#This Row],[Equity]],1,0)+($F$11*Tabla336106734822[[#This Row],[No. of Rs]]/100)))</f>
        <v>108170</v>
      </c>
      <c r="T19" s="207">
        <f ca="1">IF(OFFSET(Tabla336106734822[[#This Row],[Equity Peak]],1,0)="",IF(Tabla336106734822[[#This Row],[Initial Losing Trade]]="Yes",$F$11,Tabla336106734822[[#This Row],[Equity]]),IF(OFFSET(Tabla336106734822[[#This Row],[Equity Peak]],1,0)&gt;Tabla336106734822[[#This Row],[Equity]],OFFSET(Tabla336106734822[[#This Row],[Equity Peak]],1,0),Tabla336106734822[[#This Row],[Equity]]))</f>
        <v>110300</v>
      </c>
      <c r="U19" s="208">
        <f ca="1">IF(Tabla336106734822[[#This Row],[Equity]]&lt;Tabla336106734822[[#This Row],[Equity Peak]],(Tabla336106734822[[#This Row],[Equity Peak]]-Tabla336106734822[[#This Row],[Equity]])/Tabla336106734822[[#This Row],[Equity Peak]],"")</f>
        <v>1.9310970081595647E-2</v>
      </c>
      <c r="V19" s="209">
        <f t="shared" si="7"/>
        <v>0</v>
      </c>
      <c r="W19" s="209">
        <f t="shared" si="8"/>
        <v>0</v>
      </c>
      <c r="X19" s="209">
        <f t="shared" si="9"/>
        <v>0</v>
      </c>
      <c r="Y19" s="209">
        <f t="shared" si="10"/>
        <v>0</v>
      </c>
      <c r="Z19" s="209">
        <f t="shared" si="11"/>
        <v>-0.44</v>
      </c>
      <c r="AA19" s="205">
        <f t="shared" si="12"/>
        <v>0</v>
      </c>
      <c r="AB19" s="209">
        <f t="shared" si="13"/>
        <v>0</v>
      </c>
      <c r="AC19" s="205">
        <f t="shared" si="14"/>
        <v>0</v>
      </c>
      <c r="AD19" s="210">
        <f t="shared" si="15"/>
        <v>5.2486111111065838</v>
      </c>
      <c r="AE19" s="210">
        <f t="shared" si="16"/>
        <v>0</v>
      </c>
      <c r="AF19" s="210">
        <f t="shared" si="17"/>
        <v>5.2486111111065838</v>
      </c>
      <c r="AG19" s="210">
        <f t="shared" si="18"/>
        <v>0</v>
      </c>
    </row>
    <row r="20" spans="2:33" ht="15" customHeight="1" x14ac:dyDescent="0.3">
      <c r="B20" s="196" t="s">
        <v>5</v>
      </c>
      <c r="C20" s="197" t="s">
        <v>15</v>
      </c>
      <c r="D20" s="198" t="str">
        <f t="shared" si="0"/>
        <v>C</v>
      </c>
      <c r="E20" s="199">
        <v>43753.881944444445</v>
      </c>
      <c r="F20" s="200" t="s">
        <v>90</v>
      </c>
      <c r="G20" s="201">
        <v>6717.3</v>
      </c>
      <c r="H20" s="201">
        <v>6675.33</v>
      </c>
      <c r="I20" s="202">
        <f t="shared" si="1"/>
        <v>41.970000000000255</v>
      </c>
      <c r="J20" s="201">
        <v>7276.87</v>
      </c>
      <c r="K20" s="199">
        <v>43755.32708333333</v>
      </c>
      <c r="L20" s="201">
        <v>6688.24</v>
      </c>
      <c r="M20" s="203">
        <f t="shared" si="2"/>
        <v>-29.06</v>
      </c>
      <c r="N20" s="204">
        <f t="shared" si="3"/>
        <v>-0.69</v>
      </c>
      <c r="O20" s="205">
        <f t="shared" si="4"/>
        <v>0</v>
      </c>
      <c r="P20" s="206">
        <f t="shared" si="5"/>
        <v>0</v>
      </c>
      <c r="Q20" s="206">
        <f t="shared" si="6"/>
        <v>-0.69</v>
      </c>
      <c r="R20" s="206" t="str">
        <f ca="1">IF(AND(OFFSET(Tabla336106734822[[#This Row],[Equity]],1,0)="",Tabla336106734822[[#This Row],[No. of Rs]]&lt;0),"Yes",IF(AND(OFFSET(Tabla336106734822[[#This Row],[Initial Losing Trade]],1,0)="Yes",Tabla336106734822[[#This Row],[No. of Rs]]&lt;0),"Yes","No"))</f>
        <v>No</v>
      </c>
      <c r="S20" s="207">
        <f ca="1">IF(OFFSET(Tabla336106734822[[#This Row],[Equity]],1,0)="",IF(Tabla336106734822[[#This Row],[No. of Rs]]="",$F$11,$F$11+($F$11*Tabla336106734822[[#This Row],[No. of Rs]]/100)),IF(Tabla336106734822[[#This Row],[No. of Rs]]="",OFFSET(Tabla336106734822[[#This Row],[Equity]],1,0),OFFSET(Tabla336106734822[[#This Row],[Equity]],1,0)+($F$11*Tabla336106734822[[#This Row],[No. of Rs]]/100)))</f>
        <v>108610</v>
      </c>
      <c r="T20" s="207">
        <f ca="1">IF(OFFSET(Tabla336106734822[[#This Row],[Equity Peak]],1,0)="",IF(Tabla336106734822[[#This Row],[Initial Losing Trade]]="Yes",$F$11,Tabla336106734822[[#This Row],[Equity]]),IF(OFFSET(Tabla336106734822[[#This Row],[Equity Peak]],1,0)&gt;Tabla336106734822[[#This Row],[Equity]],OFFSET(Tabla336106734822[[#This Row],[Equity Peak]],1,0),Tabla336106734822[[#This Row],[Equity]]))</f>
        <v>110300</v>
      </c>
      <c r="U20" s="208">
        <f ca="1">IF(Tabla336106734822[[#This Row],[Equity]]&lt;Tabla336106734822[[#This Row],[Equity Peak]],(Tabla336106734822[[#This Row],[Equity Peak]]-Tabla336106734822[[#This Row],[Equity]])/Tabla336106734822[[#This Row],[Equity Peak]],"")</f>
        <v>1.5321849501359928E-2</v>
      </c>
      <c r="V20" s="209">
        <f t="shared" si="7"/>
        <v>0</v>
      </c>
      <c r="W20" s="209">
        <f t="shared" si="8"/>
        <v>0</v>
      </c>
      <c r="X20" s="209">
        <f t="shared" si="9"/>
        <v>0</v>
      </c>
      <c r="Y20" s="209">
        <f t="shared" si="10"/>
        <v>0</v>
      </c>
      <c r="Z20" s="209">
        <f t="shared" si="11"/>
        <v>-0.69</v>
      </c>
      <c r="AA20" s="205">
        <f t="shared" si="12"/>
        <v>0</v>
      </c>
      <c r="AB20" s="209">
        <f t="shared" si="13"/>
        <v>0</v>
      </c>
      <c r="AC20" s="205">
        <f t="shared" si="14"/>
        <v>0</v>
      </c>
      <c r="AD20" s="210">
        <f t="shared" si="15"/>
        <v>1.445138888884685</v>
      </c>
      <c r="AE20" s="210">
        <f t="shared" si="16"/>
        <v>0</v>
      </c>
      <c r="AF20" s="210">
        <f t="shared" si="17"/>
        <v>1.445138888884685</v>
      </c>
      <c r="AG20" s="210">
        <f t="shared" si="18"/>
        <v>0</v>
      </c>
    </row>
    <row r="21" spans="2:33" ht="15" customHeight="1" x14ac:dyDescent="0.3">
      <c r="B21" s="196" t="s">
        <v>5</v>
      </c>
      <c r="C21" s="197" t="s">
        <v>13</v>
      </c>
      <c r="D21" s="198" t="str">
        <f t="shared" si="0"/>
        <v>C</v>
      </c>
      <c r="E21" s="199">
        <v>43741.118055555555</v>
      </c>
      <c r="F21" s="200" t="s">
        <v>90</v>
      </c>
      <c r="G21" s="201">
        <v>6500.4</v>
      </c>
      <c r="H21" s="201">
        <v>6554.81</v>
      </c>
      <c r="I21" s="202">
        <f t="shared" si="1"/>
        <v>54.410000000000764</v>
      </c>
      <c r="J21" s="201">
        <v>5774.97</v>
      </c>
      <c r="K21" s="199">
        <v>43742.97152777778</v>
      </c>
      <c r="L21" s="201">
        <v>6554.81</v>
      </c>
      <c r="M21" s="203">
        <f t="shared" si="2"/>
        <v>-54.41</v>
      </c>
      <c r="N21" s="204">
        <f t="shared" si="3"/>
        <v>-1</v>
      </c>
      <c r="O21" s="205">
        <f t="shared" si="4"/>
        <v>0</v>
      </c>
      <c r="P21" s="206">
        <f t="shared" si="5"/>
        <v>0</v>
      </c>
      <c r="Q21" s="206">
        <f t="shared" si="6"/>
        <v>-1</v>
      </c>
      <c r="R21" s="206" t="str">
        <f ca="1">IF(AND(OFFSET(Tabla336106734822[[#This Row],[Equity]],1,0)="",Tabla336106734822[[#This Row],[No. of Rs]]&lt;0),"Yes",IF(AND(OFFSET(Tabla336106734822[[#This Row],[Initial Losing Trade]],1,0)="Yes",Tabla336106734822[[#This Row],[No. of Rs]]&lt;0),"Yes","No"))</f>
        <v>No</v>
      </c>
      <c r="S21" s="207">
        <f ca="1">IF(OFFSET(Tabla336106734822[[#This Row],[Equity]],1,0)="",IF(Tabla336106734822[[#This Row],[No. of Rs]]="",$F$11,$F$11+($F$11*Tabla336106734822[[#This Row],[No. of Rs]]/100)),IF(Tabla336106734822[[#This Row],[No. of Rs]]="",OFFSET(Tabla336106734822[[#This Row],[Equity]],1,0),OFFSET(Tabla336106734822[[#This Row],[Equity]],1,0)+($F$11*Tabla336106734822[[#This Row],[No. of Rs]]/100)))</f>
        <v>109300</v>
      </c>
      <c r="T21" s="207">
        <f ca="1">IF(OFFSET(Tabla336106734822[[#This Row],[Equity Peak]],1,0)="",IF(Tabla336106734822[[#This Row],[Initial Losing Trade]]="Yes",$F$11,Tabla336106734822[[#This Row],[Equity]]),IF(OFFSET(Tabla336106734822[[#This Row],[Equity Peak]],1,0)&gt;Tabla336106734822[[#This Row],[Equity]],OFFSET(Tabla336106734822[[#This Row],[Equity Peak]],1,0),Tabla336106734822[[#This Row],[Equity]]))</f>
        <v>110300</v>
      </c>
      <c r="U21" s="208">
        <f ca="1">IF(Tabla336106734822[[#This Row],[Equity]]&lt;Tabla336106734822[[#This Row],[Equity Peak]],(Tabla336106734822[[#This Row],[Equity Peak]]-Tabla336106734822[[#This Row],[Equity]])/Tabla336106734822[[#This Row],[Equity Peak]],"")</f>
        <v>9.0661831368993653E-3</v>
      </c>
      <c r="V21" s="209">
        <f t="shared" si="7"/>
        <v>0</v>
      </c>
      <c r="W21" s="209">
        <f t="shared" si="8"/>
        <v>0</v>
      </c>
      <c r="X21" s="209">
        <f t="shared" si="9"/>
        <v>0</v>
      </c>
      <c r="Y21" s="209">
        <f t="shared" si="10"/>
        <v>0</v>
      </c>
      <c r="Z21" s="209">
        <f t="shared" si="11"/>
        <v>-1</v>
      </c>
      <c r="AA21" s="205">
        <f t="shared" si="12"/>
        <v>0</v>
      </c>
      <c r="AB21" s="209">
        <f t="shared" si="13"/>
        <v>0</v>
      </c>
      <c r="AC21" s="205">
        <f t="shared" si="14"/>
        <v>0</v>
      </c>
      <c r="AD21" s="210">
        <f t="shared" si="15"/>
        <v>1.8534722222248092</v>
      </c>
      <c r="AE21" s="210">
        <f t="shared" si="16"/>
        <v>0</v>
      </c>
      <c r="AF21" s="210">
        <f t="shared" si="17"/>
        <v>1.8534722222248092</v>
      </c>
      <c r="AG21" s="210">
        <f t="shared" si="18"/>
        <v>0</v>
      </c>
    </row>
    <row r="22" spans="2:33" ht="15" customHeight="1" x14ac:dyDescent="0.3">
      <c r="B22" s="196" t="s">
        <v>5</v>
      </c>
      <c r="C22" s="197" t="s">
        <v>15</v>
      </c>
      <c r="D22" s="198" t="str">
        <f t="shared" si="0"/>
        <v>C</v>
      </c>
      <c r="E22" s="199">
        <v>43712.756944444445</v>
      </c>
      <c r="F22" s="200" t="s">
        <v>90</v>
      </c>
      <c r="G22" s="201">
        <v>6563.9</v>
      </c>
      <c r="H22" s="201">
        <v>6525.04</v>
      </c>
      <c r="I22" s="202">
        <f t="shared" si="1"/>
        <v>38.859999999999673</v>
      </c>
      <c r="J22" s="201">
        <v>7082.04</v>
      </c>
      <c r="K22" s="199">
        <v>43732.842361111114</v>
      </c>
      <c r="L22" s="201">
        <v>6673.9</v>
      </c>
      <c r="M22" s="203">
        <f t="shared" si="2"/>
        <v>110</v>
      </c>
      <c r="N22" s="204">
        <f t="shared" si="3"/>
        <v>2.83</v>
      </c>
      <c r="O22" s="205">
        <f t="shared" si="4"/>
        <v>0</v>
      </c>
      <c r="P22" s="206">
        <f t="shared" si="5"/>
        <v>2.83</v>
      </c>
      <c r="Q22" s="206">
        <f t="shared" si="6"/>
        <v>0</v>
      </c>
      <c r="R22" s="206" t="str">
        <f ca="1">IF(AND(OFFSET(Tabla336106734822[[#This Row],[Equity]],1,0)="",Tabla336106734822[[#This Row],[No. of Rs]]&lt;0),"Yes",IF(AND(OFFSET(Tabla336106734822[[#This Row],[Initial Losing Trade]],1,0)="Yes",Tabla336106734822[[#This Row],[No. of Rs]]&lt;0),"Yes","No"))</f>
        <v>No</v>
      </c>
      <c r="S22" s="207">
        <f ca="1">IF(OFFSET(Tabla336106734822[[#This Row],[Equity]],1,0)="",IF(Tabla336106734822[[#This Row],[No. of Rs]]="",$F$11,$F$11+($F$11*Tabla336106734822[[#This Row],[No. of Rs]]/100)),IF(Tabla336106734822[[#This Row],[No. of Rs]]="",OFFSET(Tabla336106734822[[#This Row],[Equity]],1,0),OFFSET(Tabla336106734822[[#This Row],[Equity]],1,0)+($F$11*Tabla336106734822[[#This Row],[No. of Rs]]/100)))</f>
        <v>110300</v>
      </c>
      <c r="T22" s="207">
        <f ca="1">IF(OFFSET(Tabla336106734822[[#This Row],[Equity Peak]],1,0)="",IF(Tabla336106734822[[#This Row],[Initial Losing Trade]]="Yes",$F$11,Tabla336106734822[[#This Row],[Equity]]),IF(OFFSET(Tabla336106734822[[#This Row],[Equity Peak]],1,0)&gt;Tabla336106734822[[#This Row],[Equity]],OFFSET(Tabla336106734822[[#This Row],[Equity Peak]],1,0),Tabla336106734822[[#This Row],[Equity]]))</f>
        <v>110300</v>
      </c>
      <c r="U22" s="208" t="str">
        <f ca="1">IF(Tabla336106734822[[#This Row],[Equity]]&lt;Tabla336106734822[[#This Row],[Equity Peak]],(Tabla336106734822[[#This Row],[Equity Peak]]-Tabla336106734822[[#This Row],[Equity]])/Tabla336106734822[[#This Row],[Equity Peak]],"")</f>
        <v/>
      </c>
      <c r="V22" s="209">
        <f t="shared" si="7"/>
        <v>0</v>
      </c>
      <c r="W22" s="209">
        <f t="shared" si="8"/>
        <v>0</v>
      </c>
      <c r="X22" s="209">
        <f t="shared" si="9"/>
        <v>0</v>
      </c>
      <c r="Y22" s="209">
        <f t="shared" si="10"/>
        <v>0</v>
      </c>
      <c r="Z22" s="209">
        <f t="shared" si="11"/>
        <v>2.83</v>
      </c>
      <c r="AA22" s="205">
        <f t="shared" si="12"/>
        <v>0</v>
      </c>
      <c r="AB22" s="209">
        <f t="shared" si="13"/>
        <v>0</v>
      </c>
      <c r="AC22" s="205">
        <f t="shared" si="14"/>
        <v>0</v>
      </c>
      <c r="AD22" s="210">
        <f t="shared" si="15"/>
        <v>20.085416666668607</v>
      </c>
      <c r="AE22" s="210">
        <f t="shared" si="16"/>
        <v>20.085416666668607</v>
      </c>
      <c r="AF22" s="210">
        <f t="shared" si="17"/>
        <v>0</v>
      </c>
      <c r="AG22" s="210">
        <f t="shared" si="18"/>
        <v>0</v>
      </c>
    </row>
    <row r="23" spans="2:33" ht="15" customHeight="1" x14ac:dyDescent="0.3">
      <c r="B23" s="196" t="s">
        <v>5</v>
      </c>
      <c r="C23" s="197" t="s">
        <v>13</v>
      </c>
      <c r="D23" s="198" t="str">
        <f t="shared" si="0"/>
        <v>C</v>
      </c>
      <c r="E23" s="199">
        <v>43711.923611111109</v>
      </c>
      <c r="F23" s="200" t="s">
        <v>90</v>
      </c>
      <c r="G23" s="201">
        <v>6532.8</v>
      </c>
      <c r="H23" s="201">
        <v>6574.3</v>
      </c>
      <c r="I23" s="202">
        <f t="shared" si="1"/>
        <v>41.5</v>
      </c>
      <c r="J23" s="201">
        <v>5979.51</v>
      </c>
      <c r="K23" s="199">
        <v>43712.459722222222</v>
      </c>
      <c r="L23" s="201">
        <v>6574.3</v>
      </c>
      <c r="M23" s="203">
        <f t="shared" si="2"/>
        <v>-41.5</v>
      </c>
      <c r="N23" s="204">
        <f t="shared" si="3"/>
        <v>-1</v>
      </c>
      <c r="O23" s="205">
        <f t="shared" si="4"/>
        <v>0</v>
      </c>
      <c r="P23" s="206">
        <f t="shared" si="5"/>
        <v>0</v>
      </c>
      <c r="Q23" s="206">
        <f t="shared" si="6"/>
        <v>-1</v>
      </c>
      <c r="R23" s="206" t="str">
        <f ca="1">IF(AND(OFFSET(Tabla336106734822[[#This Row],[Equity]],1,0)="",Tabla336106734822[[#This Row],[No. of Rs]]&lt;0),"Yes",IF(AND(OFFSET(Tabla336106734822[[#This Row],[Initial Losing Trade]],1,0)="Yes",Tabla336106734822[[#This Row],[No. of Rs]]&lt;0),"Yes","No"))</f>
        <v>No</v>
      </c>
      <c r="S23" s="207">
        <f ca="1">IF(OFFSET(Tabla336106734822[[#This Row],[Equity]],1,0)="",IF(Tabla336106734822[[#This Row],[No. of Rs]]="",$F$11,$F$11+($F$11*Tabla336106734822[[#This Row],[No. of Rs]]/100)),IF(Tabla336106734822[[#This Row],[No. of Rs]]="",OFFSET(Tabla336106734822[[#This Row],[Equity]],1,0),OFFSET(Tabla336106734822[[#This Row],[Equity]],1,0)+($F$11*Tabla336106734822[[#This Row],[No. of Rs]]/100)))</f>
        <v>107470</v>
      </c>
      <c r="T23" s="207">
        <f ca="1">IF(OFFSET(Tabla336106734822[[#This Row],[Equity Peak]],1,0)="",IF(Tabla336106734822[[#This Row],[Initial Losing Trade]]="Yes",$F$11,Tabla336106734822[[#This Row],[Equity]]),IF(OFFSET(Tabla336106734822[[#This Row],[Equity Peak]],1,0)&gt;Tabla336106734822[[#This Row],[Equity]],OFFSET(Tabla336106734822[[#This Row],[Equity Peak]],1,0),Tabla336106734822[[#This Row],[Equity]]))</f>
        <v>110290</v>
      </c>
      <c r="U23" s="208">
        <f ca="1">IF(Tabla336106734822[[#This Row],[Equity]]&lt;Tabla336106734822[[#This Row],[Equity Peak]],(Tabla336106734822[[#This Row],[Equity Peak]]-Tabla336106734822[[#This Row],[Equity]])/Tabla336106734822[[#This Row],[Equity Peak]],"")</f>
        <v>2.5568954574304106E-2</v>
      </c>
      <c r="V23" s="209">
        <f t="shared" si="7"/>
        <v>0</v>
      </c>
      <c r="W23" s="209">
        <f t="shared" si="8"/>
        <v>0</v>
      </c>
      <c r="X23" s="209">
        <f t="shared" si="9"/>
        <v>0</v>
      </c>
      <c r="Y23" s="209">
        <f t="shared" si="10"/>
        <v>0</v>
      </c>
      <c r="Z23" s="209">
        <f t="shared" si="11"/>
        <v>-1</v>
      </c>
      <c r="AA23" s="205">
        <f t="shared" si="12"/>
        <v>0</v>
      </c>
      <c r="AB23" s="209">
        <f t="shared" si="13"/>
        <v>0</v>
      </c>
      <c r="AC23" s="205">
        <f t="shared" si="14"/>
        <v>0</v>
      </c>
      <c r="AD23" s="210">
        <f t="shared" si="15"/>
        <v>0.53611111111240461</v>
      </c>
      <c r="AE23" s="210">
        <f t="shared" si="16"/>
        <v>0</v>
      </c>
      <c r="AF23" s="210">
        <f t="shared" si="17"/>
        <v>0.53611111111240461</v>
      </c>
      <c r="AG23" s="210">
        <f t="shared" si="18"/>
        <v>0</v>
      </c>
    </row>
    <row r="24" spans="2:33" ht="15" customHeight="1" x14ac:dyDescent="0.3">
      <c r="B24" s="196" t="s">
        <v>5</v>
      </c>
      <c r="C24" s="197" t="s">
        <v>15</v>
      </c>
      <c r="D24" s="198" t="str">
        <f t="shared" si="0"/>
        <v>C</v>
      </c>
      <c r="E24" s="199">
        <v>43711.284722222219</v>
      </c>
      <c r="F24" s="200" t="s">
        <v>90</v>
      </c>
      <c r="G24" s="201">
        <v>6589.1</v>
      </c>
      <c r="H24" s="201">
        <v>6549.9</v>
      </c>
      <c r="I24" s="202">
        <f t="shared" si="1"/>
        <v>39.200000000000728</v>
      </c>
      <c r="J24" s="201">
        <v>7111.81</v>
      </c>
      <c r="K24" s="199">
        <v>43711.46875</v>
      </c>
      <c r="L24" s="201">
        <v>6549.9</v>
      </c>
      <c r="M24" s="203">
        <f t="shared" si="2"/>
        <v>-39.200000000000003</v>
      </c>
      <c r="N24" s="204">
        <f t="shared" si="3"/>
        <v>-1</v>
      </c>
      <c r="O24" s="205">
        <f t="shared" si="4"/>
        <v>0</v>
      </c>
      <c r="P24" s="206">
        <f t="shared" si="5"/>
        <v>0</v>
      </c>
      <c r="Q24" s="206">
        <f t="shared" si="6"/>
        <v>-1</v>
      </c>
      <c r="R24" s="206" t="str">
        <f ca="1">IF(AND(OFFSET(Tabla336106734822[[#This Row],[Equity]],1,0)="",Tabla336106734822[[#This Row],[No. of Rs]]&lt;0),"Yes",IF(AND(OFFSET(Tabla336106734822[[#This Row],[Initial Losing Trade]],1,0)="Yes",Tabla336106734822[[#This Row],[No. of Rs]]&lt;0),"Yes","No"))</f>
        <v>No</v>
      </c>
      <c r="S24" s="207">
        <f ca="1">IF(OFFSET(Tabla336106734822[[#This Row],[Equity]],1,0)="",IF(Tabla336106734822[[#This Row],[No. of Rs]]="",$F$11,$F$11+($F$11*Tabla336106734822[[#This Row],[No. of Rs]]/100)),IF(Tabla336106734822[[#This Row],[No. of Rs]]="",OFFSET(Tabla336106734822[[#This Row],[Equity]],1,0),OFFSET(Tabla336106734822[[#This Row],[Equity]],1,0)+($F$11*Tabla336106734822[[#This Row],[No. of Rs]]/100)))</f>
        <v>108470</v>
      </c>
      <c r="T24" s="207">
        <f ca="1">IF(OFFSET(Tabla336106734822[[#This Row],[Equity Peak]],1,0)="",IF(Tabla336106734822[[#This Row],[Initial Losing Trade]]="Yes",$F$11,Tabla336106734822[[#This Row],[Equity]]),IF(OFFSET(Tabla336106734822[[#This Row],[Equity Peak]],1,0)&gt;Tabla336106734822[[#This Row],[Equity]],OFFSET(Tabla336106734822[[#This Row],[Equity Peak]],1,0),Tabla336106734822[[#This Row],[Equity]]))</f>
        <v>110290</v>
      </c>
      <c r="U24" s="208">
        <f ca="1">IF(Tabla336106734822[[#This Row],[Equity]]&lt;Tabla336106734822[[#This Row],[Equity Peak]],(Tabla336106734822[[#This Row],[Equity Peak]]-Tabla336106734822[[#This Row],[Equity]])/Tabla336106734822[[#This Row],[Equity Peak]],"")</f>
        <v>1.650194940611116E-2</v>
      </c>
      <c r="V24" s="209">
        <f t="shared" si="7"/>
        <v>0</v>
      </c>
      <c r="W24" s="209">
        <f t="shared" si="8"/>
        <v>0</v>
      </c>
      <c r="X24" s="209">
        <f t="shared" si="9"/>
        <v>0</v>
      </c>
      <c r="Y24" s="209">
        <f t="shared" si="10"/>
        <v>0</v>
      </c>
      <c r="Z24" s="209">
        <f t="shared" si="11"/>
        <v>-1</v>
      </c>
      <c r="AA24" s="205">
        <f t="shared" si="12"/>
        <v>0</v>
      </c>
      <c r="AB24" s="209">
        <f t="shared" si="13"/>
        <v>0</v>
      </c>
      <c r="AC24" s="205">
        <f t="shared" si="14"/>
        <v>0</v>
      </c>
      <c r="AD24" s="210">
        <f t="shared" si="15"/>
        <v>0.18402777778101154</v>
      </c>
      <c r="AE24" s="210">
        <f t="shared" si="16"/>
        <v>0</v>
      </c>
      <c r="AF24" s="210">
        <f t="shared" si="17"/>
        <v>0.18402777778101154</v>
      </c>
      <c r="AG24" s="210">
        <f t="shared" si="18"/>
        <v>0</v>
      </c>
    </row>
    <row r="25" spans="2:33" ht="15" customHeight="1" x14ac:dyDescent="0.3">
      <c r="B25" s="196" t="s">
        <v>5</v>
      </c>
      <c r="C25" s="197" t="s">
        <v>13</v>
      </c>
      <c r="D25" s="198" t="str">
        <f t="shared" si="0"/>
        <v>C</v>
      </c>
      <c r="E25" s="199">
        <v>43683.284722222219</v>
      </c>
      <c r="F25" s="200" t="s">
        <v>90</v>
      </c>
      <c r="G25" s="201">
        <v>6495.3</v>
      </c>
      <c r="H25" s="201">
        <v>6563.6</v>
      </c>
      <c r="I25" s="202">
        <f t="shared" si="1"/>
        <v>68.300000000000182</v>
      </c>
      <c r="J25" s="201">
        <v>5584.59</v>
      </c>
      <c r="K25" s="199">
        <v>43684.53402777778</v>
      </c>
      <c r="L25" s="201">
        <v>6551.17</v>
      </c>
      <c r="M25" s="203">
        <f t="shared" si="2"/>
        <v>-55.87</v>
      </c>
      <c r="N25" s="204">
        <f t="shared" si="3"/>
        <v>-0.82</v>
      </c>
      <c r="O25" s="205">
        <f t="shared" si="4"/>
        <v>0</v>
      </c>
      <c r="P25" s="206">
        <f t="shared" si="5"/>
        <v>0</v>
      </c>
      <c r="Q25" s="206">
        <f t="shared" si="6"/>
        <v>-0.82</v>
      </c>
      <c r="R25" s="206" t="str">
        <f ca="1">IF(AND(OFFSET(Tabla336106734822[[#This Row],[Equity]],1,0)="",Tabla336106734822[[#This Row],[No. of Rs]]&lt;0),"Yes",IF(AND(OFFSET(Tabla336106734822[[#This Row],[Initial Losing Trade]],1,0)="Yes",Tabla336106734822[[#This Row],[No. of Rs]]&lt;0),"Yes","No"))</f>
        <v>No</v>
      </c>
      <c r="S25" s="207">
        <f ca="1">IF(OFFSET(Tabla336106734822[[#This Row],[Equity]],1,0)="",IF(Tabla336106734822[[#This Row],[No. of Rs]]="",$F$11,$F$11+($F$11*Tabla336106734822[[#This Row],[No. of Rs]]/100)),IF(Tabla336106734822[[#This Row],[No. of Rs]]="",OFFSET(Tabla336106734822[[#This Row],[Equity]],1,0),OFFSET(Tabla336106734822[[#This Row],[Equity]],1,0)+($F$11*Tabla336106734822[[#This Row],[No. of Rs]]/100)))</f>
        <v>109470</v>
      </c>
      <c r="T25" s="207">
        <f ca="1">IF(OFFSET(Tabla336106734822[[#This Row],[Equity Peak]],1,0)="",IF(Tabla336106734822[[#This Row],[Initial Losing Trade]]="Yes",$F$11,Tabla336106734822[[#This Row],[Equity]]),IF(OFFSET(Tabla336106734822[[#This Row],[Equity Peak]],1,0)&gt;Tabla336106734822[[#This Row],[Equity]],OFFSET(Tabla336106734822[[#This Row],[Equity Peak]],1,0),Tabla336106734822[[#This Row],[Equity]]))</f>
        <v>110290</v>
      </c>
      <c r="U25" s="208">
        <f ca="1">IF(Tabla336106734822[[#This Row],[Equity]]&lt;Tabla336106734822[[#This Row],[Equity Peak]],(Tabla336106734822[[#This Row],[Equity Peak]]-Tabla336106734822[[#This Row],[Equity]])/Tabla336106734822[[#This Row],[Equity Peak]],"")</f>
        <v>7.4349442379182153E-3</v>
      </c>
      <c r="V25" s="209">
        <f t="shared" si="7"/>
        <v>0</v>
      </c>
      <c r="W25" s="209">
        <f t="shared" si="8"/>
        <v>0</v>
      </c>
      <c r="X25" s="209">
        <f t="shared" si="9"/>
        <v>0</v>
      </c>
      <c r="Y25" s="209">
        <f t="shared" si="10"/>
        <v>0</v>
      </c>
      <c r="Z25" s="209">
        <f t="shared" si="11"/>
        <v>-0.82</v>
      </c>
      <c r="AA25" s="205">
        <f t="shared" si="12"/>
        <v>0</v>
      </c>
      <c r="AB25" s="209">
        <f t="shared" si="13"/>
        <v>0</v>
      </c>
      <c r="AC25" s="205">
        <f t="shared" si="14"/>
        <v>0</v>
      </c>
      <c r="AD25" s="210">
        <f t="shared" si="15"/>
        <v>1.2493055555605679</v>
      </c>
      <c r="AE25" s="210">
        <f t="shared" si="16"/>
        <v>0</v>
      </c>
      <c r="AF25" s="210">
        <f t="shared" si="17"/>
        <v>1.2493055555605679</v>
      </c>
      <c r="AG25" s="210">
        <f t="shared" si="18"/>
        <v>0</v>
      </c>
    </row>
    <row r="26" spans="2:33" ht="15" customHeight="1" x14ac:dyDescent="0.3">
      <c r="B26" s="196" t="s">
        <v>5</v>
      </c>
      <c r="C26" s="197" t="s">
        <v>15</v>
      </c>
      <c r="D26" s="198" t="str">
        <f t="shared" ref="D26:D35" si="19">IF(E26&lt;&gt;"",IF(K26&lt;&gt;"","C","O"),"")</f>
        <v>C</v>
      </c>
      <c r="E26" s="199">
        <v>43670.284722222219</v>
      </c>
      <c r="F26" s="200" t="s">
        <v>90</v>
      </c>
      <c r="G26" s="201">
        <v>6776.1</v>
      </c>
      <c r="H26" s="201">
        <v>6745.66</v>
      </c>
      <c r="I26" s="202">
        <f t="shared" ref="I26:I35" si="20">ABS(G26-H26)</f>
        <v>30.440000000000509</v>
      </c>
      <c r="J26" s="201">
        <v>7181.96</v>
      </c>
      <c r="K26" s="199">
        <v>43677.829861111109</v>
      </c>
      <c r="L26" s="201">
        <v>6799.23</v>
      </c>
      <c r="M26" s="203">
        <f t="shared" ref="M26:M35" si="21">ROUND(IF(C26="L",(L26-G26),(G26-L26)),4)</f>
        <v>23.13</v>
      </c>
      <c r="N26" s="204">
        <f t="shared" ref="N26:N35" si="22">IFERROR(ROUND((M26/I26),2),"")</f>
        <v>0.76</v>
      </c>
      <c r="O26" s="205">
        <f t="shared" ref="O26:O35" si="23">IF(D26="O",IF(N26&lt;0,N26,0),0)</f>
        <v>0</v>
      </c>
      <c r="P26" s="206">
        <f t="shared" ref="P26:P35" si="24">IF(N26&gt;= 0,N26,0)</f>
        <v>0.76</v>
      </c>
      <c r="Q26" s="206">
        <f t="shared" ref="Q26:Q35" si="25">IF(N26&lt;0,N26,0)</f>
        <v>0</v>
      </c>
      <c r="R26" s="206" t="str">
        <f ca="1">IF(AND(OFFSET(Tabla336106734822[[#This Row],[Equity]],1,0)="",Tabla336106734822[[#This Row],[No. of Rs]]&lt;0),"Yes",IF(AND(OFFSET(Tabla336106734822[[#This Row],[Initial Losing Trade]],1,0)="Yes",Tabla336106734822[[#This Row],[No. of Rs]]&lt;0),"Yes","No"))</f>
        <v>No</v>
      </c>
      <c r="S26" s="207">
        <f ca="1">IF(OFFSET(Tabla336106734822[[#This Row],[Equity]],1,0)="",IF(Tabla336106734822[[#This Row],[No. of Rs]]="",$F$11,$F$11+($F$11*Tabla336106734822[[#This Row],[No. of Rs]]/100)),IF(Tabla336106734822[[#This Row],[No. of Rs]]="",OFFSET(Tabla336106734822[[#This Row],[Equity]],1,0),OFFSET(Tabla336106734822[[#This Row],[Equity]],1,0)+($F$11*Tabla336106734822[[#This Row],[No. of Rs]]/100)))</f>
        <v>110290</v>
      </c>
      <c r="T26" s="207">
        <f ca="1">IF(OFFSET(Tabla336106734822[[#This Row],[Equity Peak]],1,0)="",IF(Tabla336106734822[[#This Row],[Initial Losing Trade]]="Yes",$F$11,Tabla336106734822[[#This Row],[Equity]]),IF(OFFSET(Tabla336106734822[[#This Row],[Equity Peak]],1,0)&gt;Tabla336106734822[[#This Row],[Equity]],OFFSET(Tabla336106734822[[#This Row],[Equity Peak]],1,0),Tabla336106734822[[#This Row],[Equity]]))</f>
        <v>110290</v>
      </c>
      <c r="U26" s="208" t="str">
        <f ca="1">IF(Tabla336106734822[[#This Row],[Equity]]&lt;Tabla336106734822[[#This Row],[Equity Peak]],(Tabla336106734822[[#This Row],[Equity Peak]]-Tabla336106734822[[#This Row],[Equity]])/Tabla336106734822[[#This Row],[Equity Peak]],"")</f>
        <v/>
      </c>
      <c r="V26" s="209">
        <f t="shared" ref="V26:V35" si="26">IF(B26="FX",N26,0)</f>
        <v>0</v>
      </c>
      <c r="W26" s="209">
        <f t="shared" ref="W26:W35" si="27">IF(D26="O",IF(V26&lt;0,V26,0),0)</f>
        <v>0</v>
      </c>
      <c r="X26" s="209">
        <f t="shared" ref="X26:X35" si="28">IF(B26="COM",N26,0)</f>
        <v>0</v>
      </c>
      <c r="Y26" s="209">
        <f t="shared" ref="Y26:Y35" si="29">IF(D26="O",IF(X26&lt;0,X26,0),0)</f>
        <v>0</v>
      </c>
      <c r="Z26" s="209">
        <f t="shared" ref="Z26:Z35" si="30">IF(B26="IND",N26,0)</f>
        <v>0.76</v>
      </c>
      <c r="AA26" s="205">
        <f t="shared" ref="AA26:AA35" si="31">IF(D26="O",IF(Z26&lt;0,Z26,0),0)</f>
        <v>0</v>
      </c>
      <c r="AB26" s="209">
        <f t="shared" ref="AB26:AB35" si="32">IF(B26="CRYPTO",N26,0)</f>
        <v>0</v>
      </c>
      <c r="AC26" s="205">
        <f t="shared" ref="AC26:AC35" si="33">IF(D26="O",IF(AB26&lt;0,AB26,0),0)</f>
        <v>0</v>
      </c>
      <c r="AD26" s="210">
        <f t="shared" ref="AD26:AD35" si="34">IF(K26&lt;&gt;"",K26-E26,0)</f>
        <v>7.5451388888905058</v>
      </c>
      <c r="AE26" s="210">
        <f t="shared" ref="AE26:AE35" si="35">IF(N26&gt;0,AD26,0)</f>
        <v>7.5451388888905058</v>
      </c>
      <c r="AF26" s="210">
        <f t="shared" ref="AF26:AF35" si="36">IF(N26&lt;0,AD26,0)</f>
        <v>0</v>
      </c>
      <c r="AG26" s="210">
        <f t="shared" ref="AG26:AG35" si="37">IF(N26=0,AD26,0)</f>
        <v>0</v>
      </c>
    </row>
    <row r="27" spans="2:33" ht="15" customHeight="1" x14ac:dyDescent="0.3">
      <c r="B27" s="196" t="s">
        <v>5</v>
      </c>
      <c r="C27" s="197" t="s">
        <v>15</v>
      </c>
      <c r="D27" s="198" t="str">
        <f t="shared" si="19"/>
        <v>C</v>
      </c>
      <c r="E27" s="199">
        <v>43622.590277777781</v>
      </c>
      <c r="F27" s="200" t="s">
        <v>90</v>
      </c>
      <c r="G27" s="201">
        <v>6405.9</v>
      </c>
      <c r="H27" s="201">
        <v>6370.69</v>
      </c>
      <c r="I27" s="202">
        <f t="shared" si="20"/>
        <v>35.210000000000036</v>
      </c>
      <c r="J27" s="201">
        <v>6875.33</v>
      </c>
      <c r="K27" s="199">
        <v>43640.157638888886</v>
      </c>
      <c r="L27" s="201">
        <v>6616.53</v>
      </c>
      <c r="M27" s="203">
        <f t="shared" si="21"/>
        <v>210.63</v>
      </c>
      <c r="N27" s="204">
        <f t="shared" si="22"/>
        <v>5.98</v>
      </c>
      <c r="O27" s="205">
        <f t="shared" si="23"/>
        <v>0</v>
      </c>
      <c r="P27" s="206">
        <f t="shared" si="24"/>
        <v>5.98</v>
      </c>
      <c r="Q27" s="206">
        <f t="shared" si="25"/>
        <v>0</v>
      </c>
      <c r="R27" s="206" t="str">
        <f ca="1">IF(AND(OFFSET(Tabla336106734822[[#This Row],[Equity]],1,0)="",Tabla336106734822[[#This Row],[No. of Rs]]&lt;0),"Yes",IF(AND(OFFSET(Tabla336106734822[[#This Row],[Initial Losing Trade]],1,0)="Yes",Tabla336106734822[[#This Row],[No. of Rs]]&lt;0),"Yes","No"))</f>
        <v>No</v>
      </c>
      <c r="S27" s="207">
        <f ca="1">IF(OFFSET(Tabla336106734822[[#This Row],[Equity]],1,0)="",IF(Tabla336106734822[[#This Row],[No. of Rs]]="",$F$11,$F$11+($F$11*Tabla336106734822[[#This Row],[No. of Rs]]/100)),IF(Tabla336106734822[[#This Row],[No. of Rs]]="",OFFSET(Tabla336106734822[[#This Row],[Equity]],1,0),OFFSET(Tabla336106734822[[#This Row],[Equity]],1,0)+($F$11*Tabla336106734822[[#This Row],[No. of Rs]]/100)))</f>
        <v>109530</v>
      </c>
      <c r="T27" s="207">
        <f ca="1">IF(OFFSET(Tabla336106734822[[#This Row],[Equity Peak]],1,0)="",IF(Tabla336106734822[[#This Row],[Initial Losing Trade]]="Yes",$F$11,Tabla336106734822[[#This Row],[Equity]]),IF(OFFSET(Tabla336106734822[[#This Row],[Equity Peak]],1,0)&gt;Tabla336106734822[[#This Row],[Equity]],OFFSET(Tabla336106734822[[#This Row],[Equity Peak]],1,0),Tabla336106734822[[#This Row],[Equity]]))</f>
        <v>109530</v>
      </c>
      <c r="U27" s="208" t="str">
        <f ca="1">IF(Tabla336106734822[[#This Row],[Equity]]&lt;Tabla336106734822[[#This Row],[Equity Peak]],(Tabla336106734822[[#This Row],[Equity Peak]]-Tabla336106734822[[#This Row],[Equity]])/Tabla336106734822[[#This Row],[Equity Peak]],"")</f>
        <v/>
      </c>
      <c r="V27" s="209">
        <f t="shared" si="26"/>
        <v>0</v>
      </c>
      <c r="W27" s="209">
        <f t="shared" si="27"/>
        <v>0</v>
      </c>
      <c r="X27" s="209">
        <f t="shared" si="28"/>
        <v>0</v>
      </c>
      <c r="Y27" s="209">
        <f t="shared" si="29"/>
        <v>0</v>
      </c>
      <c r="Z27" s="209">
        <f t="shared" si="30"/>
        <v>5.98</v>
      </c>
      <c r="AA27" s="205">
        <f t="shared" si="31"/>
        <v>0</v>
      </c>
      <c r="AB27" s="209">
        <f t="shared" si="32"/>
        <v>0</v>
      </c>
      <c r="AC27" s="205">
        <f t="shared" si="33"/>
        <v>0</v>
      </c>
      <c r="AD27" s="210">
        <f t="shared" si="34"/>
        <v>17.567361111105129</v>
      </c>
      <c r="AE27" s="210">
        <f t="shared" si="35"/>
        <v>17.567361111105129</v>
      </c>
      <c r="AF27" s="210">
        <f t="shared" si="36"/>
        <v>0</v>
      </c>
      <c r="AG27" s="210">
        <f t="shared" si="37"/>
        <v>0</v>
      </c>
    </row>
    <row r="28" spans="2:33" ht="15" customHeight="1" x14ac:dyDescent="0.3">
      <c r="B28" s="196" t="s">
        <v>5</v>
      </c>
      <c r="C28" s="197" t="s">
        <v>13</v>
      </c>
      <c r="D28" s="198" t="str">
        <f t="shared" si="19"/>
        <v>C</v>
      </c>
      <c r="E28" s="199">
        <v>43620.423611111109</v>
      </c>
      <c r="F28" s="200" t="s">
        <v>90</v>
      </c>
      <c r="G28" s="201">
        <v>6329.8</v>
      </c>
      <c r="H28" s="201">
        <v>6370.23</v>
      </c>
      <c r="I28" s="202">
        <f t="shared" si="20"/>
        <v>40.429999999999382</v>
      </c>
      <c r="J28" s="201">
        <v>5790.8</v>
      </c>
      <c r="K28" s="199">
        <v>43620.692361111112</v>
      </c>
      <c r="L28" s="201">
        <v>6370.23</v>
      </c>
      <c r="M28" s="203">
        <f t="shared" si="21"/>
        <v>-40.43</v>
      </c>
      <c r="N28" s="204">
        <f t="shared" si="22"/>
        <v>-1</v>
      </c>
      <c r="O28" s="205">
        <f t="shared" si="23"/>
        <v>0</v>
      </c>
      <c r="P28" s="206">
        <f t="shared" si="24"/>
        <v>0</v>
      </c>
      <c r="Q28" s="206">
        <f t="shared" si="25"/>
        <v>-1</v>
      </c>
      <c r="R28" s="206" t="str">
        <f ca="1">IF(AND(OFFSET(Tabla336106734822[[#This Row],[Equity]],1,0)="",Tabla336106734822[[#This Row],[No. of Rs]]&lt;0),"Yes",IF(AND(OFFSET(Tabla336106734822[[#This Row],[Initial Losing Trade]],1,0)="Yes",Tabla336106734822[[#This Row],[No. of Rs]]&lt;0),"Yes","No"))</f>
        <v>No</v>
      </c>
      <c r="S28" s="207">
        <f ca="1">IF(OFFSET(Tabla336106734822[[#This Row],[Equity]],1,0)="",IF(Tabla336106734822[[#This Row],[No. of Rs]]="",$F$11,$F$11+($F$11*Tabla336106734822[[#This Row],[No. of Rs]]/100)),IF(Tabla336106734822[[#This Row],[No. of Rs]]="",OFFSET(Tabla336106734822[[#This Row],[Equity]],1,0),OFFSET(Tabla336106734822[[#This Row],[Equity]],1,0)+($F$11*Tabla336106734822[[#This Row],[No. of Rs]]/100)))</f>
        <v>103550</v>
      </c>
      <c r="T28" s="207">
        <f ca="1">IF(OFFSET(Tabla336106734822[[#This Row],[Equity Peak]],1,0)="",IF(Tabla336106734822[[#This Row],[Initial Losing Trade]]="Yes",$F$11,Tabla336106734822[[#This Row],[Equity]]),IF(OFFSET(Tabla336106734822[[#This Row],[Equity Peak]],1,0)&gt;Tabla336106734822[[#This Row],[Equity]],OFFSET(Tabla336106734822[[#This Row],[Equity Peak]],1,0),Tabla336106734822[[#This Row],[Equity]]))</f>
        <v>104550</v>
      </c>
      <c r="U28" s="208">
        <f ca="1">IF(Tabla336106734822[[#This Row],[Equity]]&lt;Tabla336106734822[[#This Row],[Equity Peak]],(Tabla336106734822[[#This Row],[Equity Peak]]-Tabla336106734822[[#This Row],[Equity]])/Tabla336106734822[[#This Row],[Equity Peak]],"")</f>
        <v>9.5648015303682454E-3</v>
      </c>
      <c r="V28" s="209">
        <f t="shared" si="26"/>
        <v>0</v>
      </c>
      <c r="W28" s="209">
        <f t="shared" si="27"/>
        <v>0</v>
      </c>
      <c r="X28" s="209">
        <f t="shared" si="28"/>
        <v>0</v>
      </c>
      <c r="Y28" s="209">
        <f t="shared" si="29"/>
        <v>0</v>
      </c>
      <c r="Z28" s="209">
        <f t="shared" si="30"/>
        <v>-1</v>
      </c>
      <c r="AA28" s="205">
        <f t="shared" si="31"/>
        <v>0</v>
      </c>
      <c r="AB28" s="209">
        <f t="shared" si="32"/>
        <v>0</v>
      </c>
      <c r="AC28" s="205">
        <f t="shared" si="33"/>
        <v>0</v>
      </c>
      <c r="AD28" s="210">
        <f t="shared" si="34"/>
        <v>0.26875000000291038</v>
      </c>
      <c r="AE28" s="210">
        <f t="shared" si="35"/>
        <v>0</v>
      </c>
      <c r="AF28" s="210">
        <f t="shared" si="36"/>
        <v>0.26875000000291038</v>
      </c>
      <c r="AG28" s="210">
        <f t="shared" si="37"/>
        <v>0</v>
      </c>
    </row>
    <row r="29" spans="2:33" ht="15" customHeight="1" x14ac:dyDescent="0.3">
      <c r="B29" s="196" t="s">
        <v>5</v>
      </c>
      <c r="C29" s="197" t="s">
        <v>15</v>
      </c>
      <c r="D29" s="198" t="str">
        <f t="shared" si="19"/>
        <v>C</v>
      </c>
      <c r="E29" s="199">
        <v>43601.423611111109</v>
      </c>
      <c r="F29" s="200" t="s">
        <v>90</v>
      </c>
      <c r="G29" s="201">
        <v>6333.6</v>
      </c>
      <c r="H29" s="201">
        <v>6294.32</v>
      </c>
      <c r="I29" s="202">
        <f t="shared" si="20"/>
        <v>39.280000000000655</v>
      </c>
      <c r="J29" s="201">
        <v>6857.31</v>
      </c>
      <c r="K29" s="199">
        <v>43614.2</v>
      </c>
      <c r="L29" s="201">
        <v>6426.35</v>
      </c>
      <c r="M29" s="203">
        <f t="shared" si="21"/>
        <v>92.75</v>
      </c>
      <c r="N29" s="204">
        <f t="shared" si="22"/>
        <v>2.36</v>
      </c>
      <c r="O29" s="205">
        <f t="shared" si="23"/>
        <v>0</v>
      </c>
      <c r="P29" s="206">
        <f t="shared" si="24"/>
        <v>2.36</v>
      </c>
      <c r="Q29" s="206">
        <f t="shared" si="25"/>
        <v>0</v>
      </c>
      <c r="R29" s="206" t="str">
        <f ca="1">IF(AND(OFFSET(Tabla336106734822[[#This Row],[Equity]],1,0)="",Tabla336106734822[[#This Row],[No. of Rs]]&lt;0),"Yes",IF(AND(OFFSET(Tabla336106734822[[#This Row],[Initial Losing Trade]],1,0)="Yes",Tabla336106734822[[#This Row],[No. of Rs]]&lt;0),"Yes","No"))</f>
        <v>No</v>
      </c>
      <c r="S29" s="207">
        <f ca="1">IF(OFFSET(Tabla336106734822[[#This Row],[Equity]],1,0)="",IF(Tabla336106734822[[#This Row],[No. of Rs]]="",$F$11,$F$11+($F$11*Tabla336106734822[[#This Row],[No. of Rs]]/100)),IF(Tabla336106734822[[#This Row],[No. of Rs]]="",OFFSET(Tabla336106734822[[#This Row],[Equity]],1,0),OFFSET(Tabla336106734822[[#This Row],[Equity]],1,0)+($F$11*Tabla336106734822[[#This Row],[No. of Rs]]/100)))</f>
        <v>104550</v>
      </c>
      <c r="T29" s="207">
        <f ca="1">IF(OFFSET(Tabla336106734822[[#This Row],[Equity Peak]],1,0)="",IF(Tabla336106734822[[#This Row],[Initial Losing Trade]]="Yes",$F$11,Tabla336106734822[[#This Row],[Equity]]),IF(OFFSET(Tabla336106734822[[#This Row],[Equity Peak]],1,0)&gt;Tabla336106734822[[#This Row],[Equity]],OFFSET(Tabla336106734822[[#This Row],[Equity Peak]],1,0),Tabla336106734822[[#This Row],[Equity]]))</f>
        <v>104550</v>
      </c>
      <c r="U29" s="208" t="str">
        <f ca="1">IF(Tabla336106734822[[#This Row],[Equity]]&lt;Tabla336106734822[[#This Row],[Equity Peak]],(Tabla336106734822[[#This Row],[Equity Peak]]-Tabla336106734822[[#This Row],[Equity]])/Tabla336106734822[[#This Row],[Equity Peak]],"")</f>
        <v/>
      </c>
      <c r="V29" s="209">
        <f t="shared" si="26"/>
        <v>0</v>
      </c>
      <c r="W29" s="209">
        <f t="shared" si="27"/>
        <v>0</v>
      </c>
      <c r="X29" s="209">
        <f t="shared" si="28"/>
        <v>0</v>
      </c>
      <c r="Y29" s="209">
        <f t="shared" si="29"/>
        <v>0</v>
      </c>
      <c r="Z29" s="209">
        <f t="shared" si="30"/>
        <v>2.36</v>
      </c>
      <c r="AA29" s="205">
        <f t="shared" si="31"/>
        <v>0</v>
      </c>
      <c r="AB29" s="209">
        <f t="shared" si="32"/>
        <v>0</v>
      </c>
      <c r="AC29" s="205">
        <f t="shared" si="33"/>
        <v>0</v>
      </c>
      <c r="AD29" s="210">
        <f t="shared" si="34"/>
        <v>12.776388888887595</v>
      </c>
      <c r="AE29" s="210">
        <f t="shared" si="35"/>
        <v>12.776388888887595</v>
      </c>
      <c r="AF29" s="210">
        <f t="shared" si="36"/>
        <v>0</v>
      </c>
      <c r="AG29" s="210">
        <f t="shared" si="37"/>
        <v>0</v>
      </c>
    </row>
    <row r="30" spans="2:33" ht="15" customHeight="1" x14ac:dyDescent="0.3">
      <c r="B30" s="196" t="s">
        <v>5</v>
      </c>
      <c r="C30" s="197" t="s">
        <v>13</v>
      </c>
      <c r="D30" s="198" t="str">
        <f t="shared" si="19"/>
        <v>C</v>
      </c>
      <c r="E30" s="199">
        <v>43599.423611111109</v>
      </c>
      <c r="F30" s="200" t="s">
        <v>90</v>
      </c>
      <c r="G30" s="201">
        <v>6231.7</v>
      </c>
      <c r="H30" s="201">
        <v>6283.62</v>
      </c>
      <c r="I30" s="202">
        <f t="shared" si="20"/>
        <v>51.920000000000073</v>
      </c>
      <c r="J30" s="201">
        <v>5539.41</v>
      </c>
      <c r="K30" s="199">
        <v>43600.298611111109</v>
      </c>
      <c r="L30" s="201">
        <v>6283.62</v>
      </c>
      <c r="M30" s="203">
        <f t="shared" si="21"/>
        <v>-51.92</v>
      </c>
      <c r="N30" s="204">
        <f t="shared" si="22"/>
        <v>-1</v>
      </c>
      <c r="O30" s="205">
        <f t="shared" si="23"/>
        <v>0</v>
      </c>
      <c r="P30" s="206">
        <f t="shared" si="24"/>
        <v>0</v>
      </c>
      <c r="Q30" s="206">
        <f t="shared" si="25"/>
        <v>-1</v>
      </c>
      <c r="R30" s="206" t="str">
        <f ca="1">IF(AND(OFFSET(Tabla336106734822[[#This Row],[Equity]],1,0)="",Tabla336106734822[[#This Row],[No. of Rs]]&lt;0),"Yes",IF(AND(OFFSET(Tabla336106734822[[#This Row],[Initial Losing Trade]],1,0)="Yes",Tabla336106734822[[#This Row],[No. of Rs]]&lt;0),"Yes","No"))</f>
        <v>No</v>
      </c>
      <c r="S30" s="207">
        <f ca="1">IF(OFFSET(Tabla336106734822[[#This Row],[Equity]],1,0)="",IF(Tabla336106734822[[#This Row],[No. of Rs]]="",$F$11,$F$11+($F$11*Tabla336106734822[[#This Row],[No. of Rs]]/100)),IF(Tabla336106734822[[#This Row],[No. of Rs]]="",OFFSET(Tabla336106734822[[#This Row],[Equity]],1,0),OFFSET(Tabla336106734822[[#This Row],[Equity]],1,0)+($F$11*Tabla336106734822[[#This Row],[No. of Rs]]/100)))</f>
        <v>102190</v>
      </c>
      <c r="T30" s="207">
        <f ca="1">IF(OFFSET(Tabla336106734822[[#This Row],[Equity Peak]],1,0)="",IF(Tabla336106734822[[#This Row],[Initial Losing Trade]]="Yes",$F$11,Tabla336106734822[[#This Row],[Equity]]),IF(OFFSET(Tabla336106734822[[#This Row],[Equity Peak]],1,0)&gt;Tabla336106734822[[#This Row],[Equity]],OFFSET(Tabla336106734822[[#This Row],[Equity Peak]],1,0),Tabla336106734822[[#This Row],[Equity]]))</f>
        <v>103850</v>
      </c>
      <c r="U30" s="208">
        <f ca="1">IF(Tabla336106734822[[#This Row],[Equity]]&lt;Tabla336106734822[[#This Row],[Equity Peak]],(Tabla336106734822[[#This Row],[Equity Peak]]-Tabla336106734822[[#This Row],[Equity]])/Tabla336106734822[[#This Row],[Equity Peak]],"")</f>
        <v>1.5984593163216178E-2</v>
      </c>
      <c r="V30" s="209">
        <f t="shared" si="26"/>
        <v>0</v>
      </c>
      <c r="W30" s="209">
        <f t="shared" si="27"/>
        <v>0</v>
      </c>
      <c r="X30" s="209">
        <f t="shared" si="28"/>
        <v>0</v>
      </c>
      <c r="Y30" s="209">
        <f t="shared" si="29"/>
        <v>0</v>
      </c>
      <c r="Z30" s="209">
        <f t="shared" si="30"/>
        <v>-1</v>
      </c>
      <c r="AA30" s="205">
        <f t="shared" si="31"/>
        <v>0</v>
      </c>
      <c r="AB30" s="209">
        <f t="shared" si="32"/>
        <v>0</v>
      </c>
      <c r="AC30" s="205">
        <f t="shared" si="33"/>
        <v>0</v>
      </c>
      <c r="AD30" s="210">
        <f t="shared" si="34"/>
        <v>0.875</v>
      </c>
      <c r="AE30" s="210">
        <f t="shared" si="35"/>
        <v>0</v>
      </c>
      <c r="AF30" s="210">
        <f t="shared" si="36"/>
        <v>0.875</v>
      </c>
      <c r="AG30" s="210">
        <f t="shared" si="37"/>
        <v>0</v>
      </c>
    </row>
    <row r="31" spans="2:33" ht="15" customHeight="1" x14ac:dyDescent="0.3">
      <c r="B31" s="196" t="s">
        <v>5</v>
      </c>
      <c r="C31" s="197" t="s">
        <v>15</v>
      </c>
      <c r="D31" s="198" t="str">
        <f t="shared" si="19"/>
        <v>C</v>
      </c>
      <c r="E31" s="199">
        <v>43578.284722222219</v>
      </c>
      <c r="F31" s="200" t="s">
        <v>90</v>
      </c>
      <c r="G31" s="201">
        <v>6306.2</v>
      </c>
      <c r="H31" s="201">
        <v>6278.3</v>
      </c>
      <c r="I31" s="202">
        <f t="shared" si="20"/>
        <v>27.899999999999636</v>
      </c>
      <c r="J31" s="201">
        <v>6678.2</v>
      </c>
      <c r="K31" s="199">
        <v>43585.223611111112</v>
      </c>
      <c r="L31" s="201">
        <v>6320.58</v>
      </c>
      <c r="M31" s="203">
        <f t="shared" si="21"/>
        <v>14.38</v>
      </c>
      <c r="N31" s="204">
        <f t="shared" si="22"/>
        <v>0.52</v>
      </c>
      <c r="O31" s="205">
        <f t="shared" si="23"/>
        <v>0</v>
      </c>
      <c r="P31" s="206">
        <f t="shared" si="24"/>
        <v>0.52</v>
      </c>
      <c r="Q31" s="206">
        <f t="shared" si="25"/>
        <v>0</v>
      </c>
      <c r="R31" s="206" t="str">
        <f ca="1">IF(AND(OFFSET(Tabla336106734822[[#This Row],[Equity]],1,0)="",Tabla336106734822[[#This Row],[No. of Rs]]&lt;0),"Yes",IF(AND(OFFSET(Tabla336106734822[[#This Row],[Initial Losing Trade]],1,0)="Yes",Tabla336106734822[[#This Row],[No. of Rs]]&lt;0),"Yes","No"))</f>
        <v>No</v>
      </c>
      <c r="S31" s="207">
        <f ca="1">IF(OFFSET(Tabla336106734822[[#This Row],[Equity]],1,0)="",IF(Tabla336106734822[[#This Row],[No. of Rs]]="",$F$11,$F$11+($F$11*Tabla336106734822[[#This Row],[No. of Rs]]/100)),IF(Tabla336106734822[[#This Row],[No. of Rs]]="",OFFSET(Tabla336106734822[[#This Row],[Equity]],1,0),OFFSET(Tabla336106734822[[#This Row],[Equity]],1,0)+($F$11*Tabla336106734822[[#This Row],[No. of Rs]]/100)))</f>
        <v>103190</v>
      </c>
      <c r="T31" s="207">
        <f ca="1">IF(OFFSET(Tabla336106734822[[#This Row],[Equity Peak]],1,0)="",IF(Tabla336106734822[[#This Row],[Initial Losing Trade]]="Yes",$F$11,Tabla336106734822[[#This Row],[Equity]]),IF(OFFSET(Tabla336106734822[[#This Row],[Equity Peak]],1,0)&gt;Tabla336106734822[[#This Row],[Equity]],OFFSET(Tabla336106734822[[#This Row],[Equity Peak]],1,0),Tabla336106734822[[#This Row],[Equity]]))</f>
        <v>103850</v>
      </c>
      <c r="U31" s="208">
        <f ca="1">IF(Tabla336106734822[[#This Row],[Equity]]&lt;Tabla336106734822[[#This Row],[Equity Peak]],(Tabla336106734822[[#This Row],[Equity Peak]]-Tabla336106734822[[#This Row],[Equity]])/Tabla336106734822[[#This Row],[Equity Peak]],"")</f>
        <v>6.3553201733269138E-3</v>
      </c>
      <c r="V31" s="209">
        <f t="shared" si="26"/>
        <v>0</v>
      </c>
      <c r="W31" s="209">
        <f t="shared" si="27"/>
        <v>0</v>
      </c>
      <c r="X31" s="209">
        <f t="shared" si="28"/>
        <v>0</v>
      </c>
      <c r="Y31" s="209">
        <f t="shared" si="29"/>
        <v>0</v>
      </c>
      <c r="Z31" s="209">
        <f t="shared" si="30"/>
        <v>0.52</v>
      </c>
      <c r="AA31" s="205">
        <f t="shared" si="31"/>
        <v>0</v>
      </c>
      <c r="AB31" s="209">
        <f t="shared" si="32"/>
        <v>0</v>
      </c>
      <c r="AC31" s="205">
        <f t="shared" si="33"/>
        <v>0</v>
      </c>
      <c r="AD31" s="210">
        <f t="shared" si="34"/>
        <v>6.9388888888934162</v>
      </c>
      <c r="AE31" s="210">
        <f t="shared" si="35"/>
        <v>6.9388888888934162</v>
      </c>
      <c r="AF31" s="210">
        <f t="shared" si="36"/>
        <v>0</v>
      </c>
      <c r="AG31" s="210">
        <f t="shared" si="37"/>
        <v>0</v>
      </c>
    </row>
    <row r="32" spans="2:33" ht="15" customHeight="1" x14ac:dyDescent="0.3">
      <c r="B32" s="196" t="s">
        <v>5</v>
      </c>
      <c r="C32" s="197" t="s">
        <v>15</v>
      </c>
      <c r="D32" s="198" t="str">
        <f t="shared" si="19"/>
        <v>C</v>
      </c>
      <c r="E32" s="199">
        <v>43571.590277777781</v>
      </c>
      <c r="F32" s="200" t="s">
        <v>90</v>
      </c>
      <c r="G32" s="201">
        <v>6295.9</v>
      </c>
      <c r="H32" s="201">
        <v>6269.66</v>
      </c>
      <c r="I32" s="202">
        <f t="shared" si="20"/>
        <v>26.239999999999782</v>
      </c>
      <c r="J32" s="201">
        <v>6645.76</v>
      </c>
      <c r="K32" s="199">
        <v>43571.857638888891</v>
      </c>
      <c r="L32" s="201">
        <v>6269.66</v>
      </c>
      <c r="M32" s="203">
        <f t="shared" si="21"/>
        <v>-26.24</v>
      </c>
      <c r="N32" s="204">
        <f t="shared" si="22"/>
        <v>-1</v>
      </c>
      <c r="O32" s="205">
        <f t="shared" si="23"/>
        <v>0</v>
      </c>
      <c r="P32" s="206">
        <f t="shared" si="24"/>
        <v>0</v>
      </c>
      <c r="Q32" s="206">
        <f t="shared" si="25"/>
        <v>-1</v>
      </c>
      <c r="R32" s="206" t="str">
        <f ca="1">IF(AND(OFFSET(Tabla336106734822[[#This Row],[Equity]],1,0)="",Tabla336106734822[[#This Row],[No. of Rs]]&lt;0),"Yes",IF(AND(OFFSET(Tabla336106734822[[#This Row],[Initial Losing Trade]],1,0)="Yes",Tabla336106734822[[#This Row],[No. of Rs]]&lt;0),"Yes","No"))</f>
        <v>No</v>
      </c>
      <c r="S32" s="207">
        <f ca="1">IF(OFFSET(Tabla336106734822[[#This Row],[Equity]],1,0)="",IF(Tabla336106734822[[#This Row],[No. of Rs]]="",$F$11,$F$11+($F$11*Tabla336106734822[[#This Row],[No. of Rs]]/100)),IF(Tabla336106734822[[#This Row],[No. of Rs]]="",OFFSET(Tabla336106734822[[#This Row],[Equity]],1,0),OFFSET(Tabla336106734822[[#This Row],[Equity]],1,0)+($F$11*Tabla336106734822[[#This Row],[No. of Rs]]/100)))</f>
        <v>102670</v>
      </c>
      <c r="T32" s="207">
        <f ca="1">IF(OFFSET(Tabla336106734822[[#This Row],[Equity Peak]],1,0)="",IF(Tabla336106734822[[#This Row],[Initial Losing Trade]]="Yes",$F$11,Tabla336106734822[[#This Row],[Equity]]),IF(OFFSET(Tabla336106734822[[#This Row],[Equity Peak]],1,0)&gt;Tabla336106734822[[#This Row],[Equity]],OFFSET(Tabla336106734822[[#This Row],[Equity Peak]],1,0),Tabla336106734822[[#This Row],[Equity]]))</f>
        <v>103850</v>
      </c>
      <c r="U32" s="208">
        <f ca="1">IF(Tabla336106734822[[#This Row],[Equity]]&lt;Tabla336106734822[[#This Row],[Equity Peak]],(Tabla336106734822[[#This Row],[Equity Peak]]-Tabla336106734822[[#This Row],[Equity]])/Tabla336106734822[[#This Row],[Equity Peak]],"")</f>
        <v>1.1362542128069331E-2</v>
      </c>
      <c r="V32" s="209">
        <f t="shared" si="26"/>
        <v>0</v>
      </c>
      <c r="W32" s="209">
        <f t="shared" si="27"/>
        <v>0</v>
      </c>
      <c r="X32" s="209">
        <f t="shared" si="28"/>
        <v>0</v>
      </c>
      <c r="Y32" s="209">
        <f t="shared" si="29"/>
        <v>0</v>
      </c>
      <c r="Z32" s="209">
        <f t="shared" si="30"/>
        <v>-1</v>
      </c>
      <c r="AA32" s="205">
        <f t="shared" si="31"/>
        <v>0</v>
      </c>
      <c r="AB32" s="209">
        <f t="shared" si="32"/>
        <v>0</v>
      </c>
      <c r="AC32" s="205">
        <f t="shared" si="33"/>
        <v>0</v>
      </c>
      <c r="AD32" s="210">
        <f t="shared" si="34"/>
        <v>0.26736111110949423</v>
      </c>
      <c r="AE32" s="210">
        <f t="shared" si="35"/>
        <v>0</v>
      </c>
      <c r="AF32" s="210">
        <f t="shared" si="36"/>
        <v>0.26736111110949423</v>
      </c>
      <c r="AG32" s="210">
        <f t="shared" si="37"/>
        <v>0</v>
      </c>
    </row>
    <row r="33" spans="2:33" ht="15" customHeight="1" x14ac:dyDescent="0.3">
      <c r="B33" s="196" t="s">
        <v>5</v>
      </c>
      <c r="C33" s="197" t="s">
        <v>15</v>
      </c>
      <c r="D33" s="198" t="str">
        <f t="shared" si="19"/>
        <v>C</v>
      </c>
      <c r="E33" s="199">
        <v>43553.243055555555</v>
      </c>
      <c r="F33" s="200" t="s">
        <v>90</v>
      </c>
      <c r="G33" s="201">
        <v>6190.9</v>
      </c>
      <c r="H33" s="201">
        <v>6151.24</v>
      </c>
      <c r="I33" s="202">
        <f t="shared" si="20"/>
        <v>39.659999999999854</v>
      </c>
      <c r="J33" s="201">
        <v>6719.76</v>
      </c>
      <c r="K33" s="199">
        <v>43559.487500000003</v>
      </c>
      <c r="L33" s="201">
        <v>6218.03</v>
      </c>
      <c r="M33" s="203">
        <f t="shared" si="21"/>
        <v>27.13</v>
      </c>
      <c r="N33" s="204">
        <f t="shared" si="22"/>
        <v>0.68</v>
      </c>
      <c r="O33" s="205">
        <f t="shared" si="23"/>
        <v>0</v>
      </c>
      <c r="P33" s="206">
        <f t="shared" si="24"/>
        <v>0.68</v>
      </c>
      <c r="Q33" s="206">
        <f t="shared" si="25"/>
        <v>0</v>
      </c>
      <c r="R33" s="206" t="str">
        <f ca="1">IF(AND(OFFSET(Tabla336106734822[[#This Row],[Equity]],1,0)="",Tabla336106734822[[#This Row],[No. of Rs]]&lt;0),"Yes",IF(AND(OFFSET(Tabla336106734822[[#This Row],[Initial Losing Trade]],1,0)="Yes",Tabla336106734822[[#This Row],[No. of Rs]]&lt;0),"Yes","No"))</f>
        <v>No</v>
      </c>
      <c r="S33" s="207">
        <f ca="1">IF(OFFSET(Tabla336106734822[[#This Row],[Equity]],1,0)="",IF(Tabla336106734822[[#This Row],[No. of Rs]]="",$F$11,$F$11+($F$11*Tabla336106734822[[#This Row],[No. of Rs]]/100)),IF(Tabla336106734822[[#This Row],[No. of Rs]]="",OFFSET(Tabla336106734822[[#This Row],[Equity]],1,0),OFFSET(Tabla336106734822[[#This Row],[Equity]],1,0)+($F$11*Tabla336106734822[[#This Row],[No. of Rs]]/100)))</f>
        <v>103670</v>
      </c>
      <c r="T33" s="207">
        <f ca="1">IF(OFFSET(Tabla336106734822[[#This Row],[Equity Peak]],1,0)="",IF(Tabla336106734822[[#This Row],[Initial Losing Trade]]="Yes",$F$11,Tabla336106734822[[#This Row],[Equity]]),IF(OFFSET(Tabla336106734822[[#This Row],[Equity Peak]],1,0)&gt;Tabla336106734822[[#This Row],[Equity]],OFFSET(Tabla336106734822[[#This Row],[Equity Peak]],1,0),Tabla336106734822[[#This Row],[Equity]]))</f>
        <v>103850</v>
      </c>
      <c r="U33" s="208">
        <f ca="1">IF(Tabla336106734822[[#This Row],[Equity]]&lt;Tabla336106734822[[#This Row],[Equity Peak]],(Tabla336106734822[[#This Row],[Equity Peak]]-Tabla336106734822[[#This Row],[Equity]])/Tabla336106734822[[#This Row],[Equity Peak]],"")</f>
        <v>1.7332691381800674E-3</v>
      </c>
      <c r="V33" s="209">
        <f t="shared" si="26"/>
        <v>0</v>
      </c>
      <c r="W33" s="209">
        <f t="shared" si="27"/>
        <v>0</v>
      </c>
      <c r="X33" s="209">
        <f t="shared" si="28"/>
        <v>0</v>
      </c>
      <c r="Y33" s="209">
        <f t="shared" si="29"/>
        <v>0</v>
      </c>
      <c r="Z33" s="209">
        <f t="shared" si="30"/>
        <v>0.68</v>
      </c>
      <c r="AA33" s="205">
        <f t="shared" si="31"/>
        <v>0</v>
      </c>
      <c r="AB33" s="209">
        <f t="shared" si="32"/>
        <v>0</v>
      </c>
      <c r="AC33" s="205">
        <f t="shared" si="33"/>
        <v>0</v>
      </c>
      <c r="AD33" s="210">
        <f t="shared" si="34"/>
        <v>6.2444444444481633</v>
      </c>
      <c r="AE33" s="210">
        <f t="shared" si="35"/>
        <v>6.2444444444481633</v>
      </c>
      <c r="AF33" s="210">
        <f t="shared" si="36"/>
        <v>0</v>
      </c>
      <c r="AG33" s="210">
        <f t="shared" si="37"/>
        <v>0</v>
      </c>
    </row>
    <row r="34" spans="2:33" ht="15" customHeight="1" x14ac:dyDescent="0.3">
      <c r="B34" s="196" t="s">
        <v>5</v>
      </c>
      <c r="C34" s="197" t="s">
        <v>13</v>
      </c>
      <c r="D34" s="198" t="str">
        <f t="shared" si="19"/>
        <v>C</v>
      </c>
      <c r="E34" s="199">
        <v>43550.243055555555</v>
      </c>
      <c r="F34" s="200" t="s">
        <v>90</v>
      </c>
      <c r="G34" s="201">
        <v>6127.2</v>
      </c>
      <c r="H34" s="201">
        <v>6167.08</v>
      </c>
      <c r="I34" s="202">
        <f t="shared" si="20"/>
        <v>39.880000000000109</v>
      </c>
      <c r="J34" s="201">
        <v>5595.49</v>
      </c>
      <c r="K34" s="199">
        <v>43552.25277777778</v>
      </c>
      <c r="L34" s="201">
        <v>6161.67</v>
      </c>
      <c r="M34" s="203">
        <f t="shared" si="21"/>
        <v>-34.47</v>
      </c>
      <c r="N34" s="204">
        <f t="shared" si="22"/>
        <v>-0.86</v>
      </c>
      <c r="O34" s="205">
        <f t="shared" si="23"/>
        <v>0</v>
      </c>
      <c r="P34" s="206">
        <f t="shared" si="24"/>
        <v>0</v>
      </c>
      <c r="Q34" s="206">
        <f t="shared" si="25"/>
        <v>-0.86</v>
      </c>
      <c r="R34" s="206" t="str">
        <f ca="1">IF(AND(OFFSET(Tabla336106734822[[#This Row],[Equity]],1,0)="",Tabla336106734822[[#This Row],[No. of Rs]]&lt;0),"Yes",IF(AND(OFFSET(Tabla336106734822[[#This Row],[Initial Losing Trade]],1,0)="Yes",Tabla336106734822[[#This Row],[No. of Rs]]&lt;0),"Yes","No"))</f>
        <v>No</v>
      </c>
      <c r="S34" s="207">
        <f ca="1">IF(OFFSET(Tabla336106734822[[#This Row],[Equity]],1,0)="",IF(Tabla336106734822[[#This Row],[No. of Rs]]="",$F$11,$F$11+($F$11*Tabla336106734822[[#This Row],[No. of Rs]]/100)),IF(Tabla336106734822[[#This Row],[No. of Rs]]="",OFFSET(Tabla336106734822[[#This Row],[Equity]],1,0),OFFSET(Tabla336106734822[[#This Row],[Equity]],1,0)+($F$11*Tabla336106734822[[#This Row],[No. of Rs]]/100)))</f>
        <v>102990</v>
      </c>
      <c r="T34" s="207">
        <f ca="1">IF(OFFSET(Tabla336106734822[[#This Row],[Equity Peak]],1,0)="",IF(Tabla336106734822[[#This Row],[Initial Losing Trade]]="Yes",$F$11,Tabla336106734822[[#This Row],[Equity]]),IF(OFFSET(Tabla336106734822[[#This Row],[Equity Peak]],1,0)&gt;Tabla336106734822[[#This Row],[Equity]],OFFSET(Tabla336106734822[[#This Row],[Equity Peak]],1,0),Tabla336106734822[[#This Row],[Equity]]))</f>
        <v>103850</v>
      </c>
      <c r="U34" s="208">
        <f ca="1">IF(Tabla336106734822[[#This Row],[Equity]]&lt;Tabla336106734822[[#This Row],[Equity Peak]],(Tabla336106734822[[#This Row],[Equity Peak]]-Tabla336106734822[[#This Row],[Equity]])/Tabla336106734822[[#This Row],[Equity Peak]],"")</f>
        <v>8.2811747713047671E-3</v>
      </c>
      <c r="V34" s="209">
        <f t="shared" si="26"/>
        <v>0</v>
      </c>
      <c r="W34" s="209">
        <f t="shared" si="27"/>
        <v>0</v>
      </c>
      <c r="X34" s="209">
        <f t="shared" si="28"/>
        <v>0</v>
      </c>
      <c r="Y34" s="209">
        <f t="shared" si="29"/>
        <v>0</v>
      </c>
      <c r="Z34" s="209">
        <f t="shared" si="30"/>
        <v>-0.86</v>
      </c>
      <c r="AA34" s="205">
        <f t="shared" si="31"/>
        <v>0</v>
      </c>
      <c r="AB34" s="209">
        <f t="shared" si="32"/>
        <v>0</v>
      </c>
      <c r="AC34" s="205">
        <f t="shared" si="33"/>
        <v>0</v>
      </c>
      <c r="AD34" s="210">
        <f t="shared" si="34"/>
        <v>2.0097222222248092</v>
      </c>
      <c r="AE34" s="210">
        <f t="shared" si="35"/>
        <v>0</v>
      </c>
      <c r="AF34" s="210">
        <f t="shared" si="36"/>
        <v>2.0097222222248092</v>
      </c>
      <c r="AG34" s="210">
        <f t="shared" si="37"/>
        <v>0</v>
      </c>
    </row>
    <row r="35" spans="2:33" ht="15" customHeight="1" x14ac:dyDescent="0.3">
      <c r="B35" s="196" t="s">
        <v>5</v>
      </c>
      <c r="C35" s="197" t="s">
        <v>15</v>
      </c>
      <c r="D35" s="198" t="str">
        <f t="shared" si="19"/>
        <v>C</v>
      </c>
      <c r="E35" s="199">
        <v>43472.506944444445</v>
      </c>
      <c r="F35" s="200" t="s">
        <v>90</v>
      </c>
      <c r="G35" s="201">
        <v>5664.8</v>
      </c>
      <c r="H35" s="201">
        <v>5616.2</v>
      </c>
      <c r="I35" s="202">
        <f t="shared" si="20"/>
        <v>48.600000000000364</v>
      </c>
      <c r="J35" s="201">
        <v>6312.8</v>
      </c>
      <c r="K35" s="199">
        <v>43487.293055555558</v>
      </c>
      <c r="L35" s="201">
        <v>5851.85</v>
      </c>
      <c r="M35" s="203">
        <f t="shared" si="21"/>
        <v>187.05</v>
      </c>
      <c r="N35" s="204">
        <f t="shared" si="22"/>
        <v>3.85</v>
      </c>
      <c r="O35" s="205">
        <f t="shared" si="23"/>
        <v>0</v>
      </c>
      <c r="P35" s="206">
        <f t="shared" si="24"/>
        <v>3.85</v>
      </c>
      <c r="Q35" s="206">
        <f t="shared" si="25"/>
        <v>0</v>
      </c>
      <c r="R35" s="206" t="str">
        <f ca="1">IF(AND(OFFSET(Tabla336106734822[[#This Row],[Equity]],1,0)="",Tabla336106734822[[#This Row],[No. of Rs]]&lt;0),"Yes",IF(AND(OFFSET(Tabla336106734822[[#This Row],[Initial Losing Trade]],1,0)="Yes",Tabla336106734822[[#This Row],[No. of Rs]]&lt;0),"Yes","No"))</f>
        <v>No</v>
      </c>
      <c r="S35" s="207">
        <f ca="1">IF(OFFSET(Tabla336106734822[[#This Row],[Equity]],1,0)="",IF(Tabla336106734822[[#This Row],[No. of Rs]]="",$F$11,$F$11+($F$11*Tabla336106734822[[#This Row],[No. of Rs]]/100)),IF(Tabla336106734822[[#This Row],[No. of Rs]]="",OFFSET(Tabla336106734822[[#This Row],[Equity]],1,0),OFFSET(Tabla336106734822[[#This Row],[Equity]],1,0)+($F$11*Tabla336106734822[[#This Row],[No. of Rs]]/100)))</f>
        <v>103850</v>
      </c>
      <c r="T35" s="207">
        <f ca="1">IF(OFFSET(Tabla336106734822[[#This Row],[Equity Peak]],1,0)="",IF(Tabla336106734822[[#This Row],[Initial Losing Trade]]="Yes",$F$11,Tabla336106734822[[#This Row],[Equity]]),IF(OFFSET(Tabla336106734822[[#This Row],[Equity Peak]],1,0)&gt;Tabla336106734822[[#This Row],[Equity]],OFFSET(Tabla336106734822[[#This Row],[Equity Peak]],1,0),Tabla336106734822[[#This Row],[Equity]]))</f>
        <v>103850</v>
      </c>
      <c r="U35" s="208" t="str">
        <f ca="1">IF(Tabla336106734822[[#This Row],[Equity]]&lt;Tabla336106734822[[#This Row],[Equity Peak]],(Tabla336106734822[[#This Row],[Equity Peak]]-Tabla336106734822[[#This Row],[Equity]])/Tabla336106734822[[#This Row],[Equity Peak]],"")</f>
        <v/>
      </c>
      <c r="V35" s="209">
        <f t="shared" si="26"/>
        <v>0</v>
      </c>
      <c r="W35" s="209">
        <f t="shared" si="27"/>
        <v>0</v>
      </c>
      <c r="X35" s="209">
        <f t="shared" si="28"/>
        <v>0</v>
      </c>
      <c r="Y35" s="209">
        <f t="shared" si="29"/>
        <v>0</v>
      </c>
      <c r="Z35" s="209">
        <f t="shared" si="30"/>
        <v>3.85</v>
      </c>
      <c r="AA35" s="205">
        <f t="shared" si="31"/>
        <v>0</v>
      </c>
      <c r="AB35" s="209">
        <f t="shared" si="32"/>
        <v>0</v>
      </c>
      <c r="AC35" s="205">
        <f t="shared" si="33"/>
        <v>0</v>
      </c>
      <c r="AD35" s="210">
        <f t="shared" si="34"/>
        <v>14.786111111112405</v>
      </c>
      <c r="AE35" s="210">
        <f t="shared" si="35"/>
        <v>14.786111111112405</v>
      </c>
      <c r="AF35" s="210">
        <f t="shared" si="36"/>
        <v>0</v>
      </c>
      <c r="AG35" s="210">
        <f t="shared" si="37"/>
        <v>0</v>
      </c>
    </row>
  </sheetData>
  <sheetProtection algorithmName="SHA-512" hashValue="IVSd+7jF1eFh/9jomj67EpT4DS5ZLwCRIGZho9nMkN5kjDIZ0tju5tCysnnAeSg7KhagumvpX+7iYeFGOLZFjg==" saltValue="oYrkyo34/q9p8Mm+4n51oA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335" priority="3" operator="equal">
      <formula>"OK"</formula>
    </cfRule>
    <cfRule type="cellIs" dxfId="334" priority="4" operator="equal">
      <formula>"warning"</formula>
    </cfRule>
  </conditionalFormatting>
  <conditionalFormatting sqref="F13">
    <cfRule type="cellIs" dxfId="333" priority="1" operator="equal">
      <formula>"OK"</formula>
    </cfRule>
    <cfRule type="cellIs" dxfId="332" priority="2" operator="equal">
      <formula>"Error!!"</formula>
    </cfRule>
  </conditionalFormatting>
  <conditionalFormatting sqref="E15:H15 K15:L15">
    <cfRule type="expression" dxfId="331" priority="5">
      <formula>+$D15=#REF!</formula>
    </cfRule>
    <cfRule type="expression" dxfId="330" priority="6">
      <formula>+$D15=#REF!</formula>
    </cfRule>
  </conditionalFormatting>
  <conditionalFormatting sqref="D15 K16:L16 D16:H35 J17:L35">
    <cfRule type="expression" dxfId="329" priority="7">
      <formula>+$D15=$AG$8</formula>
    </cfRule>
    <cfRule type="expression" dxfId="328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5:B16" xr:uid="{DF92C5EE-8796-465E-8962-CDC43936CECC}">
      <formula1>$AE$4:$AE$6</formula1>
    </dataValidation>
    <dataValidation type="list" allowBlank="1" showInputMessage="1" showErrorMessage="1" promptTitle="Trade Direction" prompt="Select from List" sqref="C15:C16" xr:uid="{1DAB9098-AF19-437D-8081-0752F8F81916}">
      <formula1>$AG$4:$AG$5</formula1>
    </dataValidation>
    <dataValidation type="list" allowBlank="1" showInputMessage="1" showErrorMessage="1" promptTitle="Instrument Type" prompt="Select Type from List_x000a_" sqref="B17:B35" xr:uid="{94EDD2AE-0B4A-4397-AF38-628FFACC3DF2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EFCD4-2ECC-4A6B-8B13-798EFE5F2AFA}">
  <sheetPr codeName="Hoja16">
    <pageSetUpPr fitToPage="1"/>
  </sheetPr>
  <dimension ref="A1:AX27"/>
  <sheetViews>
    <sheetView showGridLines="0" showZeros="0" tabSelected="1" zoomScale="115" zoomScaleNormal="115" zoomScalePageLayoutView="99" workbookViewId="0">
      <pane ySplit="16" topLeftCell="A17" activePane="bottomLeft" state="frozen"/>
      <selection activeCell="E2" sqref="E2:N5"/>
      <selection pane="bottomLeft" activeCell="E2" sqref="E2:N5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123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COUNTA(Tabla336106734810[Inst])</f>
        <v>11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4.4400000000000004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0</v>
      </c>
      <c r="W6" s="18"/>
      <c r="X6" s="17">
        <f>+X13</f>
        <v>0</v>
      </c>
      <c r="Y6" s="19"/>
      <c r="Z6" s="17">
        <f>+Z13</f>
        <v>4.4400000000000004</v>
      </c>
      <c r="AA6" s="19"/>
      <c r="AB6" s="17">
        <f>+AB13</f>
        <v>0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COUNTIF(Tabla336106734810[No. of Rs],"&gt;0")</f>
        <v>4</v>
      </c>
      <c r="G7" s="24">
        <f>IFERROR((F7/$F$6),"")</f>
        <v>0.36363636363636365</v>
      </c>
      <c r="H7" s="78">
        <f>IFERROR((+P13/F7),"")</f>
        <v>2.7175000000000002</v>
      </c>
      <c r="I7" s="227">
        <f>H7/H9</f>
        <v>2.9583981337480565</v>
      </c>
      <c r="J7" s="227">
        <f>AVERAGE(Tabla336106734810[No. of Rs])</f>
        <v>0.40363636363636368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0</v>
      </c>
      <c r="W7" s="27"/>
      <c r="X7" s="26">
        <f>IFERROR((X6/N6),"")</f>
        <v>0</v>
      </c>
      <c r="Y7" s="28"/>
      <c r="Z7" s="26">
        <f>IFERROR((Z6/N6),"")</f>
        <v>1</v>
      </c>
      <c r="AA7" s="28"/>
      <c r="AB7" s="26">
        <f>IFERROR((AB6/N6),"")</f>
        <v>0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COUNTIF(Tabla336106734810[No. of Rs],"=0")</f>
        <v>0</v>
      </c>
      <c r="G8" s="24">
        <f>IFERROR((F8/$F$6),"")</f>
        <v>0</v>
      </c>
      <c r="H8" s="78"/>
      <c r="I8" s="228"/>
      <c r="J8" s="228"/>
      <c r="K8" s="163"/>
      <c r="L8" s="212" t="s">
        <v>112</v>
      </c>
      <c r="M8" s="213"/>
      <c r="N8" s="195">
        <f ca="1">OFFSET(Tabla336106734810[[#Headers],[Equity]],1,0)</f>
        <v>104440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COUNTIF(Tabla336106734810[No. of Rs],"&lt;0")</f>
        <v>7</v>
      </c>
      <c r="G9" s="32">
        <f>IFERROR((F9/$F$6),"")</f>
        <v>0.63636363636363635</v>
      </c>
      <c r="H9" s="79">
        <f>IFERROR((-Q13/F9),"")</f>
        <v>0.91857142857142848</v>
      </c>
      <c r="I9" s="229"/>
      <c r="J9" s="229"/>
      <c r="K9" s="149"/>
      <c r="L9" s="230" t="s">
        <v>106</v>
      </c>
      <c r="M9" s="231"/>
      <c r="N9" s="125">
        <f ca="1">MAX(Tabla336106734810[Drawdown])</f>
        <v>0.02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>
        <f ca="1">OFFSET(Tabla336106734810[[#Headers],[Drawdown]],1,0)</f>
        <v>1.5738384695127696E-2</v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COUNTIF(Tabla336106734810[Heat],"&lt;0")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IF(COUNTIFS(Tabla336106734810[O/C],"O")&lt;1,"None",COUNTIFS(Tabla336106734810[O/C],"O"))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SUM(Tabla336106734810[No. of Rs])</f>
        <v>4.4400000000000004</v>
      </c>
      <c r="O13" s="42">
        <f>SUM(Tabla336106734810[Heat])</f>
        <v>0</v>
      </c>
      <c r="P13" s="43">
        <f>SUM(Tabla336106734810[[ TR WIN]])</f>
        <v>10.870000000000001</v>
      </c>
      <c r="Q13" s="43">
        <f>SUM(Tabla336106734810[[ TR LOSS]])</f>
        <v>-6.43</v>
      </c>
      <c r="R13" s="114"/>
      <c r="S13" s="115"/>
      <c r="T13" s="115"/>
      <c r="U13" s="121"/>
      <c r="V13" s="44">
        <f>SUM(Tabla336106734810[Currency])</f>
        <v>0</v>
      </c>
      <c r="W13" s="44">
        <f>SUM(Tabla336106734810[Heat3])</f>
        <v>0</v>
      </c>
      <c r="X13" s="44">
        <f>SUM(Tabla336106734810[Commodities])</f>
        <v>0</v>
      </c>
      <c r="Y13" s="44">
        <f>SUM(Tabla336106734810[Heat4])</f>
        <v>0</v>
      </c>
      <c r="Z13" s="44">
        <f>SUM(Tabla336106734810[Index])</f>
        <v>4.4400000000000004</v>
      </c>
      <c r="AA13" s="44">
        <f>SUM(Tabla336106734810[Heat5])</f>
        <v>0</v>
      </c>
      <c r="AB13" s="44">
        <f>SUM(Tabla336106734810[Cryptocurrency])</f>
        <v>0</v>
      </c>
      <c r="AC13" s="44">
        <f>SUM(Tabla336106734810[Heat6])</f>
        <v>0</v>
      </c>
      <c r="AD13" s="75">
        <f>AVERAGEIF(Tabla336106734810[Length of 
Trade],"&lt;&gt;0")</f>
        <v>14.885669191918913</v>
      </c>
      <c r="AE13" s="75">
        <f>AVERAGEIF(Tabla336106734810[Win],"&lt;&gt;0")</f>
        <v>31.387500000000728</v>
      </c>
      <c r="AF13" s="75">
        <f>AVERAGEIF(Tabla336106734810[Loss],"&lt;&gt;0")</f>
        <v>5.4560515873007329</v>
      </c>
      <c r="AG13" s="76" t="e">
        <f>AVERAGEIF(Tabla336106734810[Breakeven],"&lt;&gt;0")</f>
        <v>#DIV/0!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2:33" ht="15" customHeight="1" x14ac:dyDescent="0.3">
      <c r="B17" s="196" t="s">
        <v>5</v>
      </c>
      <c r="C17" s="197" t="s">
        <v>15</v>
      </c>
      <c r="D17" s="198" t="str">
        <f t="shared" ref="D17:D27" si="0">IF(E17&lt;&gt;"",IF(K17&lt;&gt;"","C","O"),"")</f>
        <v>C</v>
      </c>
      <c r="E17" s="199">
        <v>43812.017361111109</v>
      </c>
      <c r="F17" s="200" t="s">
        <v>91</v>
      </c>
      <c r="G17" s="201">
        <v>13299.1</v>
      </c>
      <c r="H17" s="201">
        <v>13060.7</v>
      </c>
      <c r="I17" s="202">
        <f t="shared" ref="I17:I27" si="1">ABS(G17-H17)</f>
        <v>238.39999999999964</v>
      </c>
      <c r="J17" s="201">
        <v>14252.7</v>
      </c>
      <c r="K17" s="199">
        <v>43818.609722222223</v>
      </c>
      <c r="L17" s="201">
        <v>13139.82</v>
      </c>
      <c r="M17" s="203">
        <f t="shared" ref="M17:M27" si="2">ROUND(IF(C17="L",(L17-G17),(G17-L17)),4)</f>
        <v>-159.28</v>
      </c>
      <c r="N17" s="204">
        <f t="shared" ref="N17:N27" si="3">IFERROR(ROUND((M17/I17),2),"")</f>
        <v>-0.67</v>
      </c>
      <c r="O17" s="205">
        <f t="shared" ref="O17:O27" si="4">IF(D17="O",IF(N17&lt;0,N17,0),0)</f>
        <v>0</v>
      </c>
      <c r="P17" s="206">
        <f t="shared" ref="P17:P27" si="5">IF(N17&gt;= 0,N17,0)</f>
        <v>0</v>
      </c>
      <c r="Q17" s="206">
        <f t="shared" ref="Q17:Q27" si="6">IF(N17&lt;0,N17,0)</f>
        <v>-0.67</v>
      </c>
      <c r="R17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17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104440</v>
      </c>
      <c r="T17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106110</v>
      </c>
      <c r="U17" s="208">
        <f ca="1">IF(Tabla336106734810[[#This Row],[Equity]]&lt;Tabla336106734810[[#This Row],[Equity Peak]],(Tabla336106734810[[#This Row],[Equity Peak]]-Tabla336106734810[[#This Row],[Equity]])/Tabla336106734810[[#This Row],[Equity Peak]],"")</f>
        <v>1.5738384695127696E-2</v>
      </c>
      <c r="V17" s="209">
        <f t="shared" ref="V17:V27" si="7">IF(B17="FX",N17,0)</f>
        <v>0</v>
      </c>
      <c r="W17" s="209">
        <f t="shared" ref="W17:W27" si="8">IF(D17="O",IF(V17&lt;0,V17,0),0)</f>
        <v>0</v>
      </c>
      <c r="X17" s="209">
        <f t="shared" ref="X17:X27" si="9">IF(B17="COM",N17,0)</f>
        <v>0</v>
      </c>
      <c r="Y17" s="209">
        <f t="shared" ref="Y17:Y27" si="10">IF(D17="O",IF(X17&lt;0,X17,0),0)</f>
        <v>0</v>
      </c>
      <c r="Z17" s="209">
        <f t="shared" ref="Z17:Z27" si="11">IF(B17="IND",N17,0)</f>
        <v>-0.67</v>
      </c>
      <c r="AA17" s="205">
        <f t="shared" ref="AA17:AA27" si="12">IF(D17="O",IF(Z17&lt;0,Z17,0),0)</f>
        <v>0</v>
      </c>
      <c r="AB17" s="209">
        <f t="shared" ref="AB17:AB27" si="13">IF(B17="CRYPTO",N17,0)</f>
        <v>0</v>
      </c>
      <c r="AC17" s="205">
        <f t="shared" ref="AC17:AC27" si="14">IF(D17="O",IF(AB17&lt;0,AB17,0),0)</f>
        <v>0</v>
      </c>
      <c r="AD17" s="210">
        <f t="shared" ref="AD17:AD27" si="15">IF(K17&lt;&gt;"",K17-E17,0)</f>
        <v>6.5923611111138598</v>
      </c>
      <c r="AE17" s="210">
        <f t="shared" ref="AE17:AE27" si="16">IF(N17&gt;0,AD17,0)</f>
        <v>0</v>
      </c>
      <c r="AF17" s="210">
        <f t="shared" ref="AF17:AF27" si="17">IF(N17&lt;0,AD17,0)</f>
        <v>6.5923611111138598</v>
      </c>
      <c r="AG17" s="210">
        <f t="shared" ref="AG17:AG27" si="18">IF(N17=0,AD17,0)</f>
        <v>0</v>
      </c>
    </row>
    <row r="18" spans="2:33" ht="15" customHeight="1" x14ac:dyDescent="0.3">
      <c r="B18" s="196" t="s">
        <v>5</v>
      </c>
      <c r="C18" s="197" t="s">
        <v>15</v>
      </c>
      <c r="D18" s="198" t="str">
        <f t="shared" si="0"/>
        <v>C</v>
      </c>
      <c r="E18" s="199">
        <v>43808.375</v>
      </c>
      <c r="F18" s="200" t="s">
        <v>91</v>
      </c>
      <c r="G18" s="201">
        <v>13174.82</v>
      </c>
      <c r="H18" s="201">
        <v>12998.4</v>
      </c>
      <c r="I18" s="202">
        <f t="shared" si="1"/>
        <v>176.42000000000007</v>
      </c>
      <c r="J18" s="201">
        <v>13880.5</v>
      </c>
      <c r="K18" s="199">
        <v>43809.410416666666</v>
      </c>
      <c r="L18" s="201">
        <v>12998.4</v>
      </c>
      <c r="M18" s="203">
        <f t="shared" si="2"/>
        <v>-176.42</v>
      </c>
      <c r="N18" s="204">
        <f t="shared" si="3"/>
        <v>-1</v>
      </c>
      <c r="O18" s="205">
        <f t="shared" si="4"/>
        <v>0</v>
      </c>
      <c r="P18" s="206">
        <f t="shared" si="5"/>
        <v>0</v>
      </c>
      <c r="Q18" s="206">
        <f t="shared" si="6"/>
        <v>-1</v>
      </c>
      <c r="R18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18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105110</v>
      </c>
      <c r="T18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106110</v>
      </c>
      <c r="U18" s="208">
        <f ca="1">IF(Tabla336106734810[[#This Row],[Equity]]&lt;Tabla336106734810[[#This Row],[Equity Peak]],(Tabla336106734810[[#This Row],[Equity Peak]]-Tabla336106734810[[#This Row],[Equity]])/Tabla336106734810[[#This Row],[Equity Peak]],"")</f>
        <v>9.4241824521722733E-3</v>
      </c>
      <c r="V18" s="209">
        <f t="shared" si="7"/>
        <v>0</v>
      </c>
      <c r="W18" s="209">
        <f t="shared" si="8"/>
        <v>0</v>
      </c>
      <c r="X18" s="209">
        <f t="shared" si="9"/>
        <v>0</v>
      </c>
      <c r="Y18" s="209">
        <f t="shared" si="10"/>
        <v>0</v>
      </c>
      <c r="Z18" s="209">
        <f t="shared" si="11"/>
        <v>-1</v>
      </c>
      <c r="AA18" s="205">
        <f t="shared" si="12"/>
        <v>0</v>
      </c>
      <c r="AB18" s="209">
        <f t="shared" si="13"/>
        <v>0</v>
      </c>
      <c r="AC18" s="205">
        <f t="shared" si="14"/>
        <v>0</v>
      </c>
      <c r="AD18" s="210">
        <f t="shared" si="15"/>
        <v>1.0354166666656965</v>
      </c>
      <c r="AE18" s="210">
        <f t="shared" si="16"/>
        <v>0</v>
      </c>
      <c r="AF18" s="210">
        <f t="shared" si="17"/>
        <v>1.0354166666656965</v>
      </c>
      <c r="AG18" s="210">
        <f t="shared" si="18"/>
        <v>0</v>
      </c>
    </row>
    <row r="19" spans="2:33" ht="15" customHeight="1" x14ac:dyDescent="0.3">
      <c r="B19" s="196" t="s">
        <v>5</v>
      </c>
      <c r="C19" s="197" t="s">
        <v>15</v>
      </c>
      <c r="D19" s="198" t="str">
        <f t="shared" si="0"/>
        <v>C</v>
      </c>
      <c r="E19" s="199">
        <v>43752.041666666664</v>
      </c>
      <c r="F19" s="200" t="s">
        <v>91</v>
      </c>
      <c r="G19" s="201">
        <v>12485.94</v>
      </c>
      <c r="H19" s="201">
        <v>12162.84</v>
      </c>
      <c r="I19" s="202">
        <f t="shared" si="1"/>
        <v>323.10000000000036</v>
      </c>
      <c r="J19" s="201">
        <v>13778.34</v>
      </c>
      <c r="K19" s="199">
        <v>43801.708333333336</v>
      </c>
      <c r="L19" s="201">
        <v>13049.77</v>
      </c>
      <c r="M19" s="203">
        <f t="shared" si="2"/>
        <v>563.83000000000004</v>
      </c>
      <c r="N19" s="204">
        <f t="shared" si="3"/>
        <v>1.75</v>
      </c>
      <c r="O19" s="205">
        <f t="shared" si="4"/>
        <v>0</v>
      </c>
      <c r="P19" s="206">
        <f t="shared" si="5"/>
        <v>1.75</v>
      </c>
      <c r="Q19" s="206">
        <f t="shared" si="6"/>
        <v>0</v>
      </c>
      <c r="R19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19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106110</v>
      </c>
      <c r="T19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106110</v>
      </c>
      <c r="U19" s="208" t="str">
        <f ca="1">IF(Tabla336106734810[[#This Row],[Equity]]&lt;Tabla336106734810[[#This Row],[Equity Peak]],(Tabla336106734810[[#This Row],[Equity Peak]]-Tabla336106734810[[#This Row],[Equity]])/Tabla336106734810[[#This Row],[Equity Peak]],"")</f>
        <v/>
      </c>
      <c r="V19" s="209">
        <f t="shared" si="7"/>
        <v>0</v>
      </c>
      <c r="W19" s="209">
        <f t="shared" si="8"/>
        <v>0</v>
      </c>
      <c r="X19" s="209">
        <f t="shared" si="9"/>
        <v>0</v>
      </c>
      <c r="Y19" s="209">
        <f t="shared" si="10"/>
        <v>0</v>
      </c>
      <c r="Z19" s="209">
        <f t="shared" si="11"/>
        <v>1.75</v>
      </c>
      <c r="AA19" s="205">
        <f t="shared" si="12"/>
        <v>0</v>
      </c>
      <c r="AB19" s="209">
        <f t="shared" si="13"/>
        <v>0</v>
      </c>
      <c r="AC19" s="205">
        <f t="shared" si="14"/>
        <v>0</v>
      </c>
      <c r="AD19" s="210">
        <f t="shared" si="15"/>
        <v>49.666666666671517</v>
      </c>
      <c r="AE19" s="210">
        <f t="shared" si="16"/>
        <v>49.666666666671517</v>
      </c>
      <c r="AF19" s="210">
        <f t="shared" si="17"/>
        <v>0</v>
      </c>
      <c r="AG19" s="210">
        <f t="shared" si="18"/>
        <v>0</v>
      </c>
    </row>
    <row r="20" spans="2:33" ht="15" customHeight="1" x14ac:dyDescent="0.3">
      <c r="B20" s="196" t="s">
        <v>5</v>
      </c>
      <c r="C20" s="197" t="s">
        <v>13</v>
      </c>
      <c r="D20" s="198" t="str">
        <f t="shared" si="0"/>
        <v>C</v>
      </c>
      <c r="E20" s="199">
        <v>43742.017361111109</v>
      </c>
      <c r="F20" s="200" t="s">
        <v>91</v>
      </c>
      <c r="G20" s="201">
        <v>11979.52</v>
      </c>
      <c r="H20" s="201">
        <v>12233.8</v>
      </c>
      <c r="I20" s="202">
        <f t="shared" si="1"/>
        <v>254.27999999999884</v>
      </c>
      <c r="J20" s="201">
        <v>10962.39</v>
      </c>
      <c r="K20" s="199">
        <v>43749.354166666664</v>
      </c>
      <c r="L20" s="201">
        <v>12233.8</v>
      </c>
      <c r="M20" s="203">
        <f t="shared" si="2"/>
        <v>-254.28</v>
      </c>
      <c r="N20" s="204">
        <f t="shared" si="3"/>
        <v>-1</v>
      </c>
      <c r="O20" s="205">
        <f t="shared" si="4"/>
        <v>0</v>
      </c>
      <c r="P20" s="206">
        <f t="shared" si="5"/>
        <v>0</v>
      </c>
      <c r="Q20" s="206">
        <f t="shared" si="6"/>
        <v>-1</v>
      </c>
      <c r="R20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20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104360</v>
      </c>
      <c r="T20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105360</v>
      </c>
      <c r="U20" s="208">
        <f ca="1">IF(Tabla336106734810[[#This Row],[Equity]]&lt;Tabla336106734810[[#This Row],[Equity Peak]],(Tabla336106734810[[#This Row],[Equity Peak]]-Tabla336106734810[[#This Row],[Equity]])/Tabla336106734810[[#This Row],[Equity Peak]],"")</f>
        <v>9.4912680334092638E-3</v>
      </c>
      <c r="V20" s="209">
        <f t="shared" si="7"/>
        <v>0</v>
      </c>
      <c r="W20" s="209">
        <f t="shared" si="8"/>
        <v>0</v>
      </c>
      <c r="X20" s="209">
        <f t="shared" si="9"/>
        <v>0</v>
      </c>
      <c r="Y20" s="209">
        <f t="shared" si="10"/>
        <v>0</v>
      </c>
      <c r="Z20" s="209">
        <f t="shared" si="11"/>
        <v>-1</v>
      </c>
      <c r="AA20" s="205">
        <f t="shared" si="12"/>
        <v>0</v>
      </c>
      <c r="AB20" s="209">
        <f t="shared" si="13"/>
        <v>0</v>
      </c>
      <c r="AC20" s="205">
        <f t="shared" si="14"/>
        <v>0</v>
      </c>
      <c r="AD20" s="210">
        <f t="shared" si="15"/>
        <v>7.3368055555547471</v>
      </c>
      <c r="AE20" s="210">
        <f t="shared" si="16"/>
        <v>0</v>
      </c>
      <c r="AF20" s="210">
        <f t="shared" si="17"/>
        <v>7.3368055555547471</v>
      </c>
      <c r="AG20" s="210">
        <f t="shared" si="18"/>
        <v>0</v>
      </c>
    </row>
    <row r="21" spans="2:33" ht="15" customHeight="1" x14ac:dyDescent="0.3">
      <c r="B21" s="196" t="s">
        <v>5</v>
      </c>
      <c r="C21" s="197" t="s">
        <v>13</v>
      </c>
      <c r="D21" s="198" t="str">
        <f t="shared" si="0"/>
        <v>C</v>
      </c>
      <c r="E21" s="199">
        <v>43676.833333333336</v>
      </c>
      <c r="F21" s="200" t="s">
        <v>91</v>
      </c>
      <c r="G21" s="201">
        <v>12104.61</v>
      </c>
      <c r="H21" s="201">
        <v>12306.42</v>
      </c>
      <c r="I21" s="202">
        <f t="shared" si="1"/>
        <v>201.80999999999949</v>
      </c>
      <c r="J21" s="201">
        <v>11297.37</v>
      </c>
      <c r="K21" s="199">
        <v>43692.606944444444</v>
      </c>
      <c r="L21" s="201">
        <v>11297.37</v>
      </c>
      <c r="M21" s="203">
        <f t="shared" si="2"/>
        <v>807.24</v>
      </c>
      <c r="N21" s="204">
        <f t="shared" si="3"/>
        <v>4</v>
      </c>
      <c r="O21" s="205">
        <f t="shared" si="4"/>
        <v>0</v>
      </c>
      <c r="P21" s="206">
        <f t="shared" si="5"/>
        <v>4</v>
      </c>
      <c r="Q21" s="206">
        <f t="shared" si="6"/>
        <v>0</v>
      </c>
      <c r="R21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21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105360</v>
      </c>
      <c r="T21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105360</v>
      </c>
      <c r="U21" s="208" t="str">
        <f ca="1">IF(Tabla336106734810[[#This Row],[Equity]]&lt;Tabla336106734810[[#This Row],[Equity Peak]],(Tabla336106734810[[#This Row],[Equity Peak]]-Tabla336106734810[[#This Row],[Equity]])/Tabla336106734810[[#This Row],[Equity Peak]],"")</f>
        <v/>
      </c>
      <c r="V21" s="209">
        <f t="shared" si="7"/>
        <v>0</v>
      </c>
      <c r="W21" s="209">
        <f t="shared" si="8"/>
        <v>0</v>
      </c>
      <c r="X21" s="209">
        <f t="shared" si="9"/>
        <v>0</v>
      </c>
      <c r="Y21" s="209">
        <f t="shared" si="10"/>
        <v>0</v>
      </c>
      <c r="Z21" s="209">
        <f t="shared" si="11"/>
        <v>4</v>
      </c>
      <c r="AA21" s="205">
        <f t="shared" si="12"/>
        <v>0</v>
      </c>
      <c r="AB21" s="209">
        <f t="shared" si="13"/>
        <v>0</v>
      </c>
      <c r="AC21" s="205">
        <f t="shared" si="14"/>
        <v>0</v>
      </c>
      <c r="AD21" s="210">
        <f t="shared" si="15"/>
        <v>15.773611111108039</v>
      </c>
      <c r="AE21" s="210">
        <f t="shared" si="16"/>
        <v>15.773611111108039</v>
      </c>
      <c r="AF21" s="210">
        <f t="shared" si="17"/>
        <v>0</v>
      </c>
      <c r="AG21" s="210">
        <f t="shared" si="18"/>
        <v>0</v>
      </c>
    </row>
    <row r="22" spans="2:33" ht="15" customHeight="1" x14ac:dyDescent="0.3">
      <c r="B22" s="196" t="s">
        <v>5</v>
      </c>
      <c r="C22" s="197" t="s">
        <v>15</v>
      </c>
      <c r="D22" s="198" t="str">
        <f t="shared" si="0"/>
        <v>C</v>
      </c>
      <c r="E22" s="199">
        <v>43670.017361111109</v>
      </c>
      <c r="F22" s="200" t="s">
        <v>91</v>
      </c>
      <c r="G22" s="201">
        <v>12519.94</v>
      </c>
      <c r="H22" s="201">
        <v>12338.11</v>
      </c>
      <c r="I22" s="202">
        <f t="shared" si="1"/>
        <v>181.82999999999993</v>
      </c>
      <c r="J22" s="201">
        <v>13247.27</v>
      </c>
      <c r="K22" s="199">
        <v>43671.744444444441</v>
      </c>
      <c r="L22" s="201">
        <v>12374.49</v>
      </c>
      <c r="M22" s="203">
        <f t="shared" si="2"/>
        <v>-145.44999999999999</v>
      </c>
      <c r="N22" s="204">
        <f t="shared" si="3"/>
        <v>-0.8</v>
      </c>
      <c r="O22" s="205">
        <f t="shared" si="4"/>
        <v>0</v>
      </c>
      <c r="P22" s="206">
        <f t="shared" si="5"/>
        <v>0</v>
      </c>
      <c r="Q22" s="206">
        <f t="shared" si="6"/>
        <v>-0.8</v>
      </c>
      <c r="R22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22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101360</v>
      </c>
      <c r="T22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102160</v>
      </c>
      <c r="U22" s="208">
        <f ca="1">IF(Tabla336106734810[[#This Row],[Equity]]&lt;Tabla336106734810[[#This Row],[Equity Peak]],(Tabla336106734810[[#This Row],[Equity Peak]]-Tabla336106734810[[#This Row],[Equity]])/Tabla336106734810[[#This Row],[Equity Peak]],"")</f>
        <v>7.8308535630383716E-3</v>
      </c>
      <c r="V22" s="209">
        <f t="shared" si="7"/>
        <v>0</v>
      </c>
      <c r="W22" s="209">
        <f t="shared" si="8"/>
        <v>0</v>
      </c>
      <c r="X22" s="209">
        <f t="shared" si="9"/>
        <v>0</v>
      </c>
      <c r="Y22" s="209">
        <f t="shared" si="10"/>
        <v>0</v>
      </c>
      <c r="Z22" s="209">
        <f t="shared" si="11"/>
        <v>-0.8</v>
      </c>
      <c r="AA22" s="205">
        <f t="shared" si="12"/>
        <v>0</v>
      </c>
      <c r="AB22" s="209">
        <f t="shared" si="13"/>
        <v>0</v>
      </c>
      <c r="AC22" s="205">
        <f t="shared" si="14"/>
        <v>0</v>
      </c>
      <c r="AD22" s="210">
        <f t="shared" si="15"/>
        <v>1.7270833333313931</v>
      </c>
      <c r="AE22" s="210">
        <f t="shared" si="16"/>
        <v>0</v>
      </c>
      <c r="AF22" s="210">
        <f t="shared" si="17"/>
        <v>1.7270833333313931</v>
      </c>
      <c r="AG22" s="210">
        <f t="shared" si="18"/>
        <v>0</v>
      </c>
    </row>
    <row r="23" spans="2:33" ht="15" customHeight="1" x14ac:dyDescent="0.3">
      <c r="B23" s="196" t="s">
        <v>5</v>
      </c>
      <c r="C23" s="197" t="s">
        <v>15</v>
      </c>
      <c r="D23" s="198" t="str">
        <f t="shared" si="0"/>
        <v>C</v>
      </c>
      <c r="E23" s="199">
        <v>43627.5</v>
      </c>
      <c r="F23" s="200" t="s">
        <v>91</v>
      </c>
      <c r="G23" s="201">
        <v>12184.28</v>
      </c>
      <c r="H23" s="201">
        <v>11957.07</v>
      </c>
      <c r="I23" s="202">
        <f t="shared" si="1"/>
        <v>227.21000000000095</v>
      </c>
      <c r="J23" s="201">
        <v>13093.1</v>
      </c>
      <c r="K23" s="199">
        <v>43655.40625</v>
      </c>
      <c r="L23" s="201">
        <v>12438.51</v>
      </c>
      <c r="M23" s="203">
        <f t="shared" si="2"/>
        <v>254.23</v>
      </c>
      <c r="N23" s="204">
        <f t="shared" si="3"/>
        <v>1.1200000000000001</v>
      </c>
      <c r="O23" s="205">
        <f t="shared" si="4"/>
        <v>0</v>
      </c>
      <c r="P23" s="206">
        <f t="shared" si="5"/>
        <v>1.1200000000000001</v>
      </c>
      <c r="Q23" s="206">
        <f t="shared" si="6"/>
        <v>0</v>
      </c>
      <c r="R23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23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102160</v>
      </c>
      <c r="T23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102160</v>
      </c>
      <c r="U23" s="208" t="str">
        <f ca="1">IF(Tabla336106734810[[#This Row],[Equity]]&lt;Tabla336106734810[[#This Row],[Equity Peak]],(Tabla336106734810[[#This Row],[Equity Peak]]-Tabla336106734810[[#This Row],[Equity]])/Tabla336106734810[[#This Row],[Equity Peak]],"")</f>
        <v/>
      </c>
      <c r="V23" s="209">
        <f t="shared" si="7"/>
        <v>0</v>
      </c>
      <c r="W23" s="209">
        <f t="shared" si="8"/>
        <v>0</v>
      </c>
      <c r="X23" s="209">
        <f t="shared" si="9"/>
        <v>0</v>
      </c>
      <c r="Y23" s="209">
        <f t="shared" si="10"/>
        <v>0</v>
      </c>
      <c r="Z23" s="209">
        <f t="shared" si="11"/>
        <v>1.1200000000000001</v>
      </c>
      <c r="AA23" s="205">
        <f t="shared" si="12"/>
        <v>0</v>
      </c>
      <c r="AB23" s="209">
        <f t="shared" si="13"/>
        <v>0</v>
      </c>
      <c r="AC23" s="205">
        <f t="shared" si="14"/>
        <v>0</v>
      </c>
      <c r="AD23" s="210">
        <f t="shared" si="15"/>
        <v>27.90625</v>
      </c>
      <c r="AE23" s="210">
        <f t="shared" si="16"/>
        <v>27.90625</v>
      </c>
      <c r="AF23" s="210">
        <f t="shared" si="17"/>
        <v>0</v>
      </c>
      <c r="AG23" s="210">
        <f t="shared" si="18"/>
        <v>0</v>
      </c>
    </row>
    <row r="24" spans="2:33" ht="15" customHeight="1" x14ac:dyDescent="0.3">
      <c r="B24" s="196" t="s">
        <v>5</v>
      </c>
      <c r="C24" s="197" t="s">
        <v>15</v>
      </c>
      <c r="D24" s="198" t="str">
        <f t="shared" si="0"/>
        <v>C</v>
      </c>
      <c r="E24" s="199">
        <v>43602.5</v>
      </c>
      <c r="F24" s="200" t="s">
        <v>91</v>
      </c>
      <c r="G24" s="201">
        <v>12216.05</v>
      </c>
      <c r="H24" s="201">
        <v>11904.66</v>
      </c>
      <c r="I24" s="202">
        <f t="shared" si="1"/>
        <v>311.38999999999942</v>
      </c>
      <c r="J24" s="201">
        <v>13461.59</v>
      </c>
      <c r="K24" s="199">
        <v>43614.407638888886</v>
      </c>
      <c r="L24" s="201">
        <v>11916.65</v>
      </c>
      <c r="M24" s="203">
        <f t="shared" si="2"/>
        <v>-299.39999999999998</v>
      </c>
      <c r="N24" s="204">
        <f t="shared" si="3"/>
        <v>-0.96</v>
      </c>
      <c r="O24" s="205">
        <f t="shared" si="4"/>
        <v>0</v>
      </c>
      <c r="P24" s="206">
        <f t="shared" si="5"/>
        <v>0</v>
      </c>
      <c r="Q24" s="206">
        <f t="shared" si="6"/>
        <v>-0.96</v>
      </c>
      <c r="R24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24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101040</v>
      </c>
      <c r="T24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102000</v>
      </c>
      <c r="U24" s="208">
        <f ca="1">IF(Tabla336106734810[[#This Row],[Equity]]&lt;Tabla336106734810[[#This Row],[Equity Peak]],(Tabla336106734810[[#This Row],[Equity Peak]]-Tabla336106734810[[#This Row],[Equity]])/Tabla336106734810[[#This Row],[Equity Peak]],"")</f>
        <v>9.4117647058823521E-3</v>
      </c>
      <c r="V24" s="209">
        <f t="shared" si="7"/>
        <v>0</v>
      </c>
      <c r="W24" s="209">
        <f t="shared" si="8"/>
        <v>0</v>
      </c>
      <c r="X24" s="209">
        <f t="shared" si="9"/>
        <v>0</v>
      </c>
      <c r="Y24" s="209">
        <f t="shared" si="10"/>
        <v>0</v>
      </c>
      <c r="Z24" s="209">
        <f t="shared" si="11"/>
        <v>-0.96</v>
      </c>
      <c r="AA24" s="205">
        <f t="shared" si="12"/>
        <v>0</v>
      </c>
      <c r="AB24" s="209">
        <f t="shared" si="13"/>
        <v>0</v>
      </c>
      <c r="AC24" s="205">
        <f t="shared" si="14"/>
        <v>0</v>
      </c>
      <c r="AD24" s="210">
        <f t="shared" si="15"/>
        <v>11.90763888888614</v>
      </c>
      <c r="AE24" s="210">
        <f t="shared" si="16"/>
        <v>0</v>
      </c>
      <c r="AF24" s="210">
        <f t="shared" si="17"/>
        <v>11.90763888888614</v>
      </c>
      <c r="AG24" s="210">
        <f t="shared" si="18"/>
        <v>0</v>
      </c>
    </row>
    <row r="25" spans="2:33" ht="15" customHeight="1" x14ac:dyDescent="0.3">
      <c r="B25" s="196" t="s">
        <v>5</v>
      </c>
      <c r="C25" s="197" t="s">
        <v>15</v>
      </c>
      <c r="D25" s="198" t="str">
        <f t="shared" si="0"/>
        <v>C</v>
      </c>
      <c r="E25" s="199">
        <v>43556.375</v>
      </c>
      <c r="F25" s="200" t="s">
        <v>91</v>
      </c>
      <c r="G25" s="201">
        <v>11633.9</v>
      </c>
      <c r="H25" s="201">
        <v>11438.08</v>
      </c>
      <c r="I25" s="202">
        <f t="shared" si="1"/>
        <v>195.81999999999971</v>
      </c>
      <c r="J25" s="201">
        <v>12417.16</v>
      </c>
      <c r="K25" s="199">
        <v>43588.578472222223</v>
      </c>
      <c r="L25" s="201">
        <v>12417.16</v>
      </c>
      <c r="M25" s="203">
        <f t="shared" si="2"/>
        <v>783.26</v>
      </c>
      <c r="N25" s="204">
        <f t="shared" si="3"/>
        <v>4</v>
      </c>
      <c r="O25" s="205">
        <f t="shared" si="4"/>
        <v>0</v>
      </c>
      <c r="P25" s="206">
        <f t="shared" si="5"/>
        <v>4</v>
      </c>
      <c r="Q25" s="206">
        <f t="shared" si="6"/>
        <v>0</v>
      </c>
      <c r="R25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No</v>
      </c>
      <c r="S25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102000</v>
      </c>
      <c r="T25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102000</v>
      </c>
      <c r="U25" s="208" t="str">
        <f ca="1">IF(Tabla336106734810[[#This Row],[Equity]]&lt;Tabla336106734810[[#This Row],[Equity Peak]],(Tabla336106734810[[#This Row],[Equity Peak]]-Tabla336106734810[[#This Row],[Equity]])/Tabla336106734810[[#This Row],[Equity Peak]],"")</f>
        <v/>
      </c>
      <c r="V25" s="209">
        <f t="shared" si="7"/>
        <v>0</v>
      </c>
      <c r="W25" s="209">
        <f t="shared" si="8"/>
        <v>0</v>
      </c>
      <c r="X25" s="209">
        <f t="shared" si="9"/>
        <v>0</v>
      </c>
      <c r="Y25" s="209">
        <f t="shared" si="10"/>
        <v>0</v>
      </c>
      <c r="Z25" s="209">
        <f t="shared" si="11"/>
        <v>4</v>
      </c>
      <c r="AA25" s="205">
        <f t="shared" si="12"/>
        <v>0</v>
      </c>
      <c r="AB25" s="209">
        <f t="shared" si="13"/>
        <v>0</v>
      </c>
      <c r="AC25" s="205">
        <f t="shared" si="14"/>
        <v>0</v>
      </c>
      <c r="AD25" s="210">
        <f t="shared" si="15"/>
        <v>32.203472222223354</v>
      </c>
      <c r="AE25" s="210">
        <f t="shared" si="16"/>
        <v>32.203472222223354</v>
      </c>
      <c r="AF25" s="210">
        <f t="shared" si="17"/>
        <v>0</v>
      </c>
      <c r="AG25" s="210">
        <f t="shared" si="18"/>
        <v>0</v>
      </c>
    </row>
    <row r="26" spans="2:33" ht="15" customHeight="1" x14ac:dyDescent="0.3">
      <c r="B26" s="196" t="s">
        <v>5</v>
      </c>
      <c r="C26" s="197" t="s">
        <v>13</v>
      </c>
      <c r="D26" s="198" t="str">
        <f t="shared" si="0"/>
        <v>C</v>
      </c>
      <c r="E26" s="199">
        <v>43549.208333333336</v>
      </c>
      <c r="F26" s="200" t="s">
        <v>91</v>
      </c>
      <c r="G26" s="201">
        <v>11320.7</v>
      </c>
      <c r="H26" s="201">
        <v>11598.27</v>
      </c>
      <c r="I26" s="202">
        <f t="shared" si="1"/>
        <v>277.56999999999971</v>
      </c>
      <c r="J26" s="201">
        <v>10210.44</v>
      </c>
      <c r="K26" s="199">
        <v>43556</v>
      </c>
      <c r="L26" s="201">
        <v>11598.27</v>
      </c>
      <c r="M26" s="203">
        <f t="shared" si="2"/>
        <v>-277.57</v>
      </c>
      <c r="N26" s="204">
        <f t="shared" si="3"/>
        <v>-1</v>
      </c>
      <c r="O26" s="205">
        <f t="shared" si="4"/>
        <v>0</v>
      </c>
      <c r="P26" s="206">
        <f t="shared" si="5"/>
        <v>0</v>
      </c>
      <c r="Q26" s="206">
        <f t="shared" si="6"/>
        <v>-1</v>
      </c>
      <c r="R26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Yes</v>
      </c>
      <c r="S26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98000</v>
      </c>
      <c r="T26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100000</v>
      </c>
      <c r="U26" s="208">
        <f ca="1">IF(Tabla336106734810[[#This Row],[Equity]]&lt;Tabla336106734810[[#This Row],[Equity Peak]],(Tabla336106734810[[#This Row],[Equity Peak]]-Tabla336106734810[[#This Row],[Equity]])/Tabla336106734810[[#This Row],[Equity Peak]],"")</f>
        <v>0.02</v>
      </c>
      <c r="V26" s="209">
        <f t="shared" si="7"/>
        <v>0</v>
      </c>
      <c r="W26" s="209">
        <f t="shared" si="8"/>
        <v>0</v>
      </c>
      <c r="X26" s="209">
        <f t="shared" si="9"/>
        <v>0</v>
      </c>
      <c r="Y26" s="209">
        <f t="shared" si="10"/>
        <v>0</v>
      </c>
      <c r="Z26" s="209">
        <f t="shared" si="11"/>
        <v>-1</v>
      </c>
      <c r="AA26" s="205">
        <f t="shared" si="12"/>
        <v>0</v>
      </c>
      <c r="AB26" s="209">
        <f t="shared" si="13"/>
        <v>0</v>
      </c>
      <c r="AC26" s="205">
        <f t="shared" si="14"/>
        <v>0</v>
      </c>
      <c r="AD26" s="210">
        <f t="shared" si="15"/>
        <v>6.7916666666642413</v>
      </c>
      <c r="AE26" s="210">
        <f t="shared" si="16"/>
        <v>0</v>
      </c>
      <c r="AF26" s="210">
        <f t="shared" si="17"/>
        <v>6.7916666666642413</v>
      </c>
      <c r="AG26" s="210">
        <f t="shared" si="18"/>
        <v>0</v>
      </c>
    </row>
    <row r="27" spans="2:33" ht="15" customHeight="1" x14ac:dyDescent="0.3">
      <c r="B27" s="196" t="s">
        <v>5</v>
      </c>
      <c r="C27" s="197" t="s">
        <v>13</v>
      </c>
      <c r="D27" s="198" t="str">
        <f t="shared" si="0"/>
        <v>C</v>
      </c>
      <c r="E27" s="199">
        <v>43507.541666666664</v>
      </c>
      <c r="F27" s="200" t="s">
        <v>91</v>
      </c>
      <c r="G27" s="201">
        <v>11009.25</v>
      </c>
      <c r="H27" s="201">
        <v>11244.64</v>
      </c>
      <c r="I27" s="202">
        <f t="shared" si="1"/>
        <v>235.38999999999942</v>
      </c>
      <c r="J27" s="201">
        <v>10067.700000000001</v>
      </c>
      <c r="K27" s="199">
        <v>43510.343055555553</v>
      </c>
      <c r="L27" s="201">
        <v>11244.64</v>
      </c>
      <c r="M27" s="203">
        <f t="shared" si="2"/>
        <v>-235.39</v>
      </c>
      <c r="N27" s="204">
        <f t="shared" si="3"/>
        <v>-1</v>
      </c>
      <c r="O27" s="205">
        <f t="shared" si="4"/>
        <v>0</v>
      </c>
      <c r="P27" s="206">
        <f t="shared" si="5"/>
        <v>0</v>
      </c>
      <c r="Q27" s="206">
        <f t="shared" si="6"/>
        <v>-1</v>
      </c>
      <c r="R27" s="206" t="str">
        <f ca="1">IF(AND(OFFSET(Tabla336106734810[[#This Row],[Equity]],1,0)="",Tabla336106734810[[#This Row],[No. of Rs]]&lt;0),"Yes",IF(AND(OFFSET(Tabla336106734810[[#This Row],[Initial Losing Trade]],1,0)="Yes",Tabla336106734810[[#This Row],[No. of Rs]]&lt;0),"Yes","No"))</f>
        <v>Yes</v>
      </c>
      <c r="S27" s="207">
        <f ca="1">IF(OFFSET(Tabla336106734810[[#This Row],[Equity]],1,0)="",IF(Tabla336106734810[[#This Row],[No. of Rs]]="",$F$11,$F$11+($F$11*Tabla336106734810[[#This Row],[No. of Rs]]/100)),IF(Tabla336106734810[[#This Row],[No. of Rs]]="",OFFSET(Tabla336106734810[[#This Row],[Equity]],1,0),OFFSET(Tabla336106734810[[#This Row],[Equity]],1,0)+($F$11*Tabla336106734810[[#This Row],[No. of Rs]]/100)))</f>
        <v>99000</v>
      </c>
      <c r="T27" s="207">
        <f ca="1">IF(OFFSET(Tabla336106734810[[#This Row],[Equity Peak]],1,0)="",IF(Tabla336106734810[[#This Row],[Initial Losing Trade]]="Yes",$F$11,Tabla336106734810[[#This Row],[Equity]]),IF(OFFSET(Tabla336106734810[[#This Row],[Equity Peak]],1,0)&gt;Tabla336106734810[[#This Row],[Equity]],OFFSET(Tabla336106734810[[#This Row],[Equity Peak]],1,0),Tabla336106734810[[#This Row],[Equity]]))</f>
        <v>100000</v>
      </c>
      <c r="U27" s="208">
        <f ca="1">IF(Tabla336106734810[[#This Row],[Equity]]&lt;Tabla336106734810[[#This Row],[Equity Peak]],(Tabla336106734810[[#This Row],[Equity Peak]]-Tabla336106734810[[#This Row],[Equity]])/Tabla336106734810[[#This Row],[Equity Peak]],"")</f>
        <v>0.01</v>
      </c>
      <c r="V27" s="209">
        <f t="shared" si="7"/>
        <v>0</v>
      </c>
      <c r="W27" s="209">
        <f t="shared" si="8"/>
        <v>0</v>
      </c>
      <c r="X27" s="209">
        <f t="shared" si="9"/>
        <v>0</v>
      </c>
      <c r="Y27" s="209">
        <f t="shared" si="10"/>
        <v>0</v>
      </c>
      <c r="Z27" s="209">
        <f t="shared" si="11"/>
        <v>-1</v>
      </c>
      <c r="AA27" s="205">
        <f t="shared" si="12"/>
        <v>0</v>
      </c>
      <c r="AB27" s="209">
        <f t="shared" si="13"/>
        <v>0</v>
      </c>
      <c r="AC27" s="205">
        <f t="shared" si="14"/>
        <v>0</v>
      </c>
      <c r="AD27" s="210">
        <f t="shared" si="15"/>
        <v>2.8013888888890506</v>
      </c>
      <c r="AE27" s="210">
        <f t="shared" si="16"/>
        <v>0</v>
      </c>
      <c r="AF27" s="210">
        <f t="shared" si="17"/>
        <v>2.8013888888890506</v>
      </c>
      <c r="AG27" s="210">
        <f t="shared" si="18"/>
        <v>0</v>
      </c>
    </row>
  </sheetData>
  <sheetProtection algorithmName="SHA-512" hashValue="W0aKUKmZH8OSLP+SRoDtPcXsYkLCuPTQngD0p3qOW/lgGmE3XyUYJqeM0nWsqGXuIorFZM+B9CopqWhvstqNmw==" saltValue="IILy5s8ihYDFZ16I4p0c6A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293" priority="3" operator="equal">
      <formula>"OK"</formula>
    </cfRule>
    <cfRule type="cellIs" dxfId="292" priority="4" operator="equal">
      <formula>"warning"</formula>
    </cfRule>
  </conditionalFormatting>
  <conditionalFormatting sqref="F13">
    <cfRule type="cellIs" dxfId="291" priority="1" operator="equal">
      <formula>"OK"</formula>
    </cfRule>
    <cfRule type="cellIs" dxfId="290" priority="2" operator="equal">
      <formula>"Error!!"</formula>
    </cfRule>
  </conditionalFormatting>
  <conditionalFormatting sqref="E15:H15 K15:L15">
    <cfRule type="expression" dxfId="289" priority="5">
      <formula>+$D15=#REF!</formula>
    </cfRule>
    <cfRule type="expression" dxfId="288" priority="6">
      <formula>+$D15=#REF!</formula>
    </cfRule>
  </conditionalFormatting>
  <conditionalFormatting sqref="D15 K16:L16 D16:H27 J17:L27">
    <cfRule type="expression" dxfId="287" priority="7">
      <formula>+$D15=$AG$8</formula>
    </cfRule>
    <cfRule type="expression" dxfId="286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5:B16" xr:uid="{A047C651-5DC2-4B2C-BE2E-122315CC2EA4}">
      <formula1>$AE$4:$AE$6</formula1>
    </dataValidation>
    <dataValidation type="list" allowBlank="1" showInputMessage="1" showErrorMessage="1" promptTitle="Trade Direction" prompt="Select from List" sqref="C15:C16" xr:uid="{01F994FC-B8A6-4941-864F-659B53D6DEA5}">
      <formula1>$AG$4:$AG$5</formula1>
    </dataValidation>
    <dataValidation type="list" allowBlank="1" showInputMessage="1" showErrorMessage="1" promptTitle="Instrument Type" prompt="Select Type from List_x000a_" sqref="B17:B27" xr:uid="{EFDCDC49-89F5-4C18-BD21-68F0A3322770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25565-9CC8-4560-8B30-0F11881B1080}">
  <sheetPr codeName="Hoja17">
    <pageSetUpPr fitToPage="1"/>
  </sheetPr>
  <dimension ref="A1:AX25"/>
  <sheetViews>
    <sheetView showGridLines="0" showZeros="0" tabSelected="1" zoomScale="115" zoomScaleNormal="115" zoomScalePageLayoutView="99" workbookViewId="0">
      <pane ySplit="16" topLeftCell="A17" activePane="bottomLeft" state="frozen"/>
      <selection activeCell="E2" sqref="E2:N5"/>
      <selection pane="bottomLeft" activeCell="E2" sqref="E2:N5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123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COUNTA(Tabla336106734811[Inst])</f>
        <v>9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10.280000000000001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0</v>
      </c>
      <c r="W6" s="18"/>
      <c r="X6" s="17">
        <f>+X13</f>
        <v>0</v>
      </c>
      <c r="Y6" s="19"/>
      <c r="Z6" s="17">
        <f>+Z13</f>
        <v>10.280000000000001</v>
      </c>
      <c r="AA6" s="19"/>
      <c r="AB6" s="17">
        <f>+AB13</f>
        <v>0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COUNTIF(Tabla336106734811[No. of Rs],"&gt;0")</f>
        <v>6</v>
      </c>
      <c r="G7" s="24">
        <f>IFERROR((F7/$F$6),"")</f>
        <v>0.66666666666666663</v>
      </c>
      <c r="H7" s="78">
        <f>IFERROR((+P13/F7),"")</f>
        <v>2.2133333333333334</v>
      </c>
      <c r="I7" s="227">
        <f>H7/H9</f>
        <v>2.2133333333333334</v>
      </c>
      <c r="J7" s="227">
        <f>AVERAGE(Tabla336106734811[No. of Rs])</f>
        <v>1.1422222222222222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0</v>
      </c>
      <c r="W7" s="27"/>
      <c r="X7" s="26">
        <f>IFERROR((X6/N6),"")</f>
        <v>0</v>
      </c>
      <c r="Y7" s="28"/>
      <c r="Z7" s="26">
        <f>IFERROR((Z6/N6),"")</f>
        <v>1</v>
      </c>
      <c r="AA7" s="28"/>
      <c r="AB7" s="26">
        <f>IFERROR((AB6/N6),"")</f>
        <v>0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COUNTIF(Tabla336106734811[No. of Rs],"=0")</f>
        <v>0</v>
      </c>
      <c r="G8" s="24">
        <f>IFERROR((F8/$F$6),"")</f>
        <v>0</v>
      </c>
      <c r="H8" s="78"/>
      <c r="I8" s="228"/>
      <c r="J8" s="228"/>
      <c r="K8" s="163"/>
      <c r="L8" s="212" t="s">
        <v>112</v>
      </c>
      <c r="M8" s="213"/>
      <c r="N8" s="195">
        <f ca="1">OFFSET(Tabla336106734811[[#Headers],[Equity]],1,0)</f>
        <v>110280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COUNTIF(Tabla336106734811[No. of Rs],"&lt;0")</f>
        <v>3</v>
      </c>
      <c r="G9" s="32">
        <f>IFERROR((F9/$F$6),"")</f>
        <v>0.33333333333333331</v>
      </c>
      <c r="H9" s="79">
        <f>IFERROR((-Q13/F9),"")</f>
        <v>1</v>
      </c>
      <c r="I9" s="229"/>
      <c r="J9" s="229"/>
      <c r="K9" s="149"/>
      <c r="L9" s="230" t="s">
        <v>106</v>
      </c>
      <c r="M9" s="231"/>
      <c r="N9" s="125">
        <f ca="1">MAX(Tabla336106734811[Drawdown])</f>
        <v>2.8333962976955042E-2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 t="str">
        <f ca="1">OFFSET(Tabla336106734811[[#Headers],[Drawdown]],1,0)</f>
        <v/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COUNTIF(Tabla336106734811[Heat],"&lt;0")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IF(COUNTIFS(Tabla336106734811[O/C],"O")&lt;1,"None",COUNTIFS(Tabla336106734811[O/C],"O"))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SUM(Tabla336106734811[No. of Rs])</f>
        <v>10.280000000000001</v>
      </c>
      <c r="O13" s="42">
        <f>SUM(Tabla336106734811[Heat])</f>
        <v>0</v>
      </c>
      <c r="P13" s="43">
        <f>SUM(Tabla336106734811[[ TR WIN]])</f>
        <v>13.280000000000001</v>
      </c>
      <c r="Q13" s="43">
        <f>SUM(Tabla336106734811[[ TR LOSS]])</f>
        <v>-3</v>
      </c>
      <c r="R13" s="114"/>
      <c r="S13" s="115"/>
      <c r="T13" s="115"/>
      <c r="U13" s="121"/>
      <c r="V13" s="44">
        <f>SUM(Tabla336106734811[Currency])</f>
        <v>0</v>
      </c>
      <c r="W13" s="44">
        <f>SUM(Tabla336106734811[Heat3])</f>
        <v>0</v>
      </c>
      <c r="X13" s="44">
        <f>SUM(Tabla336106734811[Commodities])</f>
        <v>0</v>
      </c>
      <c r="Y13" s="44">
        <f>SUM(Tabla336106734811[Heat4])</f>
        <v>0</v>
      </c>
      <c r="Z13" s="44">
        <f>SUM(Tabla336106734811[Index])</f>
        <v>10.280000000000001</v>
      </c>
      <c r="AA13" s="44">
        <f>SUM(Tabla336106734811[Heat5])</f>
        <v>0</v>
      </c>
      <c r="AB13" s="44">
        <f>SUM(Tabla336106734811[Cryptocurrency])</f>
        <v>0</v>
      </c>
      <c r="AC13" s="44">
        <f>SUM(Tabla336106734811[Heat6])</f>
        <v>0</v>
      </c>
      <c r="AD13" s="75">
        <f>AVERAGEIF(Tabla336106734811[Length of 
Trade],"&lt;&gt;0")</f>
        <v>15.417746913579727</v>
      </c>
      <c r="AE13" s="75">
        <f>AVERAGEIF(Tabla336106734811[Win],"&lt;&gt;0")</f>
        <v>21.280092592591245</v>
      </c>
      <c r="AF13" s="75">
        <f>AVERAGEIF(Tabla336106734811[Loss],"&lt;&gt;0")</f>
        <v>3.6930555555566875</v>
      </c>
      <c r="AG13" s="76" t="e">
        <f>AVERAGEIF(Tabla336106734811[Breakeven],"&lt;&gt;0")</f>
        <v>#DIV/0!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2:33" ht="15" customHeight="1" x14ac:dyDescent="0.3">
      <c r="B17" s="196" t="s">
        <v>5</v>
      </c>
      <c r="C17" s="197" t="s">
        <v>15</v>
      </c>
      <c r="D17" s="198" t="str">
        <f t="shared" ref="D17:D25" si="0">IF(E17&lt;&gt;"",IF(K17&lt;&gt;"","C","O"),"")</f>
        <v>C</v>
      </c>
      <c r="E17" s="199">
        <v>43805.666666666664</v>
      </c>
      <c r="F17" s="200" t="s">
        <v>92</v>
      </c>
      <c r="G17" s="201">
        <v>8372.5</v>
      </c>
      <c r="H17" s="201">
        <v>8254.7900000000009</v>
      </c>
      <c r="I17" s="202">
        <f t="shared" ref="I17:I25" si="1">ABS(G17-H17)</f>
        <v>117.70999999999913</v>
      </c>
      <c r="J17" s="201">
        <v>9157.2000000000007</v>
      </c>
      <c r="K17" s="199">
        <v>43829.615277777775</v>
      </c>
      <c r="L17" s="201">
        <v>8736.5</v>
      </c>
      <c r="M17" s="203">
        <f t="shared" ref="M17:M25" si="2">ROUND(IF(C17="L",(L17-G17),(G17-L17)),4)</f>
        <v>364</v>
      </c>
      <c r="N17" s="204">
        <f t="shared" ref="N17:N25" si="3">IFERROR(ROUND((M17/I17),2),"")</f>
        <v>3.09</v>
      </c>
      <c r="O17" s="205">
        <f t="shared" ref="O17:O25" si="4">IF(D17="O",IF(N17&lt;0,N17,0),0)</f>
        <v>0</v>
      </c>
      <c r="P17" s="206">
        <f t="shared" ref="P17:P25" si="5">IF(N17&gt;= 0,N17,0)</f>
        <v>3.09</v>
      </c>
      <c r="Q17" s="206">
        <f t="shared" ref="Q17:Q25" si="6">IF(N17&lt;0,N17,0)</f>
        <v>0</v>
      </c>
      <c r="R17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7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110280</v>
      </c>
      <c r="T17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110280</v>
      </c>
      <c r="U17" s="208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17" s="209">
        <f t="shared" ref="V17:V25" si="7">IF(B17="FX",N17,0)</f>
        <v>0</v>
      </c>
      <c r="W17" s="209">
        <f t="shared" ref="W17:W25" si="8">IF(D17="O",IF(V17&lt;0,V17,0),0)</f>
        <v>0</v>
      </c>
      <c r="X17" s="209">
        <f t="shared" ref="X17:X25" si="9">IF(B17="COM",N17,0)</f>
        <v>0</v>
      </c>
      <c r="Y17" s="209">
        <f t="shared" ref="Y17:Y25" si="10">IF(D17="O",IF(X17&lt;0,X17,0),0)</f>
        <v>0</v>
      </c>
      <c r="Z17" s="209">
        <f t="shared" ref="Z17:Z25" si="11">IF(B17="IND",N17,0)</f>
        <v>3.09</v>
      </c>
      <c r="AA17" s="205">
        <f t="shared" ref="AA17:AA25" si="12">IF(D17="O",IF(Z17&lt;0,Z17,0),0)</f>
        <v>0</v>
      </c>
      <c r="AB17" s="209">
        <f t="shared" ref="AB17:AB25" si="13">IF(B17="CRYPTO",N17,0)</f>
        <v>0</v>
      </c>
      <c r="AC17" s="205">
        <f t="shared" ref="AC17:AC25" si="14">IF(D17="O",IF(AB17&lt;0,AB17,0),0)</f>
        <v>0</v>
      </c>
      <c r="AD17" s="210">
        <f t="shared" ref="AD17:AD25" si="15">IF(K17&lt;&gt;"",K17-E17,0)</f>
        <v>23.948611111110949</v>
      </c>
      <c r="AE17" s="210">
        <f t="shared" ref="AE17:AE25" si="16">IF(N17&gt;0,AD17,0)</f>
        <v>23.948611111110949</v>
      </c>
      <c r="AF17" s="210">
        <f t="shared" ref="AF17:AF25" si="17">IF(N17&lt;0,AD17,0)</f>
        <v>0</v>
      </c>
      <c r="AG17" s="210">
        <f t="shared" ref="AG17:AG25" si="18">IF(N17=0,AD17,0)</f>
        <v>0</v>
      </c>
    </row>
    <row r="18" spans="2:33" ht="15" customHeight="1" x14ac:dyDescent="0.3">
      <c r="B18" s="196" t="s">
        <v>5</v>
      </c>
      <c r="C18" s="197" t="s">
        <v>15</v>
      </c>
      <c r="D18" s="198" t="str">
        <f t="shared" si="0"/>
        <v>C</v>
      </c>
      <c r="E18" s="199">
        <v>43749.333333333336</v>
      </c>
      <c r="F18" s="200" t="s">
        <v>92</v>
      </c>
      <c r="G18" s="201">
        <v>7793</v>
      </c>
      <c r="H18" s="201">
        <v>7643.52</v>
      </c>
      <c r="I18" s="202">
        <f t="shared" si="1"/>
        <v>149.47999999999956</v>
      </c>
      <c r="J18" s="201">
        <v>8789.56</v>
      </c>
      <c r="K18" s="199">
        <v>43789.768750000003</v>
      </c>
      <c r="L18" s="201">
        <v>8273.61</v>
      </c>
      <c r="M18" s="203">
        <f t="shared" si="2"/>
        <v>480.61</v>
      </c>
      <c r="N18" s="204">
        <f t="shared" si="3"/>
        <v>3.22</v>
      </c>
      <c r="O18" s="205">
        <f t="shared" si="4"/>
        <v>0</v>
      </c>
      <c r="P18" s="206">
        <f t="shared" si="5"/>
        <v>3.22</v>
      </c>
      <c r="Q18" s="206">
        <f t="shared" si="6"/>
        <v>0</v>
      </c>
      <c r="R18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8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107190</v>
      </c>
      <c r="T18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107190</v>
      </c>
      <c r="U18" s="208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18" s="209">
        <f t="shared" si="7"/>
        <v>0</v>
      </c>
      <c r="W18" s="209">
        <f t="shared" si="8"/>
        <v>0</v>
      </c>
      <c r="X18" s="209">
        <f t="shared" si="9"/>
        <v>0</v>
      </c>
      <c r="Y18" s="209">
        <f t="shared" si="10"/>
        <v>0</v>
      </c>
      <c r="Z18" s="209">
        <f t="shared" si="11"/>
        <v>3.22</v>
      </c>
      <c r="AA18" s="205">
        <f t="shared" si="12"/>
        <v>0</v>
      </c>
      <c r="AB18" s="209">
        <f t="shared" si="13"/>
        <v>0</v>
      </c>
      <c r="AC18" s="205">
        <f t="shared" si="14"/>
        <v>0</v>
      </c>
      <c r="AD18" s="210">
        <f t="shared" si="15"/>
        <v>40.435416666667152</v>
      </c>
      <c r="AE18" s="210">
        <f t="shared" si="16"/>
        <v>40.435416666667152</v>
      </c>
      <c r="AF18" s="210">
        <f t="shared" si="17"/>
        <v>0</v>
      </c>
      <c r="AG18" s="210">
        <f t="shared" si="18"/>
        <v>0</v>
      </c>
    </row>
    <row r="19" spans="2:33" ht="15" customHeight="1" x14ac:dyDescent="0.3">
      <c r="B19" s="196" t="s">
        <v>5</v>
      </c>
      <c r="C19" s="197" t="s">
        <v>15</v>
      </c>
      <c r="D19" s="198" t="str">
        <f t="shared" si="0"/>
        <v>C</v>
      </c>
      <c r="E19" s="199">
        <v>43707.017361111109</v>
      </c>
      <c r="F19" s="200" t="s">
        <v>92</v>
      </c>
      <c r="G19" s="201">
        <v>7702.12</v>
      </c>
      <c r="H19" s="201">
        <v>7562.91</v>
      </c>
      <c r="I19" s="202">
        <f t="shared" si="1"/>
        <v>139.21000000000004</v>
      </c>
      <c r="J19" s="201">
        <v>8630.2000000000007</v>
      </c>
      <c r="K19" s="199">
        <v>43724.041666666664</v>
      </c>
      <c r="L19" s="201">
        <v>7854.51</v>
      </c>
      <c r="M19" s="203">
        <f t="shared" si="2"/>
        <v>152.38999999999999</v>
      </c>
      <c r="N19" s="204">
        <f t="shared" si="3"/>
        <v>1.0900000000000001</v>
      </c>
      <c r="O19" s="205">
        <f t="shared" si="4"/>
        <v>0</v>
      </c>
      <c r="P19" s="206">
        <f t="shared" si="5"/>
        <v>1.0900000000000001</v>
      </c>
      <c r="Q19" s="206">
        <f t="shared" si="6"/>
        <v>0</v>
      </c>
      <c r="R19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19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103970</v>
      </c>
      <c r="T19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105880</v>
      </c>
      <c r="U19" s="208">
        <f ca="1">IF(Tabla336106734811[[#This Row],[Equity]]&lt;Tabla336106734811[[#This Row],[Equity Peak]],(Tabla336106734811[[#This Row],[Equity Peak]]-Tabla336106734811[[#This Row],[Equity]])/Tabla336106734811[[#This Row],[Equity Peak]],"")</f>
        <v>1.803928976199471E-2</v>
      </c>
      <c r="V19" s="209">
        <f t="shared" si="7"/>
        <v>0</v>
      </c>
      <c r="W19" s="209">
        <f t="shared" si="8"/>
        <v>0</v>
      </c>
      <c r="X19" s="209">
        <f t="shared" si="9"/>
        <v>0</v>
      </c>
      <c r="Y19" s="209">
        <f t="shared" si="10"/>
        <v>0</v>
      </c>
      <c r="Z19" s="209">
        <f t="shared" si="11"/>
        <v>1.0900000000000001</v>
      </c>
      <c r="AA19" s="205">
        <f t="shared" si="12"/>
        <v>0</v>
      </c>
      <c r="AB19" s="209">
        <f t="shared" si="13"/>
        <v>0</v>
      </c>
      <c r="AC19" s="205">
        <f t="shared" si="14"/>
        <v>0</v>
      </c>
      <c r="AD19" s="210">
        <f t="shared" si="15"/>
        <v>17.024305555554747</v>
      </c>
      <c r="AE19" s="210">
        <f t="shared" si="16"/>
        <v>17.024305555554747</v>
      </c>
      <c r="AF19" s="210">
        <f t="shared" si="17"/>
        <v>0</v>
      </c>
      <c r="AG19" s="210">
        <f t="shared" si="18"/>
        <v>0</v>
      </c>
    </row>
    <row r="20" spans="2:33" ht="15" customHeight="1" x14ac:dyDescent="0.3">
      <c r="B20" s="196" t="s">
        <v>5</v>
      </c>
      <c r="C20" s="197" t="s">
        <v>13</v>
      </c>
      <c r="D20" s="198" t="str">
        <f t="shared" si="0"/>
        <v>C</v>
      </c>
      <c r="E20" s="199">
        <v>43703.017361111109</v>
      </c>
      <c r="F20" s="200" t="s">
        <v>92</v>
      </c>
      <c r="G20" s="201">
        <v>7401.28</v>
      </c>
      <c r="H20" s="201">
        <v>7537.36</v>
      </c>
      <c r="I20" s="202">
        <f t="shared" si="1"/>
        <v>136.07999999999993</v>
      </c>
      <c r="J20" s="201">
        <v>6494.08</v>
      </c>
      <c r="K20" s="199">
        <v>43703.451388888891</v>
      </c>
      <c r="L20" s="201">
        <v>7537.36</v>
      </c>
      <c r="M20" s="203">
        <f t="shared" si="2"/>
        <v>-136.08000000000001</v>
      </c>
      <c r="N20" s="204">
        <f t="shared" si="3"/>
        <v>-1</v>
      </c>
      <c r="O20" s="205">
        <f t="shared" si="4"/>
        <v>0</v>
      </c>
      <c r="P20" s="206">
        <f t="shared" si="5"/>
        <v>0</v>
      </c>
      <c r="Q20" s="206">
        <f t="shared" si="6"/>
        <v>-1</v>
      </c>
      <c r="R20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20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102880</v>
      </c>
      <c r="T20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105880</v>
      </c>
      <c r="U20" s="208">
        <f ca="1">IF(Tabla336106734811[[#This Row],[Equity]]&lt;Tabla336106734811[[#This Row],[Equity Peak]],(Tabla336106734811[[#This Row],[Equity Peak]]-Tabla336106734811[[#This Row],[Equity]])/Tabla336106734811[[#This Row],[Equity Peak]],"")</f>
        <v>2.8333962976955042E-2</v>
      </c>
      <c r="V20" s="209">
        <f t="shared" si="7"/>
        <v>0</v>
      </c>
      <c r="W20" s="209">
        <f t="shared" si="8"/>
        <v>0</v>
      </c>
      <c r="X20" s="209">
        <f t="shared" si="9"/>
        <v>0</v>
      </c>
      <c r="Y20" s="209">
        <f t="shared" si="10"/>
        <v>0</v>
      </c>
      <c r="Z20" s="209">
        <f t="shared" si="11"/>
        <v>-1</v>
      </c>
      <c r="AA20" s="205">
        <f t="shared" si="12"/>
        <v>0</v>
      </c>
      <c r="AB20" s="209">
        <f t="shared" si="13"/>
        <v>0</v>
      </c>
      <c r="AC20" s="205">
        <f t="shared" si="14"/>
        <v>0</v>
      </c>
      <c r="AD20" s="210">
        <f t="shared" si="15"/>
        <v>0.43402777778101154</v>
      </c>
      <c r="AE20" s="210">
        <f t="shared" si="16"/>
        <v>0</v>
      </c>
      <c r="AF20" s="210">
        <f t="shared" si="17"/>
        <v>0.43402777778101154</v>
      </c>
      <c r="AG20" s="210">
        <f t="shared" si="18"/>
        <v>0</v>
      </c>
    </row>
    <row r="21" spans="2:33" ht="15" customHeight="1" x14ac:dyDescent="0.3">
      <c r="B21" s="196" t="s">
        <v>5</v>
      </c>
      <c r="C21" s="197" t="s">
        <v>15</v>
      </c>
      <c r="D21" s="198" t="str">
        <f t="shared" si="0"/>
        <v>C</v>
      </c>
      <c r="E21" s="199">
        <v>43697.017361111109</v>
      </c>
      <c r="F21" s="200" t="s">
        <v>92</v>
      </c>
      <c r="G21" s="201">
        <v>7713.48</v>
      </c>
      <c r="H21" s="201">
        <v>7576.75</v>
      </c>
      <c r="I21" s="202">
        <f t="shared" si="1"/>
        <v>136.72999999999956</v>
      </c>
      <c r="J21" s="201">
        <v>8625.01</v>
      </c>
      <c r="K21" s="199">
        <v>43700.767361111109</v>
      </c>
      <c r="L21" s="201">
        <v>7576.75</v>
      </c>
      <c r="M21" s="203">
        <f t="shared" si="2"/>
        <v>-136.72999999999999</v>
      </c>
      <c r="N21" s="204">
        <f t="shared" si="3"/>
        <v>-1</v>
      </c>
      <c r="O21" s="205">
        <f t="shared" si="4"/>
        <v>0</v>
      </c>
      <c r="P21" s="206">
        <f t="shared" si="5"/>
        <v>0</v>
      </c>
      <c r="Q21" s="206">
        <f t="shared" si="6"/>
        <v>-1</v>
      </c>
      <c r="R21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21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103880</v>
      </c>
      <c r="T21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105880</v>
      </c>
      <c r="U21" s="208">
        <f ca="1">IF(Tabla336106734811[[#This Row],[Equity]]&lt;Tabla336106734811[[#This Row],[Equity Peak]],(Tabla336106734811[[#This Row],[Equity Peak]]-Tabla336106734811[[#This Row],[Equity]])/Tabla336106734811[[#This Row],[Equity Peak]],"")</f>
        <v>1.8889308651303362E-2</v>
      </c>
      <c r="V21" s="209">
        <f t="shared" si="7"/>
        <v>0</v>
      </c>
      <c r="W21" s="209">
        <f t="shared" si="8"/>
        <v>0</v>
      </c>
      <c r="X21" s="209">
        <f t="shared" si="9"/>
        <v>0</v>
      </c>
      <c r="Y21" s="209">
        <f t="shared" si="10"/>
        <v>0</v>
      </c>
      <c r="Z21" s="209">
        <f t="shared" si="11"/>
        <v>-1</v>
      </c>
      <c r="AA21" s="205">
        <f t="shared" si="12"/>
        <v>0</v>
      </c>
      <c r="AB21" s="209">
        <f t="shared" si="13"/>
        <v>0</v>
      </c>
      <c r="AC21" s="205">
        <f t="shared" si="14"/>
        <v>0</v>
      </c>
      <c r="AD21" s="210">
        <f t="shared" si="15"/>
        <v>3.75</v>
      </c>
      <c r="AE21" s="210">
        <f t="shared" si="16"/>
        <v>0</v>
      </c>
      <c r="AF21" s="210">
        <f t="shared" si="17"/>
        <v>3.75</v>
      </c>
      <c r="AG21" s="210">
        <f t="shared" si="18"/>
        <v>0</v>
      </c>
    </row>
    <row r="22" spans="2:33" ht="15" customHeight="1" x14ac:dyDescent="0.3">
      <c r="B22" s="196" t="s">
        <v>5</v>
      </c>
      <c r="C22" s="197" t="s">
        <v>15</v>
      </c>
      <c r="D22" s="198" t="str">
        <f t="shared" si="0"/>
        <v>C</v>
      </c>
      <c r="E22" s="199">
        <v>43671.017361111109</v>
      </c>
      <c r="F22" s="200" t="s">
        <v>92</v>
      </c>
      <c r="G22" s="201">
        <v>7985.06</v>
      </c>
      <c r="H22" s="201">
        <v>7859.77</v>
      </c>
      <c r="I22" s="202">
        <f t="shared" si="1"/>
        <v>125.28999999999996</v>
      </c>
      <c r="J22" s="201">
        <v>8820.36</v>
      </c>
      <c r="K22" s="199">
        <v>43677.912499999999</v>
      </c>
      <c r="L22" s="201">
        <v>7859.77</v>
      </c>
      <c r="M22" s="203">
        <f t="shared" si="2"/>
        <v>-125.29</v>
      </c>
      <c r="N22" s="204">
        <f t="shared" si="3"/>
        <v>-1</v>
      </c>
      <c r="O22" s="205">
        <f t="shared" si="4"/>
        <v>0</v>
      </c>
      <c r="P22" s="206">
        <f t="shared" si="5"/>
        <v>0</v>
      </c>
      <c r="Q22" s="206">
        <f t="shared" si="6"/>
        <v>-1</v>
      </c>
      <c r="R22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22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104880</v>
      </c>
      <c r="T22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105880</v>
      </c>
      <c r="U22" s="208">
        <f ca="1">IF(Tabla336106734811[[#This Row],[Equity]]&lt;Tabla336106734811[[#This Row],[Equity Peak]],(Tabla336106734811[[#This Row],[Equity Peak]]-Tabla336106734811[[#This Row],[Equity]])/Tabla336106734811[[#This Row],[Equity Peak]],"")</f>
        <v>9.4446543256516812E-3</v>
      </c>
      <c r="V22" s="209">
        <f t="shared" si="7"/>
        <v>0</v>
      </c>
      <c r="W22" s="209">
        <f t="shared" si="8"/>
        <v>0</v>
      </c>
      <c r="X22" s="209">
        <f t="shared" si="9"/>
        <v>0</v>
      </c>
      <c r="Y22" s="209">
        <f t="shared" si="10"/>
        <v>0</v>
      </c>
      <c r="Z22" s="209">
        <f t="shared" si="11"/>
        <v>-1</v>
      </c>
      <c r="AA22" s="205">
        <f t="shared" si="12"/>
        <v>0</v>
      </c>
      <c r="AB22" s="209">
        <f t="shared" si="13"/>
        <v>0</v>
      </c>
      <c r="AC22" s="205">
        <f t="shared" si="14"/>
        <v>0</v>
      </c>
      <c r="AD22" s="210">
        <f t="shared" si="15"/>
        <v>6.8951388888890506</v>
      </c>
      <c r="AE22" s="210">
        <f t="shared" si="16"/>
        <v>0</v>
      </c>
      <c r="AF22" s="210">
        <f t="shared" si="17"/>
        <v>6.8951388888890506</v>
      </c>
      <c r="AG22" s="210">
        <f t="shared" si="18"/>
        <v>0</v>
      </c>
    </row>
    <row r="23" spans="2:33" ht="15" customHeight="1" x14ac:dyDescent="0.3">
      <c r="B23" s="196" t="s">
        <v>5</v>
      </c>
      <c r="C23" s="197" t="s">
        <v>15</v>
      </c>
      <c r="D23" s="198" t="str">
        <f t="shared" si="0"/>
        <v>C</v>
      </c>
      <c r="E23" s="199">
        <v>43623.833333333336</v>
      </c>
      <c r="F23" s="200" t="s">
        <v>92</v>
      </c>
      <c r="G23" s="201">
        <v>7433.4</v>
      </c>
      <c r="H23" s="201">
        <v>7312.04</v>
      </c>
      <c r="I23" s="202">
        <f t="shared" si="1"/>
        <v>121.35999999999967</v>
      </c>
      <c r="J23" s="201">
        <v>8242.4599999999991</v>
      </c>
      <c r="K23" s="199">
        <v>43636.771527777775</v>
      </c>
      <c r="L23" s="201">
        <v>7698.78</v>
      </c>
      <c r="M23" s="203">
        <f t="shared" si="2"/>
        <v>265.38</v>
      </c>
      <c r="N23" s="204">
        <f t="shared" si="3"/>
        <v>2.19</v>
      </c>
      <c r="O23" s="205">
        <f t="shared" si="4"/>
        <v>0</v>
      </c>
      <c r="P23" s="206">
        <f t="shared" si="5"/>
        <v>2.19</v>
      </c>
      <c r="Q23" s="206">
        <f t="shared" si="6"/>
        <v>0</v>
      </c>
      <c r="R23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23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105880</v>
      </c>
      <c r="T23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105880</v>
      </c>
      <c r="U23" s="208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23" s="209">
        <f t="shared" si="7"/>
        <v>0</v>
      </c>
      <c r="W23" s="209">
        <f t="shared" si="8"/>
        <v>0</v>
      </c>
      <c r="X23" s="209">
        <f t="shared" si="9"/>
        <v>0</v>
      </c>
      <c r="Y23" s="209">
        <f t="shared" si="10"/>
        <v>0</v>
      </c>
      <c r="Z23" s="209">
        <f t="shared" si="11"/>
        <v>2.19</v>
      </c>
      <c r="AA23" s="205">
        <f t="shared" si="12"/>
        <v>0</v>
      </c>
      <c r="AB23" s="209">
        <f t="shared" si="13"/>
        <v>0</v>
      </c>
      <c r="AC23" s="205">
        <f t="shared" si="14"/>
        <v>0</v>
      </c>
      <c r="AD23" s="210">
        <f t="shared" si="15"/>
        <v>12.938194444439432</v>
      </c>
      <c r="AE23" s="210">
        <f t="shared" si="16"/>
        <v>12.938194444439432</v>
      </c>
      <c r="AF23" s="210">
        <f t="shared" si="17"/>
        <v>0</v>
      </c>
      <c r="AG23" s="210">
        <f t="shared" si="18"/>
        <v>0</v>
      </c>
    </row>
    <row r="24" spans="2:33" ht="15" customHeight="1" x14ac:dyDescent="0.3">
      <c r="B24" s="196" t="s">
        <v>5</v>
      </c>
      <c r="C24" s="197" t="s">
        <v>15</v>
      </c>
      <c r="D24" s="198" t="str">
        <f t="shared" si="0"/>
        <v>C</v>
      </c>
      <c r="E24" s="199">
        <v>43558.166666666664</v>
      </c>
      <c r="F24" s="200" t="s">
        <v>92</v>
      </c>
      <c r="G24" s="201">
        <v>7525.6</v>
      </c>
      <c r="H24" s="201">
        <v>7398.96</v>
      </c>
      <c r="I24" s="202">
        <f t="shared" si="1"/>
        <v>126.64000000000033</v>
      </c>
      <c r="J24" s="201">
        <v>8369.8799999999992</v>
      </c>
      <c r="K24" s="199">
        <v>43580.773611111108</v>
      </c>
      <c r="L24" s="201">
        <v>7785.72</v>
      </c>
      <c r="M24" s="203">
        <f t="shared" si="2"/>
        <v>260.12</v>
      </c>
      <c r="N24" s="204">
        <f t="shared" si="3"/>
        <v>2.0499999999999998</v>
      </c>
      <c r="O24" s="205">
        <f t="shared" si="4"/>
        <v>0</v>
      </c>
      <c r="P24" s="206">
        <f t="shared" si="5"/>
        <v>2.0499999999999998</v>
      </c>
      <c r="Q24" s="206">
        <f t="shared" si="6"/>
        <v>0</v>
      </c>
      <c r="R24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24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103690</v>
      </c>
      <c r="T24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103690</v>
      </c>
      <c r="U24" s="208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24" s="209">
        <f t="shared" si="7"/>
        <v>0</v>
      </c>
      <c r="W24" s="209">
        <f t="shared" si="8"/>
        <v>0</v>
      </c>
      <c r="X24" s="209">
        <f t="shared" si="9"/>
        <v>0</v>
      </c>
      <c r="Y24" s="209">
        <f t="shared" si="10"/>
        <v>0</v>
      </c>
      <c r="Z24" s="209">
        <f t="shared" si="11"/>
        <v>2.0499999999999998</v>
      </c>
      <c r="AA24" s="205">
        <f t="shared" si="12"/>
        <v>0</v>
      </c>
      <c r="AB24" s="209">
        <f t="shared" si="13"/>
        <v>0</v>
      </c>
      <c r="AC24" s="205">
        <f t="shared" si="14"/>
        <v>0</v>
      </c>
      <c r="AD24" s="210">
        <f t="shared" si="15"/>
        <v>22.606944444443798</v>
      </c>
      <c r="AE24" s="210">
        <f t="shared" si="16"/>
        <v>22.606944444443798</v>
      </c>
      <c r="AF24" s="210">
        <f t="shared" si="17"/>
        <v>0</v>
      </c>
      <c r="AG24" s="210">
        <f t="shared" si="18"/>
        <v>0</v>
      </c>
    </row>
    <row r="25" spans="2:33" ht="15" customHeight="1" x14ac:dyDescent="0.3">
      <c r="B25" s="196" t="s">
        <v>5</v>
      </c>
      <c r="C25" s="197" t="s">
        <v>15</v>
      </c>
      <c r="D25" s="198" t="str">
        <f t="shared" si="0"/>
        <v>C</v>
      </c>
      <c r="E25" s="199">
        <v>43536.017361111109</v>
      </c>
      <c r="F25" s="200" t="s">
        <v>92</v>
      </c>
      <c r="G25" s="201">
        <v>7167.74</v>
      </c>
      <c r="H25" s="201">
        <v>7017.81</v>
      </c>
      <c r="I25" s="202">
        <f t="shared" si="1"/>
        <v>149.92999999999938</v>
      </c>
      <c r="J25" s="201">
        <v>8167.29</v>
      </c>
      <c r="K25" s="199">
        <v>43546.744444444441</v>
      </c>
      <c r="L25" s="201">
        <v>7414.02</v>
      </c>
      <c r="M25" s="203">
        <f t="shared" si="2"/>
        <v>246.28</v>
      </c>
      <c r="N25" s="204">
        <f t="shared" si="3"/>
        <v>1.64</v>
      </c>
      <c r="O25" s="205">
        <f t="shared" si="4"/>
        <v>0</v>
      </c>
      <c r="P25" s="206">
        <f t="shared" si="5"/>
        <v>1.64</v>
      </c>
      <c r="Q25" s="206">
        <f t="shared" si="6"/>
        <v>0</v>
      </c>
      <c r="R25" s="206" t="str">
        <f ca="1">IF(AND(OFFSET(Tabla336106734811[[#This Row],[Equity]],1,0)="",Tabla336106734811[[#This Row],[No. of Rs]]&lt;0),"Yes",IF(AND(OFFSET(Tabla336106734811[[#This Row],[Initial Losing Trade]],1,0)="Yes",Tabla336106734811[[#This Row],[No. of Rs]]&lt;0),"Yes","No"))</f>
        <v>No</v>
      </c>
      <c r="S25" s="207">
        <f ca="1">IF(OFFSET(Tabla336106734811[[#This Row],[Equity]],1,0)="",IF(Tabla336106734811[[#This Row],[No. of Rs]]="",$F$11,$F$11+($F$11*Tabla336106734811[[#This Row],[No. of Rs]]/100)),IF(Tabla336106734811[[#This Row],[No. of Rs]]="",OFFSET(Tabla336106734811[[#This Row],[Equity]],1,0),OFFSET(Tabla336106734811[[#This Row],[Equity]],1,0)+($F$11*Tabla336106734811[[#This Row],[No. of Rs]]/100)))</f>
        <v>101640</v>
      </c>
      <c r="T25" s="207">
        <f ca="1">IF(OFFSET(Tabla336106734811[[#This Row],[Equity Peak]],1,0)="",IF(Tabla336106734811[[#This Row],[Initial Losing Trade]]="Yes",$F$11,Tabla336106734811[[#This Row],[Equity]]),IF(OFFSET(Tabla336106734811[[#This Row],[Equity Peak]],1,0)&gt;Tabla336106734811[[#This Row],[Equity]],OFFSET(Tabla336106734811[[#This Row],[Equity Peak]],1,0),Tabla336106734811[[#This Row],[Equity]]))</f>
        <v>101640</v>
      </c>
      <c r="U25" s="208" t="str">
        <f ca="1">IF(Tabla336106734811[[#This Row],[Equity]]&lt;Tabla336106734811[[#This Row],[Equity Peak]],(Tabla336106734811[[#This Row],[Equity Peak]]-Tabla336106734811[[#This Row],[Equity]])/Tabla336106734811[[#This Row],[Equity Peak]],"")</f>
        <v/>
      </c>
      <c r="V25" s="209">
        <f t="shared" si="7"/>
        <v>0</v>
      </c>
      <c r="W25" s="209">
        <f t="shared" si="8"/>
        <v>0</v>
      </c>
      <c r="X25" s="209">
        <f t="shared" si="9"/>
        <v>0</v>
      </c>
      <c r="Y25" s="209">
        <f t="shared" si="10"/>
        <v>0</v>
      </c>
      <c r="Z25" s="209">
        <f t="shared" si="11"/>
        <v>1.64</v>
      </c>
      <c r="AA25" s="205">
        <f t="shared" si="12"/>
        <v>0</v>
      </c>
      <c r="AB25" s="209">
        <f t="shared" si="13"/>
        <v>0</v>
      </c>
      <c r="AC25" s="205">
        <f t="shared" si="14"/>
        <v>0</v>
      </c>
      <c r="AD25" s="210">
        <f t="shared" si="15"/>
        <v>10.727083333331393</v>
      </c>
      <c r="AE25" s="210">
        <f t="shared" si="16"/>
        <v>10.727083333331393</v>
      </c>
      <c r="AF25" s="210">
        <f t="shared" si="17"/>
        <v>0</v>
      </c>
      <c r="AG25" s="210">
        <f t="shared" si="18"/>
        <v>0</v>
      </c>
    </row>
  </sheetData>
  <sheetProtection algorithmName="SHA-512" hashValue="Wnj+U9uM8WWSbG87JHQkorB8Tpawxhj4pOfcBEBWbEheGfdBJ1oAtNpmAf2PPjP/4HjStBFaGXi88sKxELpN4w==" saltValue="vQTFxglc9l5v52Xn1ilUUA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251" priority="3" operator="equal">
      <formula>"OK"</formula>
    </cfRule>
    <cfRule type="cellIs" dxfId="250" priority="4" operator="equal">
      <formula>"warning"</formula>
    </cfRule>
  </conditionalFormatting>
  <conditionalFormatting sqref="F13">
    <cfRule type="cellIs" dxfId="249" priority="1" operator="equal">
      <formula>"OK"</formula>
    </cfRule>
    <cfRule type="cellIs" dxfId="248" priority="2" operator="equal">
      <formula>"Error!!"</formula>
    </cfRule>
  </conditionalFormatting>
  <conditionalFormatting sqref="E15:H15 K15:L15">
    <cfRule type="expression" dxfId="247" priority="5">
      <formula>+$D15=#REF!</formula>
    </cfRule>
    <cfRule type="expression" dxfId="246" priority="6">
      <formula>+$D15=#REF!</formula>
    </cfRule>
  </conditionalFormatting>
  <conditionalFormatting sqref="D15 K16:L16 D16:H25 J17:L25">
    <cfRule type="expression" dxfId="245" priority="7">
      <formula>+$D15=$AG$8</formula>
    </cfRule>
    <cfRule type="expression" dxfId="244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5:B16" xr:uid="{321AB621-6E27-46C1-B973-C9CCECB36BD9}">
      <formula1>$AE$4:$AE$6</formula1>
    </dataValidation>
    <dataValidation type="list" allowBlank="1" showInputMessage="1" showErrorMessage="1" promptTitle="Trade Direction" prompt="Select from List" sqref="C15:C16" xr:uid="{6CE6270A-BAC0-4ABD-99F0-943D5461B873}">
      <formula1>$AG$4:$AG$5</formula1>
    </dataValidation>
    <dataValidation type="list" allowBlank="1" showInputMessage="1" showErrorMessage="1" promptTitle="Instrument Type" prompt="Select Type from List_x000a_" sqref="B17:B25" xr:uid="{7D20BD0C-54F0-42C1-8CF4-285D357A1383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5668B-023F-4025-8065-BA49B1D6490F}">
  <sheetPr codeName="Hoja18">
    <pageSetUpPr fitToPage="1"/>
  </sheetPr>
  <dimension ref="A1:AX34"/>
  <sheetViews>
    <sheetView showGridLines="0" showZeros="0" tabSelected="1" zoomScale="115" zoomScaleNormal="115" zoomScalePageLayoutView="99" workbookViewId="0">
      <pane ySplit="16" topLeftCell="A17" activePane="bottomLeft" state="frozen"/>
      <selection pane="bottomLeft" activeCell="E2" sqref="E2:N5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123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COUNTA(Tabla336106734812[Inst])</f>
        <v>18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13.91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0</v>
      </c>
      <c r="W6" s="18"/>
      <c r="X6" s="17">
        <f>+X13</f>
        <v>0</v>
      </c>
      <c r="Y6" s="19"/>
      <c r="Z6" s="17">
        <f>+Z13</f>
        <v>13.91</v>
      </c>
      <c r="AA6" s="19"/>
      <c r="AB6" s="17">
        <f>+AB13</f>
        <v>0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COUNTIF(Tabla336106734812[No. of Rs],"&gt;0")</f>
        <v>9</v>
      </c>
      <c r="G7" s="24">
        <f>IFERROR((F7/$F$6),"")</f>
        <v>0.5</v>
      </c>
      <c r="H7" s="78">
        <f>IFERROR((+P13/F7),"")</f>
        <v>2.3988888888888891</v>
      </c>
      <c r="I7" s="227">
        <f>H7/H9</f>
        <v>2.811197916666667</v>
      </c>
      <c r="J7" s="227">
        <f>AVERAGE(Tabla336106734812[No. of Rs])</f>
        <v>0.77277777777777779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0</v>
      </c>
      <c r="W7" s="27"/>
      <c r="X7" s="26">
        <f>IFERROR((X6/N6),"")</f>
        <v>0</v>
      </c>
      <c r="Y7" s="28"/>
      <c r="Z7" s="26">
        <f>IFERROR((Z6/N6),"")</f>
        <v>1</v>
      </c>
      <c r="AA7" s="28"/>
      <c r="AB7" s="26">
        <f>IFERROR((AB6/N6),"")</f>
        <v>0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COUNTIF(Tabla336106734812[No. of Rs],"=0")</f>
        <v>0</v>
      </c>
      <c r="G8" s="24">
        <f>IFERROR((F8/$F$6),"")</f>
        <v>0</v>
      </c>
      <c r="H8" s="78"/>
      <c r="I8" s="228"/>
      <c r="J8" s="228"/>
      <c r="K8" s="163"/>
      <c r="L8" s="212" t="s">
        <v>112</v>
      </c>
      <c r="M8" s="213"/>
      <c r="N8" s="195">
        <f ca="1">OFFSET(Tabla336106734812[[#Headers],[Equity]],1,0)</f>
        <v>113910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COUNTIF(Tabla336106734812[No. of Rs],"&lt;0")</f>
        <v>9</v>
      </c>
      <c r="G9" s="32">
        <f>IFERROR((F9/$F$6),"")</f>
        <v>0.5</v>
      </c>
      <c r="H9" s="79">
        <f>IFERROR((-Q13/F9),"")</f>
        <v>0.85333333333333328</v>
      </c>
      <c r="I9" s="229"/>
      <c r="J9" s="229"/>
      <c r="K9" s="149"/>
      <c r="L9" s="230" t="s">
        <v>106</v>
      </c>
      <c r="M9" s="231"/>
      <c r="N9" s="125">
        <f ca="1">MAX(Tabla336106734812[Drawdown])</f>
        <v>2.7310544402242721E-2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 t="str">
        <f ca="1">OFFSET(Tabla336106734812[[#Headers],[Drawdown]],1,0)</f>
        <v/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COUNTIF(Tabla336106734812[Heat],"&lt;0")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IF(COUNTIFS(Tabla336106734812[O/C],"O")&lt;1,"None",COUNTIFS(Tabla336106734812[O/C],"O"))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SUM(Tabla336106734812[No. of Rs])</f>
        <v>13.91</v>
      </c>
      <c r="O13" s="42">
        <f>SUM(Tabla336106734812[Heat])</f>
        <v>0</v>
      </c>
      <c r="P13" s="43">
        <f>SUM(Tabla336106734812[[ TR WIN]])</f>
        <v>21.59</v>
      </c>
      <c r="Q13" s="43">
        <f>SUM(Tabla336106734812[[ TR LOSS]])</f>
        <v>-7.68</v>
      </c>
      <c r="R13" s="114"/>
      <c r="S13" s="115"/>
      <c r="T13" s="115"/>
      <c r="U13" s="121"/>
      <c r="V13" s="44">
        <f>SUM(Tabla336106734812[Currency])</f>
        <v>0</v>
      </c>
      <c r="W13" s="44">
        <f>SUM(Tabla336106734812[Heat3])</f>
        <v>0</v>
      </c>
      <c r="X13" s="44">
        <f>SUM(Tabla336106734812[Commodities])</f>
        <v>0</v>
      </c>
      <c r="Y13" s="44">
        <f>SUM(Tabla336106734812[Heat4])</f>
        <v>0</v>
      </c>
      <c r="Z13" s="44">
        <f>SUM(Tabla336106734812[Index])</f>
        <v>13.91</v>
      </c>
      <c r="AA13" s="44">
        <f>SUM(Tabla336106734812[Heat5])</f>
        <v>0</v>
      </c>
      <c r="AB13" s="44">
        <f>SUM(Tabla336106734812[Cryptocurrency])</f>
        <v>0</v>
      </c>
      <c r="AC13" s="44">
        <f>SUM(Tabla336106734812[Heat6])</f>
        <v>0</v>
      </c>
      <c r="AD13" s="75">
        <f>AVERAGEIF(Tabla336106734812[Length of 
Trade],"&lt;&gt;0")</f>
        <v>4.8099922839501232</v>
      </c>
      <c r="AE13" s="75">
        <f>AVERAGEIF(Tabla336106734812[Win],"&lt;&gt;0")</f>
        <v>6.2339506172833756</v>
      </c>
      <c r="AF13" s="75">
        <f>AVERAGEIF(Tabla336106734812[Loss],"&lt;&gt;0")</f>
        <v>3.3860339506168708</v>
      </c>
      <c r="AG13" s="76" t="e">
        <f>AVERAGEIF(Tabla336106734812[Breakeven],"&lt;&gt;0")</f>
        <v>#DIV/0!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2:33" ht="15" customHeight="1" x14ac:dyDescent="0.3">
      <c r="B17" s="196" t="s">
        <v>5</v>
      </c>
      <c r="C17" s="197" t="s">
        <v>15</v>
      </c>
      <c r="D17" s="198" t="str">
        <f t="shared" ref="D17:D34" si="0">IF(E17&lt;&gt;"",IF(K17&lt;&gt;"","C","O"),"")</f>
        <v>C</v>
      </c>
      <c r="E17" s="199">
        <v>43815.708333333336</v>
      </c>
      <c r="F17" s="200" t="s">
        <v>93</v>
      </c>
      <c r="G17" s="201">
        <v>3190.71</v>
      </c>
      <c r="H17" s="201">
        <v>3171.16</v>
      </c>
      <c r="I17" s="202">
        <f t="shared" ref="I17:I34" si="1">ABS(G17-H17)</f>
        <v>19.550000000000182</v>
      </c>
      <c r="J17" s="201">
        <v>3242.84</v>
      </c>
      <c r="K17" s="199">
        <v>43826.07708333333</v>
      </c>
      <c r="L17" s="201">
        <v>3242.84</v>
      </c>
      <c r="M17" s="203">
        <f t="shared" ref="M17:M34" si="2">ROUND(IF(C17="L",(L17-G17),(G17-L17)),4)</f>
        <v>52.13</v>
      </c>
      <c r="N17" s="204">
        <f t="shared" ref="N17:N34" si="3">IFERROR(ROUND((M17/I17),2),"")</f>
        <v>2.67</v>
      </c>
      <c r="O17" s="205">
        <f t="shared" ref="O17:O34" si="4">IF(D17="O",IF(N17&lt;0,N17,0),0)</f>
        <v>0</v>
      </c>
      <c r="P17" s="206">
        <f t="shared" ref="P17:P34" si="5">IF(N17&gt;= 0,N17,0)</f>
        <v>2.67</v>
      </c>
      <c r="Q17" s="206">
        <f t="shared" ref="Q17:Q34" si="6">IF(N17&lt;0,N17,0)</f>
        <v>0</v>
      </c>
      <c r="R17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7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113910</v>
      </c>
      <c r="T17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113910</v>
      </c>
      <c r="U17" s="208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17" s="209">
        <f t="shared" ref="V17:V34" si="7">IF(B17="FX",N17,0)</f>
        <v>0</v>
      </c>
      <c r="W17" s="209">
        <f t="shared" ref="W17:W34" si="8">IF(D17="O",IF(V17&lt;0,V17,0),0)</f>
        <v>0</v>
      </c>
      <c r="X17" s="209">
        <f t="shared" ref="X17:X34" si="9">IF(B17="COM",N17,0)</f>
        <v>0</v>
      </c>
      <c r="Y17" s="209">
        <f t="shared" ref="Y17:Y34" si="10">IF(D17="O",IF(X17&lt;0,X17,0),0)</f>
        <v>0</v>
      </c>
      <c r="Z17" s="209">
        <f t="shared" ref="Z17:Z34" si="11">IF(B17="IND",N17,0)</f>
        <v>2.67</v>
      </c>
      <c r="AA17" s="205">
        <f t="shared" ref="AA17:AA34" si="12">IF(D17="O",IF(Z17&lt;0,Z17,0),0)</f>
        <v>0</v>
      </c>
      <c r="AB17" s="209">
        <f t="shared" ref="AB17:AB34" si="13">IF(B17="CRYPTO",N17,0)</f>
        <v>0</v>
      </c>
      <c r="AC17" s="205">
        <f t="shared" ref="AC17:AC34" si="14">IF(D17="O",IF(AB17&lt;0,AB17,0),0)</f>
        <v>0</v>
      </c>
      <c r="AD17" s="210">
        <f t="shared" ref="AD17:AD34" si="15">IF(K17&lt;&gt;"",K17-E17,0)</f>
        <v>10.368749999994179</v>
      </c>
      <c r="AE17" s="210">
        <f t="shared" ref="AE17:AE34" si="16">IF(N17&gt;0,AD17,0)</f>
        <v>10.368749999994179</v>
      </c>
      <c r="AF17" s="210">
        <f t="shared" ref="AF17:AF34" si="17">IF(N17&lt;0,AD17,0)</f>
        <v>0</v>
      </c>
      <c r="AG17" s="210">
        <f t="shared" ref="AG17:AG34" si="18">IF(N17=0,AD17,0)</f>
        <v>0</v>
      </c>
    </row>
    <row r="18" spans="2:33" ht="15" customHeight="1" x14ac:dyDescent="0.3">
      <c r="B18" s="196" t="s">
        <v>5</v>
      </c>
      <c r="C18" s="197" t="s">
        <v>15</v>
      </c>
      <c r="D18" s="198" t="str">
        <f t="shared" si="0"/>
        <v>C</v>
      </c>
      <c r="E18" s="199">
        <v>43812.166666666664</v>
      </c>
      <c r="F18" s="200" t="s">
        <v>93</v>
      </c>
      <c r="G18" s="201">
        <v>3180.09</v>
      </c>
      <c r="H18" s="201">
        <v>3162.82</v>
      </c>
      <c r="I18" s="202">
        <f t="shared" si="1"/>
        <v>17.269999999999982</v>
      </c>
      <c r="J18" s="201">
        <v>3226.15</v>
      </c>
      <c r="K18" s="199">
        <v>43812.609027777777</v>
      </c>
      <c r="L18" s="201">
        <v>3162.82</v>
      </c>
      <c r="M18" s="203">
        <f t="shared" si="2"/>
        <v>-17.27</v>
      </c>
      <c r="N18" s="204">
        <f t="shared" si="3"/>
        <v>-1</v>
      </c>
      <c r="O18" s="205">
        <f t="shared" si="4"/>
        <v>0</v>
      </c>
      <c r="P18" s="206">
        <f t="shared" si="5"/>
        <v>0</v>
      </c>
      <c r="Q18" s="206">
        <f t="shared" si="6"/>
        <v>-1</v>
      </c>
      <c r="R18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8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111240</v>
      </c>
      <c r="T18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112900</v>
      </c>
      <c r="U18" s="208">
        <f ca="1">IF(Tabla336106734812[[#This Row],[Equity]]&lt;Tabla336106734812[[#This Row],[Equity Peak]],(Tabla336106734812[[#This Row],[Equity Peak]]-Tabla336106734812[[#This Row],[Equity]])/Tabla336106734812[[#This Row],[Equity Peak]],"")</f>
        <v>1.470327723649247E-2</v>
      </c>
      <c r="V18" s="209">
        <f t="shared" si="7"/>
        <v>0</v>
      </c>
      <c r="W18" s="209">
        <f t="shared" si="8"/>
        <v>0</v>
      </c>
      <c r="X18" s="209">
        <f t="shared" si="9"/>
        <v>0</v>
      </c>
      <c r="Y18" s="209">
        <f t="shared" si="10"/>
        <v>0</v>
      </c>
      <c r="Z18" s="209">
        <f t="shared" si="11"/>
        <v>-1</v>
      </c>
      <c r="AA18" s="205">
        <f t="shared" si="12"/>
        <v>0</v>
      </c>
      <c r="AB18" s="209">
        <f t="shared" si="13"/>
        <v>0</v>
      </c>
      <c r="AC18" s="205">
        <f t="shared" si="14"/>
        <v>0</v>
      </c>
      <c r="AD18" s="210">
        <f t="shared" si="15"/>
        <v>0.44236111111240461</v>
      </c>
      <c r="AE18" s="210">
        <f t="shared" si="16"/>
        <v>0</v>
      </c>
      <c r="AF18" s="210">
        <f t="shared" si="17"/>
        <v>0.44236111111240461</v>
      </c>
      <c r="AG18" s="210">
        <f t="shared" si="18"/>
        <v>0</v>
      </c>
    </row>
    <row r="19" spans="2:33" ht="15" customHeight="1" x14ac:dyDescent="0.3">
      <c r="B19" s="196" t="s">
        <v>5</v>
      </c>
      <c r="C19" s="197" t="s">
        <v>15</v>
      </c>
      <c r="D19" s="198" t="str">
        <f t="shared" si="0"/>
        <v>C</v>
      </c>
      <c r="E19" s="199">
        <v>43805.5</v>
      </c>
      <c r="F19" s="200" t="s">
        <v>93</v>
      </c>
      <c r="G19" s="201">
        <v>3125.58</v>
      </c>
      <c r="H19" s="201">
        <v>3110.94</v>
      </c>
      <c r="I19" s="202">
        <f t="shared" si="1"/>
        <v>14.639999999999873</v>
      </c>
      <c r="J19" s="201">
        <v>3164.63</v>
      </c>
      <c r="K19" s="199">
        <v>43809.540277777778</v>
      </c>
      <c r="L19" s="201">
        <v>3115.86</v>
      </c>
      <c r="M19" s="203">
        <f t="shared" si="2"/>
        <v>-9.7200000000000006</v>
      </c>
      <c r="N19" s="204">
        <f t="shared" si="3"/>
        <v>-0.66</v>
      </c>
      <c r="O19" s="205">
        <f t="shared" si="4"/>
        <v>0</v>
      </c>
      <c r="P19" s="206">
        <f t="shared" si="5"/>
        <v>0</v>
      </c>
      <c r="Q19" s="206">
        <f t="shared" si="6"/>
        <v>-0.66</v>
      </c>
      <c r="R19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19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112240</v>
      </c>
      <c r="T19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112900</v>
      </c>
      <c r="U19" s="208">
        <f ca="1">IF(Tabla336106734812[[#This Row],[Equity]]&lt;Tabla336106734812[[#This Row],[Equity Peak]],(Tabla336106734812[[#This Row],[Equity Peak]]-Tabla336106734812[[#This Row],[Equity]])/Tabla336106734812[[#This Row],[Equity Peak]],"")</f>
        <v>5.8458813108945972E-3</v>
      </c>
      <c r="V19" s="209">
        <f t="shared" si="7"/>
        <v>0</v>
      </c>
      <c r="W19" s="209">
        <f t="shared" si="8"/>
        <v>0</v>
      </c>
      <c r="X19" s="209">
        <f t="shared" si="9"/>
        <v>0</v>
      </c>
      <c r="Y19" s="209">
        <f t="shared" si="10"/>
        <v>0</v>
      </c>
      <c r="Z19" s="209">
        <f t="shared" si="11"/>
        <v>-0.66</v>
      </c>
      <c r="AA19" s="205">
        <f t="shared" si="12"/>
        <v>0</v>
      </c>
      <c r="AB19" s="209">
        <f t="shared" si="13"/>
        <v>0</v>
      </c>
      <c r="AC19" s="205">
        <f t="shared" si="14"/>
        <v>0</v>
      </c>
      <c r="AD19" s="210">
        <f t="shared" si="15"/>
        <v>4.0402777777781012</v>
      </c>
      <c r="AE19" s="210">
        <f t="shared" si="16"/>
        <v>0</v>
      </c>
      <c r="AF19" s="210">
        <f t="shared" si="17"/>
        <v>4.0402777777781012</v>
      </c>
      <c r="AG19" s="210">
        <f t="shared" si="18"/>
        <v>0</v>
      </c>
    </row>
    <row r="20" spans="2:33" ht="15" customHeight="1" x14ac:dyDescent="0.3">
      <c r="B20" s="196" t="s">
        <v>5</v>
      </c>
      <c r="C20" s="197" t="s">
        <v>15</v>
      </c>
      <c r="D20" s="198" t="str">
        <f t="shared" si="0"/>
        <v>C</v>
      </c>
      <c r="E20" s="199">
        <v>43752.708333333336</v>
      </c>
      <c r="F20" s="200" t="s">
        <v>93</v>
      </c>
      <c r="G20" s="201">
        <v>2967.11</v>
      </c>
      <c r="H20" s="201">
        <v>2939.83</v>
      </c>
      <c r="I20" s="202">
        <f t="shared" si="1"/>
        <v>27.2800000000002</v>
      </c>
      <c r="J20" s="201">
        <v>3039.87</v>
      </c>
      <c r="K20" s="199">
        <v>43766.62777777778</v>
      </c>
      <c r="L20" s="201">
        <v>3039.87</v>
      </c>
      <c r="M20" s="203">
        <f t="shared" si="2"/>
        <v>72.760000000000005</v>
      </c>
      <c r="N20" s="204">
        <f t="shared" si="3"/>
        <v>2.67</v>
      </c>
      <c r="O20" s="205">
        <f t="shared" si="4"/>
        <v>0</v>
      </c>
      <c r="P20" s="206">
        <f t="shared" si="5"/>
        <v>2.67</v>
      </c>
      <c r="Q20" s="206">
        <f t="shared" si="6"/>
        <v>0</v>
      </c>
      <c r="R20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0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112900</v>
      </c>
      <c r="T20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112900</v>
      </c>
      <c r="U20" s="208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20" s="209">
        <f t="shared" si="7"/>
        <v>0</v>
      </c>
      <c r="W20" s="209">
        <f t="shared" si="8"/>
        <v>0</v>
      </c>
      <c r="X20" s="209">
        <f t="shared" si="9"/>
        <v>0</v>
      </c>
      <c r="Y20" s="209">
        <f t="shared" si="10"/>
        <v>0</v>
      </c>
      <c r="Z20" s="209">
        <f t="shared" si="11"/>
        <v>2.67</v>
      </c>
      <c r="AA20" s="205">
        <f t="shared" si="12"/>
        <v>0</v>
      </c>
      <c r="AB20" s="209">
        <f t="shared" si="13"/>
        <v>0</v>
      </c>
      <c r="AC20" s="205">
        <f t="shared" si="14"/>
        <v>0</v>
      </c>
      <c r="AD20" s="210">
        <f t="shared" si="15"/>
        <v>13.919444444443798</v>
      </c>
      <c r="AE20" s="210">
        <f t="shared" si="16"/>
        <v>13.919444444443798</v>
      </c>
      <c r="AF20" s="210">
        <f t="shared" si="17"/>
        <v>0</v>
      </c>
      <c r="AG20" s="210">
        <f t="shared" si="18"/>
        <v>0</v>
      </c>
    </row>
    <row r="21" spans="2:33" ht="15" customHeight="1" x14ac:dyDescent="0.3">
      <c r="B21" s="196" t="s">
        <v>5</v>
      </c>
      <c r="C21" s="197" t="s">
        <v>13</v>
      </c>
      <c r="D21" s="198" t="str">
        <f t="shared" si="0"/>
        <v>C</v>
      </c>
      <c r="E21" s="199">
        <v>43740.5</v>
      </c>
      <c r="F21" s="200" t="s">
        <v>93</v>
      </c>
      <c r="G21" s="201">
        <v>2923.55</v>
      </c>
      <c r="H21" s="201">
        <v>2942</v>
      </c>
      <c r="I21" s="202">
        <f t="shared" si="1"/>
        <v>18.449999999999818</v>
      </c>
      <c r="J21" s="201">
        <v>2874.35</v>
      </c>
      <c r="K21" s="199">
        <v>43741.671527777777</v>
      </c>
      <c r="L21" s="201">
        <v>2874.35</v>
      </c>
      <c r="M21" s="203">
        <f t="shared" si="2"/>
        <v>49.2</v>
      </c>
      <c r="N21" s="204">
        <f t="shared" si="3"/>
        <v>2.67</v>
      </c>
      <c r="O21" s="205">
        <f t="shared" si="4"/>
        <v>0</v>
      </c>
      <c r="P21" s="206">
        <f t="shared" si="5"/>
        <v>2.67</v>
      </c>
      <c r="Q21" s="206">
        <f t="shared" si="6"/>
        <v>0</v>
      </c>
      <c r="R21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1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110230</v>
      </c>
      <c r="T21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110580</v>
      </c>
      <c r="U21" s="208">
        <f ca="1">IF(Tabla336106734812[[#This Row],[Equity]]&lt;Tabla336106734812[[#This Row],[Equity Peak]],(Tabla336106734812[[#This Row],[Equity Peak]]-Tabla336106734812[[#This Row],[Equity]])/Tabla336106734812[[#This Row],[Equity Peak]],"")</f>
        <v>3.1651293181407126E-3</v>
      </c>
      <c r="V21" s="209">
        <f t="shared" si="7"/>
        <v>0</v>
      </c>
      <c r="W21" s="209">
        <f t="shared" si="8"/>
        <v>0</v>
      </c>
      <c r="X21" s="209">
        <f t="shared" si="9"/>
        <v>0</v>
      </c>
      <c r="Y21" s="209">
        <f t="shared" si="10"/>
        <v>0</v>
      </c>
      <c r="Z21" s="209">
        <f t="shared" si="11"/>
        <v>2.67</v>
      </c>
      <c r="AA21" s="205">
        <f t="shared" si="12"/>
        <v>0</v>
      </c>
      <c r="AB21" s="209">
        <f t="shared" si="13"/>
        <v>0</v>
      </c>
      <c r="AC21" s="205">
        <f t="shared" si="14"/>
        <v>0</v>
      </c>
      <c r="AD21" s="210">
        <f t="shared" si="15"/>
        <v>1.171527777776646</v>
      </c>
      <c r="AE21" s="210">
        <f t="shared" si="16"/>
        <v>1.171527777776646</v>
      </c>
      <c r="AF21" s="210">
        <f t="shared" si="17"/>
        <v>0</v>
      </c>
      <c r="AG21" s="210">
        <f t="shared" si="18"/>
        <v>0</v>
      </c>
    </row>
    <row r="22" spans="2:33" ht="15" customHeight="1" x14ac:dyDescent="0.3">
      <c r="B22" s="196" t="s">
        <v>5</v>
      </c>
      <c r="C22" s="197" t="s">
        <v>15</v>
      </c>
      <c r="D22" s="198" t="str">
        <f t="shared" si="0"/>
        <v>C</v>
      </c>
      <c r="E22" s="199">
        <v>43713.333333333336</v>
      </c>
      <c r="F22" s="200" t="s">
        <v>93</v>
      </c>
      <c r="G22" s="201">
        <v>2967.15</v>
      </c>
      <c r="H22" s="201">
        <v>2945.25</v>
      </c>
      <c r="I22" s="202">
        <f t="shared" si="1"/>
        <v>21.900000000000091</v>
      </c>
      <c r="J22" s="201">
        <v>3025.54</v>
      </c>
      <c r="K22" s="199">
        <v>43732.772916666669</v>
      </c>
      <c r="L22" s="201">
        <v>2966.81</v>
      </c>
      <c r="M22" s="203">
        <f t="shared" si="2"/>
        <v>-0.34</v>
      </c>
      <c r="N22" s="204">
        <f t="shared" si="3"/>
        <v>-0.02</v>
      </c>
      <c r="O22" s="205">
        <f t="shared" si="4"/>
        <v>0</v>
      </c>
      <c r="P22" s="206">
        <f t="shared" si="5"/>
        <v>0</v>
      </c>
      <c r="Q22" s="206">
        <f t="shared" si="6"/>
        <v>-0.02</v>
      </c>
      <c r="R22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2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107560</v>
      </c>
      <c r="T22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110580</v>
      </c>
      <c r="U22" s="208">
        <f ca="1">IF(Tabla336106734812[[#This Row],[Equity]]&lt;Tabla336106734812[[#This Row],[Equity Peak]],(Tabla336106734812[[#This Row],[Equity Peak]]-Tabla336106734812[[#This Row],[Equity]])/Tabla336106734812[[#This Row],[Equity Peak]],"")</f>
        <v>2.7310544402242721E-2</v>
      </c>
      <c r="V22" s="209">
        <f t="shared" si="7"/>
        <v>0</v>
      </c>
      <c r="W22" s="209">
        <f t="shared" si="8"/>
        <v>0</v>
      </c>
      <c r="X22" s="209">
        <f t="shared" si="9"/>
        <v>0</v>
      </c>
      <c r="Y22" s="209">
        <f t="shared" si="10"/>
        <v>0</v>
      </c>
      <c r="Z22" s="209">
        <f t="shared" si="11"/>
        <v>-0.02</v>
      </c>
      <c r="AA22" s="205">
        <f t="shared" si="12"/>
        <v>0</v>
      </c>
      <c r="AB22" s="209">
        <f t="shared" si="13"/>
        <v>0</v>
      </c>
      <c r="AC22" s="205">
        <f t="shared" si="14"/>
        <v>0</v>
      </c>
      <c r="AD22" s="210">
        <f t="shared" si="15"/>
        <v>19.439583333332848</v>
      </c>
      <c r="AE22" s="210">
        <f t="shared" si="16"/>
        <v>0</v>
      </c>
      <c r="AF22" s="210">
        <f t="shared" si="17"/>
        <v>19.439583333332848</v>
      </c>
      <c r="AG22" s="210">
        <f t="shared" si="18"/>
        <v>0</v>
      </c>
    </row>
    <row r="23" spans="2:33" ht="15" customHeight="1" x14ac:dyDescent="0.3">
      <c r="B23" s="196" t="s">
        <v>5</v>
      </c>
      <c r="C23" s="197" t="s">
        <v>15</v>
      </c>
      <c r="D23" s="198" t="str">
        <f t="shared" si="0"/>
        <v>C</v>
      </c>
      <c r="E23" s="199">
        <v>43707.5</v>
      </c>
      <c r="F23" s="200" t="s">
        <v>93</v>
      </c>
      <c r="G23" s="201">
        <v>2940.5</v>
      </c>
      <c r="H23" s="201">
        <v>2918.06</v>
      </c>
      <c r="I23" s="202">
        <f t="shared" si="1"/>
        <v>22.440000000000055</v>
      </c>
      <c r="J23" s="201">
        <v>3000.35</v>
      </c>
      <c r="K23" s="199">
        <v>43707.772222222222</v>
      </c>
      <c r="L23" s="201">
        <v>2918.06</v>
      </c>
      <c r="M23" s="203">
        <f t="shared" si="2"/>
        <v>-22.44</v>
      </c>
      <c r="N23" s="204">
        <f t="shared" si="3"/>
        <v>-1</v>
      </c>
      <c r="O23" s="205">
        <f t="shared" si="4"/>
        <v>0</v>
      </c>
      <c r="P23" s="206">
        <f t="shared" si="5"/>
        <v>0</v>
      </c>
      <c r="Q23" s="206">
        <f t="shared" si="6"/>
        <v>-1</v>
      </c>
      <c r="R23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3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107580</v>
      </c>
      <c r="T23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110580</v>
      </c>
      <c r="U23" s="208">
        <f ca="1">IF(Tabla336106734812[[#This Row],[Equity]]&lt;Tabla336106734812[[#This Row],[Equity Peak]],(Tabla336106734812[[#This Row],[Equity Peak]]-Tabla336106734812[[#This Row],[Equity]])/Tabla336106734812[[#This Row],[Equity Peak]],"")</f>
        <v>2.7129679869777535E-2</v>
      </c>
      <c r="V23" s="209">
        <f t="shared" si="7"/>
        <v>0</v>
      </c>
      <c r="W23" s="209">
        <f t="shared" si="8"/>
        <v>0</v>
      </c>
      <c r="X23" s="209">
        <f t="shared" si="9"/>
        <v>0</v>
      </c>
      <c r="Y23" s="209">
        <f t="shared" si="10"/>
        <v>0</v>
      </c>
      <c r="Z23" s="209">
        <f t="shared" si="11"/>
        <v>-1</v>
      </c>
      <c r="AA23" s="205">
        <f t="shared" si="12"/>
        <v>0</v>
      </c>
      <c r="AB23" s="209">
        <f t="shared" si="13"/>
        <v>0</v>
      </c>
      <c r="AC23" s="205">
        <f t="shared" si="14"/>
        <v>0</v>
      </c>
      <c r="AD23" s="210">
        <f t="shared" si="15"/>
        <v>0.27222222222189885</v>
      </c>
      <c r="AE23" s="210">
        <f t="shared" si="16"/>
        <v>0</v>
      </c>
      <c r="AF23" s="210">
        <f t="shared" si="17"/>
        <v>0.27222222222189885</v>
      </c>
      <c r="AG23" s="210">
        <f t="shared" si="18"/>
        <v>0</v>
      </c>
    </row>
    <row r="24" spans="2:33" ht="15" customHeight="1" x14ac:dyDescent="0.3">
      <c r="B24" s="196" t="s">
        <v>5</v>
      </c>
      <c r="C24" s="197" t="s">
        <v>13</v>
      </c>
      <c r="D24" s="198" t="str">
        <f t="shared" si="0"/>
        <v>C</v>
      </c>
      <c r="E24" s="199">
        <v>43703.017361111109</v>
      </c>
      <c r="F24" s="200" t="s">
        <v>93</v>
      </c>
      <c r="G24" s="201">
        <v>2822.78</v>
      </c>
      <c r="H24" s="201">
        <v>2852.24</v>
      </c>
      <c r="I24" s="202">
        <f t="shared" si="1"/>
        <v>29.459999999999582</v>
      </c>
      <c r="J24" s="201">
        <v>2744.22</v>
      </c>
      <c r="K24" s="199">
        <v>43703.427083333336</v>
      </c>
      <c r="L24" s="201">
        <v>2852.24</v>
      </c>
      <c r="M24" s="203">
        <f t="shared" si="2"/>
        <v>-29.46</v>
      </c>
      <c r="N24" s="204">
        <f t="shared" si="3"/>
        <v>-1</v>
      </c>
      <c r="O24" s="205">
        <f t="shared" si="4"/>
        <v>0</v>
      </c>
      <c r="P24" s="206">
        <f t="shared" si="5"/>
        <v>0</v>
      </c>
      <c r="Q24" s="206">
        <f t="shared" si="6"/>
        <v>-1</v>
      </c>
      <c r="R24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4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108580</v>
      </c>
      <c r="T24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110580</v>
      </c>
      <c r="U24" s="208">
        <f ca="1">IF(Tabla336106734812[[#This Row],[Equity]]&lt;Tabla336106734812[[#This Row],[Equity Peak]],(Tabla336106734812[[#This Row],[Equity Peak]]-Tabla336106734812[[#This Row],[Equity]])/Tabla336106734812[[#This Row],[Equity Peak]],"")</f>
        <v>1.8086453246518357E-2</v>
      </c>
      <c r="V24" s="209">
        <f t="shared" si="7"/>
        <v>0</v>
      </c>
      <c r="W24" s="209">
        <f t="shared" si="8"/>
        <v>0</v>
      </c>
      <c r="X24" s="209">
        <f t="shared" si="9"/>
        <v>0</v>
      </c>
      <c r="Y24" s="209">
        <f t="shared" si="10"/>
        <v>0</v>
      </c>
      <c r="Z24" s="209">
        <f t="shared" si="11"/>
        <v>-1</v>
      </c>
      <c r="AA24" s="205">
        <f t="shared" si="12"/>
        <v>0</v>
      </c>
      <c r="AB24" s="209">
        <f t="shared" si="13"/>
        <v>0</v>
      </c>
      <c r="AC24" s="205">
        <f t="shared" si="14"/>
        <v>0</v>
      </c>
      <c r="AD24" s="210">
        <f t="shared" si="15"/>
        <v>0.40972222222626442</v>
      </c>
      <c r="AE24" s="210">
        <f t="shared" si="16"/>
        <v>0</v>
      </c>
      <c r="AF24" s="210">
        <f t="shared" si="17"/>
        <v>0.40972222222626442</v>
      </c>
      <c r="AG24" s="210">
        <f t="shared" si="18"/>
        <v>0</v>
      </c>
    </row>
    <row r="25" spans="2:33" ht="15" customHeight="1" x14ac:dyDescent="0.3">
      <c r="B25" s="196" t="s">
        <v>5</v>
      </c>
      <c r="C25" s="197" t="s">
        <v>15</v>
      </c>
      <c r="D25" s="198" t="str">
        <f t="shared" si="0"/>
        <v>C</v>
      </c>
      <c r="E25" s="199">
        <v>43699.333333333336</v>
      </c>
      <c r="F25" s="200" t="s">
        <v>93</v>
      </c>
      <c r="G25" s="201">
        <v>2927.53</v>
      </c>
      <c r="H25" s="201">
        <v>2910.39</v>
      </c>
      <c r="I25" s="202">
        <f t="shared" si="1"/>
        <v>17.140000000000327</v>
      </c>
      <c r="J25" s="201">
        <v>2973.23</v>
      </c>
      <c r="K25" s="199">
        <v>43699.771527777775</v>
      </c>
      <c r="L25" s="201">
        <v>2910.39</v>
      </c>
      <c r="M25" s="203">
        <f t="shared" si="2"/>
        <v>-17.14</v>
      </c>
      <c r="N25" s="204">
        <f t="shared" si="3"/>
        <v>-1</v>
      </c>
      <c r="O25" s="205">
        <f t="shared" si="4"/>
        <v>0</v>
      </c>
      <c r="P25" s="206">
        <f t="shared" si="5"/>
        <v>0</v>
      </c>
      <c r="Q25" s="206">
        <f t="shared" si="6"/>
        <v>-1</v>
      </c>
      <c r="R25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5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109580</v>
      </c>
      <c r="T25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110580</v>
      </c>
      <c r="U25" s="208">
        <f ca="1">IF(Tabla336106734812[[#This Row],[Equity]]&lt;Tabla336106734812[[#This Row],[Equity Peak]],(Tabla336106734812[[#This Row],[Equity Peak]]-Tabla336106734812[[#This Row],[Equity]])/Tabla336106734812[[#This Row],[Equity Peak]],"")</f>
        <v>9.0432266232591783E-3</v>
      </c>
      <c r="V25" s="209">
        <f t="shared" si="7"/>
        <v>0</v>
      </c>
      <c r="W25" s="209">
        <f t="shared" si="8"/>
        <v>0</v>
      </c>
      <c r="X25" s="209">
        <f t="shared" si="9"/>
        <v>0</v>
      </c>
      <c r="Y25" s="209">
        <f t="shared" si="10"/>
        <v>0</v>
      </c>
      <c r="Z25" s="209">
        <f t="shared" si="11"/>
        <v>-1</v>
      </c>
      <c r="AA25" s="205">
        <f t="shared" si="12"/>
        <v>0</v>
      </c>
      <c r="AB25" s="209">
        <f t="shared" si="13"/>
        <v>0</v>
      </c>
      <c r="AC25" s="205">
        <f t="shared" si="14"/>
        <v>0</v>
      </c>
      <c r="AD25" s="210">
        <f t="shared" si="15"/>
        <v>0.43819444443943212</v>
      </c>
      <c r="AE25" s="210">
        <f t="shared" si="16"/>
        <v>0</v>
      </c>
      <c r="AF25" s="210">
        <f t="shared" si="17"/>
        <v>0.43819444443943212</v>
      </c>
      <c r="AG25" s="210">
        <f t="shared" si="18"/>
        <v>0</v>
      </c>
    </row>
    <row r="26" spans="2:33" ht="15" customHeight="1" x14ac:dyDescent="0.3">
      <c r="B26" s="196" t="s">
        <v>5</v>
      </c>
      <c r="C26" s="197" t="s">
        <v>13</v>
      </c>
      <c r="D26" s="198" t="str">
        <f t="shared" si="0"/>
        <v>C</v>
      </c>
      <c r="E26" s="199">
        <v>43682.208333333336</v>
      </c>
      <c r="F26" s="200" t="s">
        <v>93</v>
      </c>
      <c r="G26" s="201">
        <v>2912.23</v>
      </c>
      <c r="H26" s="201">
        <v>2945.07</v>
      </c>
      <c r="I26" s="202">
        <f t="shared" si="1"/>
        <v>32.840000000000146</v>
      </c>
      <c r="J26" s="201">
        <v>2824.66</v>
      </c>
      <c r="K26" s="199">
        <v>43682.956250000003</v>
      </c>
      <c r="L26" s="201">
        <v>2824.66</v>
      </c>
      <c r="M26" s="203">
        <f t="shared" si="2"/>
        <v>87.57</v>
      </c>
      <c r="N26" s="204">
        <f t="shared" si="3"/>
        <v>2.67</v>
      </c>
      <c r="O26" s="205">
        <f t="shared" si="4"/>
        <v>0</v>
      </c>
      <c r="P26" s="206">
        <f t="shared" si="5"/>
        <v>2.67</v>
      </c>
      <c r="Q26" s="206">
        <f t="shared" si="6"/>
        <v>0</v>
      </c>
      <c r="R26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6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110580</v>
      </c>
      <c r="T26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110580</v>
      </c>
      <c r="U26" s="208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26" s="209">
        <f t="shared" si="7"/>
        <v>0</v>
      </c>
      <c r="W26" s="209">
        <f t="shared" si="8"/>
        <v>0</v>
      </c>
      <c r="X26" s="209">
        <f t="shared" si="9"/>
        <v>0</v>
      </c>
      <c r="Y26" s="209">
        <f t="shared" si="10"/>
        <v>0</v>
      </c>
      <c r="Z26" s="209">
        <f t="shared" si="11"/>
        <v>2.67</v>
      </c>
      <c r="AA26" s="205">
        <f t="shared" si="12"/>
        <v>0</v>
      </c>
      <c r="AB26" s="209">
        <f t="shared" si="13"/>
        <v>0</v>
      </c>
      <c r="AC26" s="205">
        <f t="shared" si="14"/>
        <v>0</v>
      </c>
      <c r="AD26" s="210">
        <f t="shared" si="15"/>
        <v>0.74791666666715173</v>
      </c>
      <c r="AE26" s="210">
        <f t="shared" si="16"/>
        <v>0.74791666666715173</v>
      </c>
      <c r="AF26" s="210">
        <f t="shared" si="17"/>
        <v>0</v>
      </c>
      <c r="AG26" s="210">
        <f t="shared" si="18"/>
        <v>0</v>
      </c>
    </row>
    <row r="27" spans="2:33" ht="15" customHeight="1" x14ac:dyDescent="0.3">
      <c r="B27" s="196" t="s">
        <v>5</v>
      </c>
      <c r="C27" s="197" t="s">
        <v>15</v>
      </c>
      <c r="D27" s="198" t="str">
        <f t="shared" si="0"/>
        <v>C</v>
      </c>
      <c r="E27" s="199">
        <v>43671.333333333336</v>
      </c>
      <c r="F27" s="200" t="s">
        <v>93</v>
      </c>
      <c r="G27" s="201">
        <v>3021.31</v>
      </c>
      <c r="H27" s="201">
        <v>3010.11</v>
      </c>
      <c r="I27" s="202">
        <f t="shared" si="1"/>
        <v>11.199999999999818</v>
      </c>
      <c r="J27" s="201">
        <v>3051.17</v>
      </c>
      <c r="K27" s="199">
        <v>43671.712500000001</v>
      </c>
      <c r="L27" s="201">
        <v>3010.11</v>
      </c>
      <c r="M27" s="203">
        <f t="shared" si="2"/>
        <v>-11.2</v>
      </c>
      <c r="N27" s="204">
        <f t="shared" si="3"/>
        <v>-1</v>
      </c>
      <c r="O27" s="205">
        <f t="shared" si="4"/>
        <v>0</v>
      </c>
      <c r="P27" s="206">
        <f t="shared" si="5"/>
        <v>0</v>
      </c>
      <c r="Q27" s="206">
        <f t="shared" si="6"/>
        <v>-1</v>
      </c>
      <c r="R27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7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107910</v>
      </c>
      <c r="T27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108910</v>
      </c>
      <c r="U27" s="208">
        <f ca="1">IF(Tabla336106734812[[#This Row],[Equity]]&lt;Tabla336106734812[[#This Row],[Equity Peak]],(Tabla336106734812[[#This Row],[Equity Peak]]-Tabla336106734812[[#This Row],[Equity]])/Tabla336106734812[[#This Row],[Equity Peak]],"")</f>
        <v>9.1818933063997788E-3</v>
      </c>
      <c r="V27" s="209">
        <f t="shared" si="7"/>
        <v>0</v>
      </c>
      <c r="W27" s="209">
        <f t="shared" si="8"/>
        <v>0</v>
      </c>
      <c r="X27" s="209">
        <f t="shared" si="9"/>
        <v>0</v>
      </c>
      <c r="Y27" s="209">
        <f t="shared" si="10"/>
        <v>0</v>
      </c>
      <c r="Z27" s="209">
        <f t="shared" si="11"/>
        <v>-1</v>
      </c>
      <c r="AA27" s="205">
        <f t="shared" si="12"/>
        <v>0</v>
      </c>
      <c r="AB27" s="209">
        <f t="shared" si="13"/>
        <v>0</v>
      </c>
      <c r="AC27" s="205">
        <f t="shared" si="14"/>
        <v>0</v>
      </c>
      <c r="AD27" s="210">
        <f t="shared" si="15"/>
        <v>0.37916666666569654</v>
      </c>
      <c r="AE27" s="210">
        <f t="shared" si="16"/>
        <v>0</v>
      </c>
      <c r="AF27" s="210">
        <f t="shared" si="17"/>
        <v>0.37916666666569654</v>
      </c>
      <c r="AG27" s="210">
        <f t="shared" si="18"/>
        <v>0</v>
      </c>
    </row>
    <row r="28" spans="2:33" ht="15" customHeight="1" x14ac:dyDescent="0.3">
      <c r="B28" s="196" t="s">
        <v>5</v>
      </c>
      <c r="C28" s="197" t="s">
        <v>15</v>
      </c>
      <c r="D28" s="198" t="str">
        <f t="shared" si="0"/>
        <v>C</v>
      </c>
      <c r="E28" s="199">
        <v>43623.5</v>
      </c>
      <c r="F28" s="200" t="s">
        <v>93</v>
      </c>
      <c r="G28" s="201">
        <v>2853.09</v>
      </c>
      <c r="H28" s="201">
        <v>2835.26</v>
      </c>
      <c r="I28" s="202">
        <f t="shared" si="1"/>
        <v>17.829999999999927</v>
      </c>
      <c r="J28" s="201">
        <v>2900.64</v>
      </c>
      <c r="K28" s="199">
        <v>43626.789583333331</v>
      </c>
      <c r="L28" s="201">
        <v>2900.64</v>
      </c>
      <c r="M28" s="203">
        <f t="shared" si="2"/>
        <v>47.55</v>
      </c>
      <c r="N28" s="204">
        <f t="shared" si="3"/>
        <v>2.67</v>
      </c>
      <c r="O28" s="205">
        <f t="shared" si="4"/>
        <v>0</v>
      </c>
      <c r="P28" s="206">
        <f t="shared" si="5"/>
        <v>2.67</v>
      </c>
      <c r="Q28" s="206">
        <f t="shared" si="6"/>
        <v>0</v>
      </c>
      <c r="R28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8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108910</v>
      </c>
      <c r="T28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108910</v>
      </c>
      <c r="U28" s="208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28" s="209">
        <f t="shared" si="7"/>
        <v>0</v>
      </c>
      <c r="W28" s="209">
        <f t="shared" si="8"/>
        <v>0</v>
      </c>
      <c r="X28" s="209">
        <f t="shared" si="9"/>
        <v>0</v>
      </c>
      <c r="Y28" s="209">
        <f t="shared" si="10"/>
        <v>0</v>
      </c>
      <c r="Z28" s="209">
        <f t="shared" si="11"/>
        <v>2.67</v>
      </c>
      <c r="AA28" s="205">
        <f t="shared" si="12"/>
        <v>0</v>
      </c>
      <c r="AB28" s="209">
        <f t="shared" si="13"/>
        <v>0</v>
      </c>
      <c r="AC28" s="205">
        <f t="shared" si="14"/>
        <v>0</v>
      </c>
      <c r="AD28" s="210">
        <f t="shared" si="15"/>
        <v>3.2895833333313931</v>
      </c>
      <c r="AE28" s="210">
        <f t="shared" si="16"/>
        <v>3.2895833333313931</v>
      </c>
      <c r="AF28" s="210">
        <f t="shared" si="17"/>
        <v>0</v>
      </c>
      <c r="AG28" s="210">
        <f t="shared" si="18"/>
        <v>0</v>
      </c>
    </row>
    <row r="29" spans="2:33" ht="15" customHeight="1" x14ac:dyDescent="0.3">
      <c r="B29" s="196" t="s">
        <v>5</v>
      </c>
      <c r="C29" s="197" t="s">
        <v>13</v>
      </c>
      <c r="D29" s="198" t="str">
        <f t="shared" si="0"/>
        <v>C</v>
      </c>
      <c r="E29" s="199">
        <v>43614.017361111109</v>
      </c>
      <c r="F29" s="200" t="s">
        <v>93</v>
      </c>
      <c r="G29" s="201">
        <v>2803.6</v>
      </c>
      <c r="H29" s="201">
        <v>2820.08</v>
      </c>
      <c r="I29" s="202">
        <f t="shared" si="1"/>
        <v>16.480000000000018</v>
      </c>
      <c r="J29" s="201">
        <v>2759.65</v>
      </c>
      <c r="K29" s="199">
        <v>43616.44027777778</v>
      </c>
      <c r="L29" s="201">
        <v>2759.65</v>
      </c>
      <c r="M29" s="203">
        <f t="shared" si="2"/>
        <v>43.95</v>
      </c>
      <c r="N29" s="204">
        <f t="shared" si="3"/>
        <v>2.67</v>
      </c>
      <c r="O29" s="205">
        <f t="shared" si="4"/>
        <v>0</v>
      </c>
      <c r="P29" s="206">
        <f t="shared" si="5"/>
        <v>2.67</v>
      </c>
      <c r="Q29" s="206">
        <f t="shared" si="6"/>
        <v>0</v>
      </c>
      <c r="R29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29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106240</v>
      </c>
      <c r="T29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106240</v>
      </c>
      <c r="U29" s="208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29" s="209">
        <f t="shared" si="7"/>
        <v>0</v>
      </c>
      <c r="W29" s="209">
        <f t="shared" si="8"/>
        <v>0</v>
      </c>
      <c r="X29" s="209">
        <f t="shared" si="9"/>
        <v>0</v>
      </c>
      <c r="Y29" s="209">
        <f t="shared" si="10"/>
        <v>0</v>
      </c>
      <c r="Z29" s="209">
        <f t="shared" si="11"/>
        <v>2.67</v>
      </c>
      <c r="AA29" s="205">
        <f t="shared" si="12"/>
        <v>0</v>
      </c>
      <c r="AB29" s="209">
        <f t="shared" si="13"/>
        <v>0</v>
      </c>
      <c r="AC29" s="205">
        <f t="shared" si="14"/>
        <v>0</v>
      </c>
      <c r="AD29" s="210">
        <f t="shared" si="15"/>
        <v>2.4229166666700621</v>
      </c>
      <c r="AE29" s="210">
        <f t="shared" si="16"/>
        <v>2.4229166666700621</v>
      </c>
      <c r="AF29" s="210">
        <f t="shared" si="17"/>
        <v>0</v>
      </c>
      <c r="AG29" s="210">
        <f t="shared" si="18"/>
        <v>0</v>
      </c>
    </row>
    <row r="30" spans="2:33" ht="15" customHeight="1" x14ac:dyDescent="0.3">
      <c r="B30" s="196" t="s">
        <v>5</v>
      </c>
      <c r="C30" s="197" t="s">
        <v>13</v>
      </c>
      <c r="D30" s="198" t="str">
        <f t="shared" si="0"/>
        <v>C</v>
      </c>
      <c r="E30" s="199">
        <v>43598.708333333336</v>
      </c>
      <c r="F30" s="200" t="s">
        <v>93</v>
      </c>
      <c r="G30" s="201">
        <v>2822.39</v>
      </c>
      <c r="H30" s="201">
        <v>2858.65</v>
      </c>
      <c r="I30" s="202">
        <f t="shared" si="1"/>
        <v>36.260000000000218</v>
      </c>
      <c r="J30" s="201">
        <v>2725.7</v>
      </c>
      <c r="K30" s="199">
        <v>43600.943055555559</v>
      </c>
      <c r="L30" s="201">
        <v>2858.65</v>
      </c>
      <c r="M30" s="203">
        <f t="shared" si="2"/>
        <v>-36.26</v>
      </c>
      <c r="N30" s="204">
        <f t="shared" si="3"/>
        <v>-1</v>
      </c>
      <c r="O30" s="205">
        <f t="shared" si="4"/>
        <v>0</v>
      </c>
      <c r="P30" s="206">
        <f t="shared" si="5"/>
        <v>0</v>
      </c>
      <c r="Q30" s="206">
        <f t="shared" si="6"/>
        <v>-1</v>
      </c>
      <c r="R30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30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103570</v>
      </c>
      <c r="T30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104570</v>
      </c>
      <c r="U30" s="208">
        <f ca="1">IF(Tabla336106734812[[#This Row],[Equity]]&lt;Tabla336106734812[[#This Row],[Equity Peak]],(Tabla336106734812[[#This Row],[Equity Peak]]-Tabla336106734812[[#This Row],[Equity]])/Tabla336106734812[[#This Row],[Equity Peak]],"")</f>
        <v>9.5629721717509809E-3</v>
      </c>
      <c r="V30" s="209">
        <f t="shared" si="7"/>
        <v>0</v>
      </c>
      <c r="W30" s="209">
        <f t="shared" si="8"/>
        <v>0</v>
      </c>
      <c r="X30" s="209">
        <f t="shared" si="9"/>
        <v>0</v>
      </c>
      <c r="Y30" s="209">
        <f t="shared" si="10"/>
        <v>0</v>
      </c>
      <c r="Z30" s="209">
        <f t="shared" si="11"/>
        <v>-1</v>
      </c>
      <c r="AA30" s="205">
        <f t="shared" si="12"/>
        <v>0</v>
      </c>
      <c r="AB30" s="209">
        <f t="shared" si="13"/>
        <v>0</v>
      </c>
      <c r="AC30" s="205">
        <f t="shared" si="14"/>
        <v>0</v>
      </c>
      <c r="AD30" s="210">
        <f t="shared" si="15"/>
        <v>2.234722222223354</v>
      </c>
      <c r="AE30" s="210">
        <f t="shared" si="16"/>
        <v>0</v>
      </c>
      <c r="AF30" s="210">
        <f t="shared" si="17"/>
        <v>2.234722222223354</v>
      </c>
      <c r="AG30" s="210">
        <f t="shared" si="18"/>
        <v>0</v>
      </c>
    </row>
    <row r="31" spans="2:33" ht="15" customHeight="1" x14ac:dyDescent="0.3">
      <c r="B31" s="196" t="s">
        <v>5</v>
      </c>
      <c r="C31" s="197" t="s">
        <v>15</v>
      </c>
      <c r="D31" s="198" t="str">
        <f t="shared" si="0"/>
        <v>C</v>
      </c>
      <c r="E31" s="199">
        <v>43556.875</v>
      </c>
      <c r="F31" s="200" t="s">
        <v>93</v>
      </c>
      <c r="G31" s="201">
        <v>2863.05</v>
      </c>
      <c r="H31" s="201">
        <v>2848.19</v>
      </c>
      <c r="I31" s="202">
        <f t="shared" si="1"/>
        <v>14.860000000000127</v>
      </c>
      <c r="J31" s="201">
        <v>2902.68</v>
      </c>
      <c r="K31" s="199">
        <v>43567.574999999997</v>
      </c>
      <c r="L31" s="201">
        <v>2902.68</v>
      </c>
      <c r="M31" s="203">
        <f t="shared" si="2"/>
        <v>39.630000000000003</v>
      </c>
      <c r="N31" s="204">
        <f t="shared" si="3"/>
        <v>2.67</v>
      </c>
      <c r="O31" s="205">
        <f t="shared" si="4"/>
        <v>0</v>
      </c>
      <c r="P31" s="206">
        <f t="shared" si="5"/>
        <v>2.67</v>
      </c>
      <c r="Q31" s="206">
        <f t="shared" si="6"/>
        <v>0</v>
      </c>
      <c r="R31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31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104570</v>
      </c>
      <c r="T31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104570</v>
      </c>
      <c r="U31" s="208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31" s="209">
        <f t="shared" si="7"/>
        <v>0</v>
      </c>
      <c r="W31" s="209">
        <f t="shared" si="8"/>
        <v>0</v>
      </c>
      <c r="X31" s="209">
        <f t="shared" si="9"/>
        <v>0</v>
      </c>
      <c r="Y31" s="209">
        <f t="shared" si="10"/>
        <v>0</v>
      </c>
      <c r="Z31" s="209">
        <f t="shared" si="11"/>
        <v>2.67</v>
      </c>
      <c r="AA31" s="205">
        <f t="shared" si="12"/>
        <v>0</v>
      </c>
      <c r="AB31" s="209">
        <f t="shared" si="13"/>
        <v>0</v>
      </c>
      <c r="AC31" s="205">
        <f t="shared" si="14"/>
        <v>0</v>
      </c>
      <c r="AD31" s="210">
        <f t="shared" si="15"/>
        <v>10.69999999999709</v>
      </c>
      <c r="AE31" s="210">
        <f t="shared" si="16"/>
        <v>10.69999999999709</v>
      </c>
      <c r="AF31" s="210">
        <f t="shared" si="17"/>
        <v>0</v>
      </c>
      <c r="AG31" s="210">
        <f t="shared" si="18"/>
        <v>0</v>
      </c>
    </row>
    <row r="32" spans="2:33" ht="15" customHeight="1" x14ac:dyDescent="0.3">
      <c r="B32" s="196" t="s">
        <v>5</v>
      </c>
      <c r="C32" s="197" t="s">
        <v>15</v>
      </c>
      <c r="D32" s="198" t="str">
        <f t="shared" si="0"/>
        <v>C</v>
      </c>
      <c r="E32" s="199">
        <v>43537.017361111109</v>
      </c>
      <c r="F32" s="200" t="s">
        <v>93</v>
      </c>
      <c r="G32" s="201">
        <v>2792.06</v>
      </c>
      <c r="H32" s="201">
        <v>2776.29</v>
      </c>
      <c r="I32" s="202">
        <f t="shared" si="1"/>
        <v>15.769999999999982</v>
      </c>
      <c r="J32" s="201">
        <v>2834.13</v>
      </c>
      <c r="K32" s="199">
        <v>43542.743750000001</v>
      </c>
      <c r="L32" s="201">
        <v>2834.13</v>
      </c>
      <c r="M32" s="203">
        <f t="shared" si="2"/>
        <v>42.07</v>
      </c>
      <c r="N32" s="204">
        <f t="shared" si="3"/>
        <v>2.67</v>
      </c>
      <c r="O32" s="205">
        <f t="shared" si="4"/>
        <v>0</v>
      </c>
      <c r="P32" s="206">
        <f t="shared" si="5"/>
        <v>2.67</v>
      </c>
      <c r="Q32" s="206">
        <f t="shared" si="6"/>
        <v>0</v>
      </c>
      <c r="R32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32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101900</v>
      </c>
      <c r="T32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101900</v>
      </c>
      <c r="U32" s="208" t="str">
        <f ca="1">IF(Tabla336106734812[[#This Row],[Equity]]&lt;Tabla336106734812[[#This Row],[Equity Peak]],(Tabla336106734812[[#This Row],[Equity Peak]]-Tabla336106734812[[#This Row],[Equity]])/Tabla336106734812[[#This Row],[Equity Peak]],"")</f>
        <v/>
      </c>
      <c r="V32" s="209">
        <f t="shared" si="7"/>
        <v>0</v>
      </c>
      <c r="W32" s="209">
        <f t="shared" si="8"/>
        <v>0</v>
      </c>
      <c r="X32" s="209">
        <f t="shared" si="9"/>
        <v>0</v>
      </c>
      <c r="Y32" s="209">
        <f t="shared" si="10"/>
        <v>0</v>
      </c>
      <c r="Z32" s="209">
        <f t="shared" si="11"/>
        <v>2.67</v>
      </c>
      <c r="AA32" s="205">
        <f t="shared" si="12"/>
        <v>0</v>
      </c>
      <c r="AB32" s="209">
        <f t="shared" si="13"/>
        <v>0</v>
      </c>
      <c r="AC32" s="205">
        <f t="shared" si="14"/>
        <v>0</v>
      </c>
      <c r="AD32" s="210">
        <f t="shared" si="15"/>
        <v>5.726388888891961</v>
      </c>
      <c r="AE32" s="210">
        <f t="shared" si="16"/>
        <v>5.726388888891961</v>
      </c>
      <c r="AF32" s="210">
        <f t="shared" si="17"/>
        <v>0</v>
      </c>
      <c r="AG32" s="210">
        <f t="shared" si="18"/>
        <v>0</v>
      </c>
    </row>
    <row r="33" spans="2:33" ht="15" customHeight="1" x14ac:dyDescent="0.3">
      <c r="B33" s="196" t="s">
        <v>5</v>
      </c>
      <c r="C33" s="197" t="s">
        <v>15</v>
      </c>
      <c r="D33" s="198" t="str">
        <f t="shared" si="0"/>
        <v>C</v>
      </c>
      <c r="E33" s="199">
        <v>43496.017361111109</v>
      </c>
      <c r="F33" s="200" t="s">
        <v>93</v>
      </c>
      <c r="G33" s="201">
        <v>2683.22</v>
      </c>
      <c r="H33" s="201">
        <v>2662.17</v>
      </c>
      <c r="I33" s="202">
        <f t="shared" si="1"/>
        <v>21.049999999999727</v>
      </c>
      <c r="J33" s="201">
        <v>2739.36</v>
      </c>
      <c r="K33" s="199">
        <v>43503.776388888888</v>
      </c>
      <c r="L33" s="201">
        <v>2688.06</v>
      </c>
      <c r="M33" s="203">
        <f t="shared" si="2"/>
        <v>4.84</v>
      </c>
      <c r="N33" s="204">
        <f t="shared" si="3"/>
        <v>0.23</v>
      </c>
      <c r="O33" s="205">
        <f t="shared" si="4"/>
        <v>0</v>
      </c>
      <c r="P33" s="206">
        <f t="shared" si="5"/>
        <v>0.23</v>
      </c>
      <c r="Q33" s="206">
        <f t="shared" si="6"/>
        <v>0</v>
      </c>
      <c r="R33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No</v>
      </c>
      <c r="S33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99230</v>
      </c>
      <c r="T33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100000</v>
      </c>
      <c r="U33" s="208">
        <f ca="1">IF(Tabla336106734812[[#This Row],[Equity]]&lt;Tabla336106734812[[#This Row],[Equity Peak]],(Tabla336106734812[[#This Row],[Equity Peak]]-Tabla336106734812[[#This Row],[Equity]])/Tabla336106734812[[#This Row],[Equity Peak]],"")</f>
        <v>7.7000000000000002E-3</v>
      </c>
      <c r="V33" s="209">
        <f t="shared" si="7"/>
        <v>0</v>
      </c>
      <c r="W33" s="209">
        <f t="shared" si="8"/>
        <v>0</v>
      </c>
      <c r="X33" s="209">
        <f t="shared" si="9"/>
        <v>0</v>
      </c>
      <c r="Y33" s="209">
        <f t="shared" si="10"/>
        <v>0</v>
      </c>
      <c r="Z33" s="209">
        <f t="shared" si="11"/>
        <v>0.23</v>
      </c>
      <c r="AA33" s="205">
        <f t="shared" si="12"/>
        <v>0</v>
      </c>
      <c r="AB33" s="209">
        <f t="shared" si="13"/>
        <v>0</v>
      </c>
      <c r="AC33" s="205">
        <f t="shared" si="14"/>
        <v>0</v>
      </c>
      <c r="AD33" s="210">
        <f t="shared" si="15"/>
        <v>7.7590277777781012</v>
      </c>
      <c r="AE33" s="210">
        <f t="shared" si="16"/>
        <v>7.7590277777781012</v>
      </c>
      <c r="AF33" s="210">
        <f t="shared" si="17"/>
        <v>0</v>
      </c>
      <c r="AG33" s="210">
        <f t="shared" si="18"/>
        <v>0</v>
      </c>
    </row>
    <row r="34" spans="2:33" ht="15" customHeight="1" x14ac:dyDescent="0.3">
      <c r="B34" s="196" t="s">
        <v>5</v>
      </c>
      <c r="C34" s="197" t="s">
        <v>15</v>
      </c>
      <c r="D34" s="198" t="str">
        <f t="shared" si="0"/>
        <v>C</v>
      </c>
      <c r="E34" s="199">
        <v>43483.833333333336</v>
      </c>
      <c r="F34" s="200" t="s">
        <v>93</v>
      </c>
      <c r="G34" s="201">
        <v>2674.29</v>
      </c>
      <c r="H34" s="201">
        <v>2655.7</v>
      </c>
      <c r="I34" s="202">
        <f t="shared" si="1"/>
        <v>18.590000000000146</v>
      </c>
      <c r="J34" s="201">
        <v>2723.86</v>
      </c>
      <c r="K34" s="199">
        <v>43486.651388888888</v>
      </c>
      <c r="L34" s="201">
        <v>2655.7</v>
      </c>
      <c r="M34" s="203">
        <f t="shared" si="2"/>
        <v>-18.59</v>
      </c>
      <c r="N34" s="204">
        <f t="shared" si="3"/>
        <v>-1</v>
      </c>
      <c r="O34" s="205">
        <f t="shared" si="4"/>
        <v>0</v>
      </c>
      <c r="P34" s="206">
        <f t="shared" si="5"/>
        <v>0</v>
      </c>
      <c r="Q34" s="206">
        <f t="shared" si="6"/>
        <v>-1</v>
      </c>
      <c r="R34" s="206" t="str">
        <f ca="1">IF(AND(OFFSET(Tabla336106734812[[#This Row],[Equity]],1,0)="",Tabla336106734812[[#This Row],[No. of Rs]]&lt;0),"Yes",IF(AND(OFFSET(Tabla336106734812[[#This Row],[Initial Losing Trade]],1,0)="Yes",Tabla336106734812[[#This Row],[No. of Rs]]&lt;0),"Yes","No"))</f>
        <v>Yes</v>
      </c>
      <c r="S34" s="207">
        <f ca="1">IF(OFFSET(Tabla336106734812[[#This Row],[Equity]],1,0)="",IF(Tabla336106734812[[#This Row],[No. of Rs]]="",$F$11,$F$11+($F$11*Tabla336106734812[[#This Row],[No. of Rs]]/100)),IF(Tabla336106734812[[#This Row],[No. of Rs]]="",OFFSET(Tabla336106734812[[#This Row],[Equity]],1,0),OFFSET(Tabla336106734812[[#This Row],[Equity]],1,0)+($F$11*Tabla336106734812[[#This Row],[No. of Rs]]/100)))</f>
        <v>99000</v>
      </c>
      <c r="T34" s="207">
        <f ca="1">IF(OFFSET(Tabla336106734812[[#This Row],[Equity Peak]],1,0)="",IF(Tabla336106734812[[#This Row],[Initial Losing Trade]]="Yes",$F$11,Tabla336106734812[[#This Row],[Equity]]),IF(OFFSET(Tabla336106734812[[#This Row],[Equity Peak]],1,0)&gt;Tabla336106734812[[#This Row],[Equity]],OFFSET(Tabla336106734812[[#This Row],[Equity Peak]],1,0),Tabla336106734812[[#This Row],[Equity]]))</f>
        <v>100000</v>
      </c>
      <c r="U34" s="208">
        <f ca="1">IF(Tabla336106734812[[#This Row],[Equity]]&lt;Tabla336106734812[[#This Row],[Equity Peak]],(Tabla336106734812[[#This Row],[Equity Peak]]-Tabla336106734812[[#This Row],[Equity]])/Tabla336106734812[[#This Row],[Equity Peak]],"")</f>
        <v>0.01</v>
      </c>
      <c r="V34" s="209">
        <f t="shared" si="7"/>
        <v>0</v>
      </c>
      <c r="W34" s="209">
        <f t="shared" si="8"/>
        <v>0</v>
      </c>
      <c r="X34" s="209">
        <f t="shared" si="9"/>
        <v>0</v>
      </c>
      <c r="Y34" s="209">
        <f t="shared" si="10"/>
        <v>0</v>
      </c>
      <c r="Z34" s="209">
        <f t="shared" si="11"/>
        <v>-1</v>
      </c>
      <c r="AA34" s="205">
        <f t="shared" si="12"/>
        <v>0</v>
      </c>
      <c r="AB34" s="209">
        <f t="shared" si="13"/>
        <v>0</v>
      </c>
      <c r="AC34" s="205">
        <f t="shared" si="14"/>
        <v>0</v>
      </c>
      <c r="AD34" s="210">
        <f t="shared" si="15"/>
        <v>2.8180555555518367</v>
      </c>
      <c r="AE34" s="210">
        <f t="shared" si="16"/>
        <v>0</v>
      </c>
      <c r="AF34" s="210">
        <f t="shared" si="17"/>
        <v>2.8180555555518367</v>
      </c>
      <c r="AG34" s="210">
        <f t="shared" si="18"/>
        <v>0</v>
      </c>
    </row>
  </sheetData>
  <sheetProtection algorithmName="SHA-512" hashValue="UtJlMxx3BBHEcUseRAHKjI+v3O3VNf+B+Thxw4s60NXZDkvwlFdlONmebkD8+XjXCSSMYhiddGKlfTDvGLFCbw==" saltValue="AEQ31JG11u4fEmTQzPto1w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209" priority="3" operator="equal">
      <formula>"OK"</formula>
    </cfRule>
    <cfRule type="cellIs" dxfId="208" priority="4" operator="equal">
      <formula>"warning"</formula>
    </cfRule>
  </conditionalFormatting>
  <conditionalFormatting sqref="F13">
    <cfRule type="cellIs" dxfId="207" priority="1" operator="equal">
      <formula>"OK"</formula>
    </cfRule>
    <cfRule type="cellIs" dxfId="206" priority="2" operator="equal">
      <formula>"Error!!"</formula>
    </cfRule>
  </conditionalFormatting>
  <conditionalFormatting sqref="E15:H15 K15:L15">
    <cfRule type="expression" dxfId="205" priority="5">
      <formula>+$D15=#REF!</formula>
    </cfRule>
    <cfRule type="expression" dxfId="204" priority="6">
      <formula>+$D15=#REF!</formula>
    </cfRule>
  </conditionalFormatting>
  <conditionalFormatting sqref="D15 K16:L16 D16:H34 J17:L34">
    <cfRule type="expression" dxfId="203" priority="7">
      <formula>+$D15=$AG$8</formula>
    </cfRule>
    <cfRule type="expression" dxfId="202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5:B16" xr:uid="{F85ABCA4-38C2-420F-875E-43386DED7162}">
      <formula1>$AE$4:$AE$6</formula1>
    </dataValidation>
    <dataValidation type="list" allowBlank="1" showInputMessage="1" showErrorMessage="1" promptTitle="Trade Direction" prompt="Select from List" sqref="C15:C16" xr:uid="{0AFBE46F-E6CB-4C42-B831-8A17AF005034}">
      <formula1>$AG$4:$AG$5</formula1>
    </dataValidation>
    <dataValidation type="list" allowBlank="1" showInputMessage="1" showErrorMessage="1" promptTitle="Instrument Type" prompt="Select Type from List_x000a_" sqref="B17:B34" xr:uid="{E42B4B5B-1466-4C23-A919-445FAC5C5BCF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94CA6-7F9F-484B-866E-40CD17B61828}">
  <sheetPr codeName="Hoja29">
    <pageSetUpPr fitToPage="1"/>
  </sheetPr>
  <dimension ref="A1:AX58"/>
  <sheetViews>
    <sheetView showGridLines="0" showZeros="0" tabSelected="1" zoomScale="115" zoomScaleNormal="115" zoomScalePageLayoutView="99" workbookViewId="0">
      <pane ySplit="16" topLeftCell="A17" activePane="bottomLeft" state="frozen"/>
      <selection activeCell="E2" sqref="E2:N5"/>
      <selection pane="bottomLeft" activeCell="E2" sqref="E2:N5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123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COUNTA(Tabla336106734823[Inst])</f>
        <v>42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26.55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0</v>
      </c>
      <c r="W6" s="18"/>
      <c r="X6" s="17">
        <f>+X13</f>
        <v>0</v>
      </c>
      <c r="Y6" s="19"/>
      <c r="Z6" s="17">
        <f>+Z13</f>
        <v>26.55</v>
      </c>
      <c r="AA6" s="19"/>
      <c r="AB6" s="17">
        <f>+AB13</f>
        <v>0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COUNTIF(Tabla336106734823[No. of Rs],"&gt;0")</f>
        <v>18</v>
      </c>
      <c r="G7" s="24">
        <f>IFERROR((F7/$F$6),"")</f>
        <v>0.42857142857142855</v>
      </c>
      <c r="H7" s="78">
        <f>IFERROR((+P13/F7),"")</f>
        <v>2.0627777777777778</v>
      </c>
      <c r="I7" s="227">
        <f>H7/H9</f>
        <v>4.6792690611216132</v>
      </c>
      <c r="J7" s="227">
        <f>AVERAGE(Tabla336106734823[No. of Rs])</f>
        <v>0.63214285714285712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0</v>
      </c>
      <c r="W7" s="27"/>
      <c r="X7" s="26">
        <f>IFERROR((X6/N6),"")</f>
        <v>0</v>
      </c>
      <c r="Y7" s="28"/>
      <c r="Z7" s="26">
        <f>IFERROR((Z6/N6),"")</f>
        <v>1</v>
      </c>
      <c r="AA7" s="28"/>
      <c r="AB7" s="26">
        <f>IFERROR((AB6/N6),"")</f>
        <v>0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COUNTIF(Tabla336106734823[No. of Rs],"=0")</f>
        <v>0</v>
      </c>
      <c r="G8" s="24">
        <f>IFERROR((F8/$F$6),"")</f>
        <v>0</v>
      </c>
      <c r="H8" s="78"/>
      <c r="I8" s="228"/>
      <c r="J8" s="228"/>
      <c r="K8" s="163"/>
      <c r="L8" s="212" t="s">
        <v>112</v>
      </c>
      <c r="M8" s="213"/>
      <c r="N8" s="195">
        <f ca="1">OFFSET(Tabla336106734823[[#Headers],[Equity]],1,0)</f>
        <v>126550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COUNTIF(Tabla336106734823[No. of Rs],"&lt;0")</f>
        <v>24</v>
      </c>
      <c r="G9" s="32">
        <f>IFERROR((F9/$F$6),"")</f>
        <v>0.5714285714285714</v>
      </c>
      <c r="H9" s="79">
        <f>IFERROR((-Q13/F9),"")</f>
        <v>0.44083333333333335</v>
      </c>
      <c r="I9" s="229"/>
      <c r="J9" s="229"/>
      <c r="K9" s="149"/>
      <c r="L9" s="230" t="s">
        <v>106</v>
      </c>
      <c r="M9" s="231"/>
      <c r="N9" s="125">
        <f ca="1">MAX(Tabla336106734823[Drawdown])</f>
        <v>2.487644151565074E-2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 t="str">
        <f ca="1">OFFSET(Tabla336106734823[[#Headers],[Drawdown]],1,0)</f>
        <v/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COUNTIF(Tabla336106734823[Heat],"&lt;0")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IF(COUNTIFS(Tabla336106734823[O/C],"O")&lt;1,"None",COUNTIFS(Tabla336106734823[O/C],"O"))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SUM(Tabla336106734823[No. of Rs])</f>
        <v>26.55</v>
      </c>
      <c r="O13" s="42">
        <f>SUM(Tabla336106734823[Heat])</f>
        <v>0</v>
      </c>
      <c r="P13" s="43">
        <f>SUM(Tabla336106734823[[ TR WIN]])</f>
        <v>37.130000000000003</v>
      </c>
      <c r="Q13" s="43">
        <f>SUM(Tabla336106734823[[ TR LOSS]])</f>
        <v>-10.58</v>
      </c>
      <c r="R13" s="114"/>
      <c r="S13" s="115"/>
      <c r="T13" s="115"/>
      <c r="U13" s="121"/>
      <c r="V13" s="44">
        <f>SUM(Tabla336106734823[Currency])</f>
        <v>0</v>
      </c>
      <c r="W13" s="44">
        <f>SUM(Tabla336106734823[Heat3])</f>
        <v>0</v>
      </c>
      <c r="X13" s="44">
        <f>SUM(Tabla336106734823[Commodities])</f>
        <v>0</v>
      </c>
      <c r="Y13" s="44">
        <f>SUM(Tabla336106734823[Heat4])</f>
        <v>0</v>
      </c>
      <c r="Z13" s="44">
        <f>SUM(Tabla336106734823[Index])</f>
        <v>26.55</v>
      </c>
      <c r="AA13" s="44">
        <f>SUM(Tabla336106734823[Heat5])</f>
        <v>0</v>
      </c>
      <c r="AB13" s="44">
        <f>SUM(Tabla336106734823[Cryptocurrency])</f>
        <v>0</v>
      </c>
      <c r="AC13" s="44">
        <f>SUM(Tabla336106734823[Heat6])</f>
        <v>0</v>
      </c>
      <c r="AD13" s="75">
        <f>AVERAGEIF(Tabla336106734823[Length of 
Trade],"&lt;&gt;0")</f>
        <v>3.0510251322754942</v>
      </c>
      <c r="AE13" s="75">
        <f>AVERAGEIF(Tabla336106734823[Win],"&lt;&gt;0")</f>
        <v>5.3356095679009741</v>
      </c>
      <c r="AF13" s="75">
        <f>AVERAGEIF(Tabla336106734823[Loss],"&lt;&gt;0")</f>
        <v>1.3375868055563842</v>
      </c>
      <c r="AG13" s="76" t="e">
        <f>AVERAGEIF(Tabla336106734823[Breakeven],"&lt;&gt;0")</f>
        <v>#DIV/0!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2:33" ht="15" customHeight="1" x14ac:dyDescent="0.3">
      <c r="B17" s="196" t="s">
        <v>5</v>
      </c>
      <c r="C17" s="197" t="s">
        <v>15</v>
      </c>
      <c r="D17" s="198" t="str">
        <f t="shared" ref="D17:D58" si="0">IF(E17&lt;&gt;"",IF(K17&lt;&gt;"","C","O"),"")</f>
        <v>C</v>
      </c>
      <c r="E17" s="199">
        <v>43811.833333333336</v>
      </c>
      <c r="F17" s="200" t="s">
        <v>94</v>
      </c>
      <c r="G17" s="201">
        <v>7269.94</v>
      </c>
      <c r="H17" s="201">
        <v>7203.93</v>
      </c>
      <c r="I17" s="202">
        <f t="shared" ref="I17:I58" si="1">ABS(G17-H17)</f>
        <v>66.009999999999309</v>
      </c>
      <c r="J17" s="201">
        <v>7600</v>
      </c>
      <c r="K17" s="199">
        <v>43819.513194444444</v>
      </c>
      <c r="L17" s="201">
        <v>7600</v>
      </c>
      <c r="M17" s="203">
        <f t="shared" ref="M17:M58" si="2">ROUND(IF(C17="L",(L17-G17),(G17-L17)),4)</f>
        <v>330.06</v>
      </c>
      <c r="N17" s="204">
        <f t="shared" ref="N17:N58" si="3">IFERROR(ROUND((M17/I17),2),"")</f>
        <v>5</v>
      </c>
      <c r="O17" s="205">
        <f t="shared" ref="O17:O58" si="4">IF(D17="O",IF(N17&lt;0,N17,0),0)</f>
        <v>0</v>
      </c>
      <c r="P17" s="206">
        <f t="shared" ref="P17:P58" si="5">IF(N17&gt;= 0,N17,0)</f>
        <v>5</v>
      </c>
      <c r="Q17" s="206">
        <f t="shared" ref="Q17:Q58" si="6">IF(N17&lt;0,N17,0)</f>
        <v>0</v>
      </c>
      <c r="R17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17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126550</v>
      </c>
      <c r="T17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126550</v>
      </c>
      <c r="U17" s="208" t="str">
        <f ca="1">IF(Tabla336106734823[[#This Row],[Equity]]&lt;Tabla336106734823[[#This Row],[Equity Peak]],(Tabla336106734823[[#This Row],[Equity Peak]]-Tabla336106734823[[#This Row],[Equity]])/Tabla336106734823[[#This Row],[Equity Peak]],"")</f>
        <v/>
      </c>
      <c r="V17" s="209">
        <f t="shared" ref="V17:V58" si="7">IF(B17="FX",N17,0)</f>
        <v>0</v>
      </c>
      <c r="W17" s="209">
        <f t="shared" ref="W17:W58" si="8">IF(D17="O",IF(V17&lt;0,V17,0),0)</f>
        <v>0</v>
      </c>
      <c r="X17" s="209">
        <f t="shared" ref="X17:X58" si="9">IF(B17="COM",N17,0)</f>
        <v>0</v>
      </c>
      <c r="Y17" s="209">
        <f t="shared" ref="Y17:Y58" si="10">IF(D17="O",IF(X17&lt;0,X17,0),0)</f>
        <v>0</v>
      </c>
      <c r="Z17" s="209">
        <f t="shared" ref="Z17:Z58" si="11">IF(B17="IND",N17,0)</f>
        <v>5</v>
      </c>
      <c r="AA17" s="205">
        <f t="shared" ref="AA17:AA58" si="12">IF(D17="O",IF(Z17&lt;0,Z17,0),0)</f>
        <v>0</v>
      </c>
      <c r="AB17" s="209">
        <f t="shared" ref="AB17:AB58" si="13">IF(B17="CRYPTO",N17,0)</f>
        <v>0</v>
      </c>
      <c r="AC17" s="205">
        <f t="shared" ref="AC17:AC58" si="14">IF(D17="O",IF(AB17&lt;0,AB17,0),0)</f>
        <v>0</v>
      </c>
      <c r="AD17" s="210">
        <f t="shared" ref="AD17:AD58" si="15">IF(K17&lt;&gt;"",K17-E17,0)</f>
        <v>7.679861111108039</v>
      </c>
      <c r="AE17" s="210">
        <f t="shared" ref="AE17:AE58" si="16">IF(N17&gt;0,AD17,0)</f>
        <v>7.679861111108039</v>
      </c>
      <c r="AF17" s="210">
        <f t="shared" ref="AF17:AF58" si="17">IF(N17&lt;0,AD17,0)</f>
        <v>0</v>
      </c>
      <c r="AG17" s="210">
        <f t="shared" ref="AG17:AG58" si="18">IF(N17=0,AD17,0)</f>
        <v>0</v>
      </c>
    </row>
    <row r="18" spans="2:33" ht="15" customHeight="1" x14ac:dyDescent="0.3">
      <c r="B18" s="196" t="s">
        <v>5</v>
      </c>
      <c r="C18" s="197" t="s">
        <v>13</v>
      </c>
      <c r="D18" s="198" t="str">
        <f t="shared" si="0"/>
        <v>C</v>
      </c>
      <c r="E18" s="199">
        <v>43801.708333333336</v>
      </c>
      <c r="F18" s="200" t="s">
        <v>94</v>
      </c>
      <c r="G18" s="201">
        <v>7308.66</v>
      </c>
      <c r="H18" s="201">
        <v>7368.68</v>
      </c>
      <c r="I18" s="202">
        <f t="shared" si="1"/>
        <v>60.020000000000437</v>
      </c>
      <c r="J18" s="201">
        <v>7008.57</v>
      </c>
      <c r="K18" s="199">
        <v>43805.443055555559</v>
      </c>
      <c r="L18" s="201">
        <v>7198.7</v>
      </c>
      <c r="M18" s="203">
        <f t="shared" si="2"/>
        <v>109.96</v>
      </c>
      <c r="N18" s="204">
        <f t="shared" si="3"/>
        <v>1.83</v>
      </c>
      <c r="O18" s="205">
        <f t="shared" si="4"/>
        <v>0</v>
      </c>
      <c r="P18" s="206">
        <f t="shared" si="5"/>
        <v>1.83</v>
      </c>
      <c r="Q18" s="206">
        <f t="shared" si="6"/>
        <v>0</v>
      </c>
      <c r="R18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18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121550</v>
      </c>
      <c r="T18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121550</v>
      </c>
      <c r="U18" s="208" t="str">
        <f ca="1">IF(Tabla336106734823[[#This Row],[Equity]]&lt;Tabla336106734823[[#This Row],[Equity Peak]],(Tabla336106734823[[#This Row],[Equity Peak]]-Tabla336106734823[[#This Row],[Equity]])/Tabla336106734823[[#This Row],[Equity Peak]],"")</f>
        <v/>
      </c>
      <c r="V18" s="209">
        <f t="shared" si="7"/>
        <v>0</v>
      </c>
      <c r="W18" s="209">
        <f t="shared" si="8"/>
        <v>0</v>
      </c>
      <c r="X18" s="209">
        <f t="shared" si="9"/>
        <v>0</v>
      </c>
      <c r="Y18" s="209">
        <f t="shared" si="10"/>
        <v>0</v>
      </c>
      <c r="Z18" s="209">
        <f t="shared" si="11"/>
        <v>1.83</v>
      </c>
      <c r="AA18" s="205">
        <f t="shared" si="12"/>
        <v>0</v>
      </c>
      <c r="AB18" s="209">
        <f t="shared" si="13"/>
        <v>0</v>
      </c>
      <c r="AC18" s="205">
        <f t="shared" si="14"/>
        <v>0</v>
      </c>
      <c r="AD18" s="210">
        <f t="shared" si="15"/>
        <v>3.734722222223354</v>
      </c>
      <c r="AE18" s="210">
        <f t="shared" si="16"/>
        <v>3.734722222223354</v>
      </c>
      <c r="AF18" s="210">
        <f t="shared" si="17"/>
        <v>0</v>
      </c>
      <c r="AG18" s="210">
        <f t="shared" si="18"/>
        <v>0</v>
      </c>
    </row>
    <row r="19" spans="2:33" ht="15" customHeight="1" x14ac:dyDescent="0.3">
      <c r="B19" s="196" t="s">
        <v>5</v>
      </c>
      <c r="C19" s="197" t="s">
        <v>15</v>
      </c>
      <c r="D19" s="198" t="str">
        <f t="shared" si="0"/>
        <v>C</v>
      </c>
      <c r="E19" s="199">
        <v>43791.833333333336</v>
      </c>
      <c r="F19" s="200" t="s">
        <v>94</v>
      </c>
      <c r="G19" s="201">
        <v>7332.71</v>
      </c>
      <c r="H19" s="201">
        <v>7262.3</v>
      </c>
      <c r="I19" s="202">
        <f t="shared" si="1"/>
        <v>70.409999999999854</v>
      </c>
      <c r="J19" s="201">
        <v>7684.77</v>
      </c>
      <c r="K19" s="199">
        <v>43797.256249999999</v>
      </c>
      <c r="L19" s="201">
        <v>7393.61</v>
      </c>
      <c r="M19" s="203">
        <f t="shared" si="2"/>
        <v>60.9</v>
      </c>
      <c r="N19" s="204">
        <f t="shared" si="3"/>
        <v>0.86</v>
      </c>
      <c r="O19" s="205">
        <f t="shared" si="4"/>
        <v>0</v>
      </c>
      <c r="P19" s="206">
        <f t="shared" si="5"/>
        <v>0.86</v>
      </c>
      <c r="Q19" s="206">
        <f t="shared" si="6"/>
        <v>0</v>
      </c>
      <c r="R19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19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119720</v>
      </c>
      <c r="T19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121400</v>
      </c>
      <c r="U19" s="208">
        <f ca="1">IF(Tabla336106734823[[#This Row],[Equity]]&lt;Tabla336106734823[[#This Row],[Equity Peak]],(Tabla336106734823[[#This Row],[Equity Peak]]-Tabla336106734823[[#This Row],[Equity]])/Tabla336106734823[[#This Row],[Equity Peak]],"")</f>
        <v>1.3838550247116969E-2</v>
      </c>
      <c r="V19" s="209">
        <f t="shared" si="7"/>
        <v>0</v>
      </c>
      <c r="W19" s="209">
        <f t="shared" si="8"/>
        <v>0</v>
      </c>
      <c r="X19" s="209">
        <f t="shared" si="9"/>
        <v>0</v>
      </c>
      <c r="Y19" s="209">
        <f t="shared" si="10"/>
        <v>0</v>
      </c>
      <c r="Z19" s="209">
        <f t="shared" si="11"/>
        <v>0.86</v>
      </c>
      <c r="AA19" s="205">
        <f t="shared" si="12"/>
        <v>0</v>
      </c>
      <c r="AB19" s="209">
        <f t="shared" si="13"/>
        <v>0</v>
      </c>
      <c r="AC19" s="205">
        <f t="shared" si="14"/>
        <v>0</v>
      </c>
      <c r="AD19" s="210">
        <f t="shared" si="15"/>
        <v>5.4229166666627862</v>
      </c>
      <c r="AE19" s="210">
        <f t="shared" si="16"/>
        <v>5.4229166666627862</v>
      </c>
      <c r="AF19" s="210">
        <f t="shared" si="17"/>
        <v>0</v>
      </c>
      <c r="AG19" s="210">
        <f t="shared" si="18"/>
        <v>0</v>
      </c>
    </row>
    <row r="20" spans="2:33" ht="15" customHeight="1" x14ac:dyDescent="0.3">
      <c r="B20" s="196" t="s">
        <v>5</v>
      </c>
      <c r="C20" s="197" t="s">
        <v>13</v>
      </c>
      <c r="D20" s="198" t="str">
        <f t="shared" si="0"/>
        <v>C</v>
      </c>
      <c r="E20" s="199">
        <v>43789.166666666664</v>
      </c>
      <c r="F20" s="200" t="s">
        <v>94</v>
      </c>
      <c r="G20" s="201">
        <v>7307.98</v>
      </c>
      <c r="H20" s="201">
        <v>7360.46</v>
      </c>
      <c r="I20" s="202">
        <f t="shared" si="1"/>
        <v>52.480000000000473</v>
      </c>
      <c r="J20" s="201">
        <v>7045.57</v>
      </c>
      <c r="K20" s="199">
        <v>43791.388194444444</v>
      </c>
      <c r="L20" s="201">
        <v>7282.75</v>
      </c>
      <c r="M20" s="203">
        <f t="shared" si="2"/>
        <v>25.23</v>
      </c>
      <c r="N20" s="204">
        <f t="shared" si="3"/>
        <v>0.48</v>
      </c>
      <c r="O20" s="205">
        <f t="shared" si="4"/>
        <v>0</v>
      </c>
      <c r="P20" s="206">
        <f t="shared" si="5"/>
        <v>0.48</v>
      </c>
      <c r="Q20" s="206">
        <f t="shared" si="6"/>
        <v>0</v>
      </c>
      <c r="R20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20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118860</v>
      </c>
      <c r="T20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121400</v>
      </c>
      <c r="U20" s="208">
        <f ca="1">IF(Tabla336106734823[[#This Row],[Equity]]&lt;Tabla336106734823[[#This Row],[Equity Peak]],(Tabla336106734823[[#This Row],[Equity Peak]]-Tabla336106734823[[#This Row],[Equity]])/Tabla336106734823[[#This Row],[Equity Peak]],"")</f>
        <v>2.0922570016474466E-2</v>
      </c>
      <c r="V20" s="209">
        <f t="shared" si="7"/>
        <v>0</v>
      </c>
      <c r="W20" s="209">
        <f t="shared" si="8"/>
        <v>0</v>
      </c>
      <c r="X20" s="209">
        <f t="shared" si="9"/>
        <v>0</v>
      </c>
      <c r="Y20" s="209">
        <f t="shared" si="10"/>
        <v>0</v>
      </c>
      <c r="Z20" s="209">
        <f t="shared" si="11"/>
        <v>0.48</v>
      </c>
      <c r="AA20" s="205">
        <f t="shared" si="12"/>
        <v>0</v>
      </c>
      <c r="AB20" s="209">
        <f t="shared" si="13"/>
        <v>0</v>
      </c>
      <c r="AC20" s="205">
        <f t="shared" si="14"/>
        <v>0</v>
      </c>
      <c r="AD20" s="210">
        <f t="shared" si="15"/>
        <v>2.2215277777795563</v>
      </c>
      <c r="AE20" s="210">
        <f t="shared" si="16"/>
        <v>2.2215277777795563</v>
      </c>
      <c r="AF20" s="210">
        <f t="shared" si="17"/>
        <v>0</v>
      </c>
      <c r="AG20" s="210">
        <f t="shared" si="18"/>
        <v>0</v>
      </c>
    </row>
    <row r="21" spans="2:33" ht="15" customHeight="1" x14ac:dyDescent="0.3">
      <c r="B21" s="196" t="s">
        <v>5</v>
      </c>
      <c r="C21" s="197" t="s">
        <v>15</v>
      </c>
      <c r="D21" s="198" t="str">
        <f t="shared" si="0"/>
        <v>C</v>
      </c>
      <c r="E21" s="199">
        <v>43788.5</v>
      </c>
      <c r="F21" s="200" t="s">
        <v>94</v>
      </c>
      <c r="G21" s="201">
        <v>7386.95</v>
      </c>
      <c r="H21" s="201">
        <v>7328.46</v>
      </c>
      <c r="I21" s="202">
        <f t="shared" si="1"/>
        <v>58.489999999999782</v>
      </c>
      <c r="J21" s="201">
        <v>7679.42</v>
      </c>
      <c r="K21" s="199">
        <v>43788.748611111114</v>
      </c>
      <c r="L21" s="201">
        <v>7342.57</v>
      </c>
      <c r="M21" s="203">
        <f t="shared" si="2"/>
        <v>-44.38</v>
      </c>
      <c r="N21" s="204">
        <f t="shared" si="3"/>
        <v>-0.76</v>
      </c>
      <c r="O21" s="205">
        <f t="shared" si="4"/>
        <v>0</v>
      </c>
      <c r="P21" s="206">
        <f t="shared" si="5"/>
        <v>0</v>
      </c>
      <c r="Q21" s="206">
        <f t="shared" si="6"/>
        <v>-0.76</v>
      </c>
      <c r="R21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21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118380</v>
      </c>
      <c r="T21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121400</v>
      </c>
      <c r="U21" s="208">
        <f ca="1">IF(Tabla336106734823[[#This Row],[Equity]]&lt;Tabla336106734823[[#This Row],[Equity Peak]],(Tabla336106734823[[#This Row],[Equity Peak]]-Tabla336106734823[[#This Row],[Equity]])/Tabla336106734823[[#This Row],[Equity Peak]],"")</f>
        <v>2.487644151565074E-2</v>
      </c>
      <c r="V21" s="209">
        <f t="shared" si="7"/>
        <v>0</v>
      </c>
      <c r="W21" s="209">
        <f t="shared" si="8"/>
        <v>0</v>
      </c>
      <c r="X21" s="209">
        <f t="shared" si="9"/>
        <v>0</v>
      </c>
      <c r="Y21" s="209">
        <f t="shared" si="10"/>
        <v>0</v>
      </c>
      <c r="Z21" s="209">
        <f t="shared" si="11"/>
        <v>-0.76</v>
      </c>
      <c r="AA21" s="205">
        <f t="shared" si="12"/>
        <v>0</v>
      </c>
      <c r="AB21" s="209">
        <f t="shared" si="13"/>
        <v>0</v>
      </c>
      <c r="AC21" s="205">
        <f t="shared" si="14"/>
        <v>0</v>
      </c>
      <c r="AD21" s="210">
        <f t="shared" si="15"/>
        <v>0.24861111111385981</v>
      </c>
      <c r="AE21" s="210">
        <f t="shared" si="16"/>
        <v>0</v>
      </c>
      <c r="AF21" s="210">
        <f t="shared" si="17"/>
        <v>0.24861111111385981</v>
      </c>
      <c r="AG21" s="210">
        <f t="shared" si="18"/>
        <v>0</v>
      </c>
    </row>
    <row r="22" spans="2:33" ht="15" customHeight="1" x14ac:dyDescent="0.3">
      <c r="B22" s="196" t="s">
        <v>5</v>
      </c>
      <c r="C22" s="197" t="s">
        <v>13</v>
      </c>
      <c r="D22" s="198" t="str">
        <f t="shared" si="0"/>
        <v>C</v>
      </c>
      <c r="E22" s="199">
        <v>43782.5</v>
      </c>
      <c r="F22" s="200" t="s">
        <v>94</v>
      </c>
      <c r="G22" s="201">
        <v>7304.74</v>
      </c>
      <c r="H22" s="201">
        <v>7364.62</v>
      </c>
      <c r="I22" s="202">
        <f t="shared" si="1"/>
        <v>59.880000000000109</v>
      </c>
      <c r="J22" s="201">
        <v>7005.33</v>
      </c>
      <c r="K22" s="199">
        <v>43782.746527777781</v>
      </c>
      <c r="L22" s="201">
        <v>7349.35</v>
      </c>
      <c r="M22" s="203">
        <f t="shared" si="2"/>
        <v>-44.61</v>
      </c>
      <c r="N22" s="204">
        <f t="shared" si="3"/>
        <v>-0.74</v>
      </c>
      <c r="O22" s="205">
        <f t="shared" si="4"/>
        <v>0</v>
      </c>
      <c r="P22" s="206">
        <f t="shared" si="5"/>
        <v>0</v>
      </c>
      <c r="Q22" s="206">
        <f t="shared" si="6"/>
        <v>-0.74</v>
      </c>
      <c r="R22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22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119140</v>
      </c>
      <c r="T22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121400</v>
      </c>
      <c r="U22" s="208">
        <f ca="1">IF(Tabla336106734823[[#This Row],[Equity]]&lt;Tabla336106734823[[#This Row],[Equity Peak]],(Tabla336106734823[[#This Row],[Equity Peak]]-Tabla336106734823[[#This Row],[Equity]])/Tabla336106734823[[#This Row],[Equity Peak]],"")</f>
        <v>1.8616144975288303E-2</v>
      </c>
      <c r="V22" s="209">
        <f t="shared" si="7"/>
        <v>0</v>
      </c>
      <c r="W22" s="209">
        <f t="shared" si="8"/>
        <v>0</v>
      </c>
      <c r="X22" s="209">
        <f t="shared" si="9"/>
        <v>0</v>
      </c>
      <c r="Y22" s="209">
        <f t="shared" si="10"/>
        <v>0</v>
      </c>
      <c r="Z22" s="209">
        <f t="shared" si="11"/>
        <v>-0.74</v>
      </c>
      <c r="AA22" s="205">
        <f t="shared" si="12"/>
        <v>0</v>
      </c>
      <c r="AB22" s="209">
        <f t="shared" si="13"/>
        <v>0</v>
      </c>
      <c r="AC22" s="205">
        <f t="shared" si="14"/>
        <v>0</v>
      </c>
      <c r="AD22" s="210">
        <f t="shared" si="15"/>
        <v>0.24652777778101154</v>
      </c>
      <c r="AE22" s="210">
        <f t="shared" si="16"/>
        <v>0</v>
      </c>
      <c r="AF22" s="210">
        <f t="shared" si="17"/>
        <v>0.24652777778101154</v>
      </c>
      <c r="AG22" s="210">
        <f t="shared" si="18"/>
        <v>0</v>
      </c>
    </row>
    <row r="23" spans="2:33" ht="15" customHeight="1" x14ac:dyDescent="0.3">
      <c r="B23" s="196" t="s">
        <v>5</v>
      </c>
      <c r="C23" s="197" t="s">
        <v>15</v>
      </c>
      <c r="D23" s="198" t="str">
        <f t="shared" si="0"/>
        <v>C</v>
      </c>
      <c r="E23" s="199">
        <v>43781.666666666664</v>
      </c>
      <c r="F23" s="200" t="s">
        <v>94</v>
      </c>
      <c r="G23" s="201">
        <v>7370.21</v>
      </c>
      <c r="H23" s="201">
        <v>7313.13</v>
      </c>
      <c r="I23" s="202">
        <f t="shared" si="1"/>
        <v>57.079999999999927</v>
      </c>
      <c r="J23" s="201">
        <v>7655.62</v>
      </c>
      <c r="K23" s="199">
        <v>43782.408333333333</v>
      </c>
      <c r="L23" s="201">
        <v>7326</v>
      </c>
      <c r="M23" s="203">
        <f t="shared" si="2"/>
        <v>-44.21</v>
      </c>
      <c r="N23" s="204">
        <f t="shared" si="3"/>
        <v>-0.77</v>
      </c>
      <c r="O23" s="205">
        <f t="shared" si="4"/>
        <v>0</v>
      </c>
      <c r="P23" s="206">
        <f t="shared" si="5"/>
        <v>0</v>
      </c>
      <c r="Q23" s="206">
        <f t="shared" si="6"/>
        <v>-0.77</v>
      </c>
      <c r="R23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23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119880</v>
      </c>
      <c r="T23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121400</v>
      </c>
      <c r="U23" s="208">
        <f ca="1">IF(Tabla336106734823[[#This Row],[Equity]]&lt;Tabla336106734823[[#This Row],[Equity Peak]],(Tabla336106734823[[#This Row],[Equity Peak]]-Tabla336106734823[[#This Row],[Equity]])/Tabla336106734823[[#This Row],[Equity Peak]],"")</f>
        <v>1.2520593080724876E-2</v>
      </c>
      <c r="V23" s="209">
        <f t="shared" si="7"/>
        <v>0</v>
      </c>
      <c r="W23" s="209">
        <f t="shared" si="8"/>
        <v>0</v>
      </c>
      <c r="X23" s="209">
        <f t="shared" si="9"/>
        <v>0</v>
      </c>
      <c r="Y23" s="209">
        <f t="shared" si="10"/>
        <v>0</v>
      </c>
      <c r="Z23" s="209">
        <f t="shared" si="11"/>
        <v>-0.77</v>
      </c>
      <c r="AA23" s="205">
        <f t="shared" si="12"/>
        <v>0</v>
      </c>
      <c r="AB23" s="209">
        <f t="shared" si="13"/>
        <v>0</v>
      </c>
      <c r="AC23" s="205">
        <f t="shared" si="14"/>
        <v>0</v>
      </c>
      <c r="AD23" s="210">
        <f t="shared" si="15"/>
        <v>0.74166666666860692</v>
      </c>
      <c r="AE23" s="210">
        <f t="shared" si="16"/>
        <v>0</v>
      </c>
      <c r="AF23" s="210">
        <f t="shared" si="17"/>
        <v>0.74166666666860692</v>
      </c>
      <c r="AG23" s="210">
        <f t="shared" si="18"/>
        <v>0</v>
      </c>
    </row>
    <row r="24" spans="2:33" ht="15" customHeight="1" x14ac:dyDescent="0.3">
      <c r="B24" s="196" t="s">
        <v>5</v>
      </c>
      <c r="C24" s="197" t="s">
        <v>13</v>
      </c>
      <c r="D24" s="198" t="str">
        <f t="shared" si="0"/>
        <v>C</v>
      </c>
      <c r="E24" s="199">
        <v>43780.541666666664</v>
      </c>
      <c r="F24" s="200" t="s">
        <v>94</v>
      </c>
      <c r="G24" s="201">
        <v>7277.36</v>
      </c>
      <c r="H24" s="201">
        <v>7331.37</v>
      </c>
      <c r="I24" s="202">
        <f t="shared" si="1"/>
        <v>54.010000000000218</v>
      </c>
      <c r="J24" s="201">
        <v>7007.32</v>
      </c>
      <c r="K24" s="199">
        <v>43780.720833333333</v>
      </c>
      <c r="L24" s="201">
        <v>7317.67</v>
      </c>
      <c r="M24" s="203">
        <f t="shared" si="2"/>
        <v>-40.31</v>
      </c>
      <c r="N24" s="204">
        <f t="shared" si="3"/>
        <v>-0.75</v>
      </c>
      <c r="O24" s="205">
        <f t="shared" si="4"/>
        <v>0</v>
      </c>
      <c r="P24" s="206">
        <f t="shared" si="5"/>
        <v>0</v>
      </c>
      <c r="Q24" s="206">
        <f t="shared" si="6"/>
        <v>-0.75</v>
      </c>
      <c r="R24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24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120650</v>
      </c>
      <c r="T24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121400</v>
      </c>
      <c r="U24" s="208">
        <f ca="1">IF(Tabla336106734823[[#This Row],[Equity]]&lt;Tabla336106734823[[#This Row],[Equity Peak]],(Tabla336106734823[[#This Row],[Equity Peak]]-Tabla336106734823[[#This Row],[Equity]])/Tabla336106734823[[#This Row],[Equity Peak]],"")</f>
        <v>6.1779242174629326E-3</v>
      </c>
      <c r="V24" s="209">
        <f t="shared" si="7"/>
        <v>0</v>
      </c>
      <c r="W24" s="209">
        <f t="shared" si="8"/>
        <v>0</v>
      </c>
      <c r="X24" s="209">
        <f t="shared" si="9"/>
        <v>0</v>
      </c>
      <c r="Y24" s="209">
        <f t="shared" si="10"/>
        <v>0</v>
      </c>
      <c r="Z24" s="209">
        <f t="shared" si="11"/>
        <v>-0.75</v>
      </c>
      <c r="AA24" s="205">
        <f t="shared" si="12"/>
        <v>0</v>
      </c>
      <c r="AB24" s="209">
        <f t="shared" si="13"/>
        <v>0</v>
      </c>
      <c r="AC24" s="205">
        <f t="shared" si="14"/>
        <v>0</v>
      </c>
      <c r="AD24" s="210">
        <f t="shared" si="15"/>
        <v>0.17916666666860692</v>
      </c>
      <c r="AE24" s="210">
        <f t="shared" si="16"/>
        <v>0</v>
      </c>
      <c r="AF24" s="210">
        <f t="shared" si="17"/>
        <v>0.17916666666860692</v>
      </c>
      <c r="AG24" s="210">
        <f t="shared" si="18"/>
        <v>0</v>
      </c>
    </row>
    <row r="25" spans="2:33" ht="15" customHeight="1" x14ac:dyDescent="0.3">
      <c r="B25" s="196" t="s">
        <v>5</v>
      </c>
      <c r="C25" s="197" t="s">
        <v>15</v>
      </c>
      <c r="D25" s="198" t="str">
        <f t="shared" si="0"/>
        <v>C</v>
      </c>
      <c r="E25" s="199">
        <v>43760.833333333336</v>
      </c>
      <c r="F25" s="200" t="s">
        <v>94</v>
      </c>
      <c r="G25" s="201">
        <v>7219.93</v>
      </c>
      <c r="H25" s="201">
        <v>7163.63</v>
      </c>
      <c r="I25" s="202">
        <f t="shared" si="1"/>
        <v>56.300000000000182</v>
      </c>
      <c r="J25" s="201">
        <v>7501.41</v>
      </c>
      <c r="K25" s="199">
        <v>43763.61041666667</v>
      </c>
      <c r="L25" s="201">
        <v>7278.75</v>
      </c>
      <c r="M25" s="203">
        <f t="shared" si="2"/>
        <v>58.82</v>
      </c>
      <c r="N25" s="204">
        <f t="shared" si="3"/>
        <v>1.04</v>
      </c>
      <c r="O25" s="205">
        <f t="shared" si="4"/>
        <v>0</v>
      </c>
      <c r="P25" s="206">
        <f t="shared" si="5"/>
        <v>1.04</v>
      </c>
      <c r="Q25" s="206">
        <f t="shared" si="6"/>
        <v>0</v>
      </c>
      <c r="R25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25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121400</v>
      </c>
      <c r="T25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121400</v>
      </c>
      <c r="U25" s="208" t="str">
        <f ca="1">IF(Tabla336106734823[[#This Row],[Equity]]&lt;Tabla336106734823[[#This Row],[Equity Peak]],(Tabla336106734823[[#This Row],[Equity Peak]]-Tabla336106734823[[#This Row],[Equity]])/Tabla336106734823[[#This Row],[Equity Peak]],"")</f>
        <v/>
      </c>
      <c r="V25" s="209">
        <f t="shared" si="7"/>
        <v>0</v>
      </c>
      <c r="W25" s="209">
        <f t="shared" si="8"/>
        <v>0</v>
      </c>
      <c r="X25" s="209">
        <f t="shared" si="9"/>
        <v>0</v>
      </c>
      <c r="Y25" s="209">
        <f t="shared" si="10"/>
        <v>0</v>
      </c>
      <c r="Z25" s="209">
        <f t="shared" si="11"/>
        <v>1.04</v>
      </c>
      <c r="AA25" s="205">
        <f t="shared" si="12"/>
        <v>0</v>
      </c>
      <c r="AB25" s="209">
        <f t="shared" si="13"/>
        <v>0</v>
      </c>
      <c r="AC25" s="205">
        <f t="shared" si="14"/>
        <v>0</v>
      </c>
      <c r="AD25" s="210">
        <f t="shared" si="15"/>
        <v>2.7770833333343035</v>
      </c>
      <c r="AE25" s="210">
        <f t="shared" si="16"/>
        <v>2.7770833333343035</v>
      </c>
      <c r="AF25" s="210">
        <f t="shared" si="17"/>
        <v>0</v>
      </c>
      <c r="AG25" s="210">
        <f t="shared" si="18"/>
        <v>0</v>
      </c>
    </row>
    <row r="26" spans="2:33" ht="15" customHeight="1" x14ac:dyDescent="0.3">
      <c r="B26" s="196" t="s">
        <v>5</v>
      </c>
      <c r="C26" s="197" t="s">
        <v>13</v>
      </c>
      <c r="D26" s="198" t="str">
        <f t="shared" si="0"/>
        <v>C</v>
      </c>
      <c r="E26" s="199">
        <v>43753.666666666664</v>
      </c>
      <c r="F26" s="200" t="s">
        <v>94</v>
      </c>
      <c r="G26" s="201">
        <v>7180.82</v>
      </c>
      <c r="H26" s="201">
        <v>7254.68</v>
      </c>
      <c r="I26" s="202">
        <f t="shared" si="1"/>
        <v>73.860000000000582</v>
      </c>
      <c r="J26" s="201">
        <v>6811.5</v>
      </c>
      <c r="K26" s="199">
        <v>43755.44027777778</v>
      </c>
      <c r="L26" s="201">
        <v>7201.33</v>
      </c>
      <c r="M26" s="203">
        <f t="shared" si="2"/>
        <v>-20.51</v>
      </c>
      <c r="N26" s="204">
        <f t="shared" si="3"/>
        <v>-0.28000000000000003</v>
      </c>
      <c r="O26" s="205">
        <f t="shared" si="4"/>
        <v>0</v>
      </c>
      <c r="P26" s="206">
        <f t="shared" si="5"/>
        <v>0</v>
      </c>
      <c r="Q26" s="206">
        <f t="shared" si="6"/>
        <v>-0.28000000000000003</v>
      </c>
      <c r="R26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26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120360</v>
      </c>
      <c r="T26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121270</v>
      </c>
      <c r="U26" s="208">
        <f ca="1">IF(Tabla336106734823[[#This Row],[Equity]]&lt;Tabla336106734823[[#This Row],[Equity Peak]],(Tabla336106734823[[#This Row],[Equity Peak]]-Tabla336106734823[[#This Row],[Equity]])/Tabla336106734823[[#This Row],[Equity Peak]],"")</f>
        <v>7.5039168796899479E-3</v>
      </c>
      <c r="V26" s="209">
        <f t="shared" si="7"/>
        <v>0</v>
      </c>
      <c r="W26" s="209">
        <f t="shared" si="8"/>
        <v>0</v>
      </c>
      <c r="X26" s="209">
        <f t="shared" si="9"/>
        <v>0</v>
      </c>
      <c r="Y26" s="209">
        <f t="shared" si="10"/>
        <v>0</v>
      </c>
      <c r="Z26" s="209">
        <f t="shared" si="11"/>
        <v>-0.28000000000000003</v>
      </c>
      <c r="AA26" s="205">
        <f t="shared" si="12"/>
        <v>0</v>
      </c>
      <c r="AB26" s="209">
        <f t="shared" si="13"/>
        <v>0</v>
      </c>
      <c r="AC26" s="205">
        <f t="shared" si="14"/>
        <v>0</v>
      </c>
      <c r="AD26" s="210">
        <f t="shared" si="15"/>
        <v>1.773611111115315</v>
      </c>
      <c r="AE26" s="210">
        <f t="shared" si="16"/>
        <v>0</v>
      </c>
      <c r="AF26" s="210">
        <f t="shared" si="17"/>
        <v>1.773611111115315</v>
      </c>
      <c r="AG26" s="210">
        <f t="shared" si="18"/>
        <v>0</v>
      </c>
    </row>
    <row r="27" spans="2:33" ht="15" customHeight="1" x14ac:dyDescent="0.3">
      <c r="B27" s="196" t="s">
        <v>5</v>
      </c>
      <c r="C27" s="197" t="s">
        <v>15</v>
      </c>
      <c r="D27" s="198" t="str">
        <f t="shared" si="0"/>
        <v>C</v>
      </c>
      <c r="E27" s="199">
        <v>43749.833333333336</v>
      </c>
      <c r="F27" s="200" t="s">
        <v>94</v>
      </c>
      <c r="G27" s="201">
        <v>7241.02</v>
      </c>
      <c r="H27" s="201">
        <v>7144.15</v>
      </c>
      <c r="I27" s="202">
        <f t="shared" si="1"/>
        <v>96.8700000000008</v>
      </c>
      <c r="J27" s="201">
        <v>7725.38</v>
      </c>
      <c r="K27" s="199">
        <v>43753.609722222223</v>
      </c>
      <c r="L27" s="201">
        <v>7180.34</v>
      </c>
      <c r="M27" s="203">
        <f t="shared" si="2"/>
        <v>-60.68</v>
      </c>
      <c r="N27" s="204">
        <f t="shared" si="3"/>
        <v>-0.63</v>
      </c>
      <c r="O27" s="205">
        <f t="shared" si="4"/>
        <v>0</v>
      </c>
      <c r="P27" s="206">
        <f t="shared" si="5"/>
        <v>0</v>
      </c>
      <c r="Q27" s="206">
        <f t="shared" si="6"/>
        <v>-0.63</v>
      </c>
      <c r="R27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27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120640</v>
      </c>
      <c r="T27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121270</v>
      </c>
      <c r="U27" s="208">
        <f ca="1">IF(Tabla336106734823[[#This Row],[Equity]]&lt;Tabla336106734823[[#This Row],[Equity Peak]],(Tabla336106734823[[#This Row],[Equity Peak]]-Tabla336106734823[[#This Row],[Equity]])/Tabla336106734823[[#This Row],[Equity Peak]],"")</f>
        <v>5.1950193782468873E-3</v>
      </c>
      <c r="V27" s="209">
        <f t="shared" si="7"/>
        <v>0</v>
      </c>
      <c r="W27" s="209">
        <f t="shared" si="8"/>
        <v>0</v>
      </c>
      <c r="X27" s="209">
        <f t="shared" si="9"/>
        <v>0</v>
      </c>
      <c r="Y27" s="209">
        <f t="shared" si="10"/>
        <v>0</v>
      </c>
      <c r="Z27" s="209">
        <f t="shared" si="11"/>
        <v>-0.63</v>
      </c>
      <c r="AA27" s="205">
        <f t="shared" si="12"/>
        <v>0</v>
      </c>
      <c r="AB27" s="209">
        <f t="shared" si="13"/>
        <v>0</v>
      </c>
      <c r="AC27" s="205">
        <f t="shared" si="14"/>
        <v>0</v>
      </c>
      <c r="AD27" s="210">
        <f t="shared" si="15"/>
        <v>3.7763888888875954</v>
      </c>
      <c r="AE27" s="210">
        <f t="shared" si="16"/>
        <v>0</v>
      </c>
      <c r="AF27" s="210">
        <f t="shared" si="17"/>
        <v>3.7763888888875954</v>
      </c>
      <c r="AG27" s="210">
        <f t="shared" si="18"/>
        <v>0</v>
      </c>
    </row>
    <row r="28" spans="2:33" ht="15" customHeight="1" x14ac:dyDescent="0.3">
      <c r="B28" s="196" t="s">
        <v>5</v>
      </c>
      <c r="C28" s="197" t="s">
        <v>13</v>
      </c>
      <c r="D28" s="198" t="str">
        <f t="shared" si="0"/>
        <v>C</v>
      </c>
      <c r="E28" s="199">
        <v>43740.166666666664</v>
      </c>
      <c r="F28" s="200" t="s">
        <v>94</v>
      </c>
      <c r="G28" s="201">
        <v>7326.65</v>
      </c>
      <c r="H28" s="201">
        <v>7384.57</v>
      </c>
      <c r="I28" s="202">
        <f t="shared" si="1"/>
        <v>57.920000000000073</v>
      </c>
      <c r="J28" s="201">
        <v>7037.03</v>
      </c>
      <c r="K28" s="199">
        <v>43741.61041666667</v>
      </c>
      <c r="L28" s="201">
        <v>7037.03</v>
      </c>
      <c r="M28" s="203">
        <f t="shared" si="2"/>
        <v>289.62</v>
      </c>
      <c r="N28" s="204">
        <f t="shared" si="3"/>
        <v>5</v>
      </c>
      <c r="O28" s="205">
        <f t="shared" si="4"/>
        <v>0</v>
      </c>
      <c r="P28" s="206">
        <f t="shared" si="5"/>
        <v>5</v>
      </c>
      <c r="Q28" s="206">
        <f t="shared" si="6"/>
        <v>0</v>
      </c>
      <c r="R28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28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121270</v>
      </c>
      <c r="T28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121270</v>
      </c>
      <c r="U28" s="208" t="str">
        <f ca="1">IF(Tabla336106734823[[#This Row],[Equity]]&lt;Tabla336106734823[[#This Row],[Equity Peak]],(Tabla336106734823[[#This Row],[Equity Peak]]-Tabla336106734823[[#This Row],[Equity]])/Tabla336106734823[[#This Row],[Equity Peak]],"")</f>
        <v/>
      </c>
      <c r="V28" s="209">
        <f t="shared" si="7"/>
        <v>0</v>
      </c>
      <c r="W28" s="209">
        <f t="shared" si="8"/>
        <v>0</v>
      </c>
      <c r="X28" s="209">
        <f t="shared" si="9"/>
        <v>0</v>
      </c>
      <c r="Y28" s="209">
        <f t="shared" si="10"/>
        <v>0</v>
      </c>
      <c r="Z28" s="209">
        <f t="shared" si="11"/>
        <v>5</v>
      </c>
      <c r="AA28" s="205">
        <f t="shared" si="12"/>
        <v>0</v>
      </c>
      <c r="AB28" s="209">
        <f t="shared" si="13"/>
        <v>0</v>
      </c>
      <c r="AC28" s="205">
        <f t="shared" si="14"/>
        <v>0</v>
      </c>
      <c r="AD28" s="210">
        <f t="shared" si="15"/>
        <v>1.4437500000058208</v>
      </c>
      <c r="AE28" s="210">
        <f t="shared" si="16"/>
        <v>1.4437500000058208</v>
      </c>
      <c r="AF28" s="210">
        <f t="shared" si="17"/>
        <v>0</v>
      </c>
      <c r="AG28" s="210">
        <f t="shared" si="18"/>
        <v>0</v>
      </c>
    </row>
    <row r="29" spans="2:33" ht="15" customHeight="1" x14ac:dyDescent="0.3">
      <c r="B29" s="196" t="s">
        <v>5</v>
      </c>
      <c r="C29" s="197" t="s">
        <v>15</v>
      </c>
      <c r="D29" s="198" t="str">
        <f t="shared" si="0"/>
        <v>C</v>
      </c>
      <c r="E29" s="199">
        <v>43734.5</v>
      </c>
      <c r="F29" s="200" t="s">
        <v>94</v>
      </c>
      <c r="G29" s="201">
        <v>7361.1</v>
      </c>
      <c r="H29" s="201">
        <v>7287.19</v>
      </c>
      <c r="I29" s="202">
        <f t="shared" si="1"/>
        <v>73.910000000000764</v>
      </c>
      <c r="J29" s="201">
        <v>7730.66</v>
      </c>
      <c r="K29" s="199">
        <v>43739.540277777778</v>
      </c>
      <c r="L29" s="201">
        <v>7371.33</v>
      </c>
      <c r="M29" s="203">
        <f t="shared" si="2"/>
        <v>10.23</v>
      </c>
      <c r="N29" s="204">
        <f t="shared" si="3"/>
        <v>0.14000000000000001</v>
      </c>
      <c r="O29" s="205">
        <f t="shared" si="4"/>
        <v>0</v>
      </c>
      <c r="P29" s="206">
        <f t="shared" si="5"/>
        <v>0.14000000000000001</v>
      </c>
      <c r="Q29" s="206">
        <f t="shared" si="6"/>
        <v>0</v>
      </c>
      <c r="R29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29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116270</v>
      </c>
      <c r="T29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116430</v>
      </c>
      <c r="U29" s="208">
        <f ca="1">IF(Tabla336106734823[[#This Row],[Equity]]&lt;Tabla336106734823[[#This Row],[Equity Peak]],(Tabla336106734823[[#This Row],[Equity Peak]]-Tabla336106734823[[#This Row],[Equity]])/Tabla336106734823[[#This Row],[Equity Peak]],"")</f>
        <v>1.374216267285064E-3</v>
      </c>
      <c r="V29" s="209">
        <f t="shared" si="7"/>
        <v>0</v>
      </c>
      <c r="W29" s="209">
        <f t="shared" si="8"/>
        <v>0</v>
      </c>
      <c r="X29" s="209">
        <f t="shared" si="9"/>
        <v>0</v>
      </c>
      <c r="Y29" s="209">
        <f t="shared" si="10"/>
        <v>0</v>
      </c>
      <c r="Z29" s="209">
        <f t="shared" si="11"/>
        <v>0.14000000000000001</v>
      </c>
      <c r="AA29" s="205">
        <f t="shared" si="12"/>
        <v>0</v>
      </c>
      <c r="AB29" s="209">
        <f t="shared" si="13"/>
        <v>0</v>
      </c>
      <c r="AC29" s="205">
        <f t="shared" si="14"/>
        <v>0</v>
      </c>
      <c r="AD29" s="210">
        <f t="shared" si="15"/>
        <v>5.0402777777781012</v>
      </c>
      <c r="AE29" s="210">
        <f t="shared" si="16"/>
        <v>5.0402777777781012</v>
      </c>
      <c r="AF29" s="210">
        <f t="shared" si="17"/>
        <v>0</v>
      </c>
      <c r="AG29" s="210">
        <f t="shared" si="18"/>
        <v>0</v>
      </c>
    </row>
    <row r="30" spans="2:33" ht="15" customHeight="1" x14ac:dyDescent="0.3">
      <c r="B30" s="196" t="s">
        <v>5</v>
      </c>
      <c r="C30" s="197" t="s">
        <v>13</v>
      </c>
      <c r="D30" s="198" t="str">
        <f t="shared" si="0"/>
        <v>C</v>
      </c>
      <c r="E30" s="199">
        <v>43732.833333333336</v>
      </c>
      <c r="F30" s="200" t="s">
        <v>94</v>
      </c>
      <c r="G30" s="201">
        <v>7250</v>
      </c>
      <c r="H30" s="201">
        <v>7320.31</v>
      </c>
      <c r="I30" s="202">
        <f t="shared" si="1"/>
        <v>70.3100000000004</v>
      </c>
      <c r="J30" s="201">
        <v>6898.45</v>
      </c>
      <c r="K30" s="199">
        <v>43733.740277777775</v>
      </c>
      <c r="L30" s="201">
        <v>7270.96</v>
      </c>
      <c r="M30" s="203">
        <f t="shared" si="2"/>
        <v>-20.96</v>
      </c>
      <c r="N30" s="204">
        <f t="shared" si="3"/>
        <v>-0.3</v>
      </c>
      <c r="O30" s="205">
        <f t="shared" si="4"/>
        <v>0</v>
      </c>
      <c r="P30" s="206">
        <f t="shared" si="5"/>
        <v>0</v>
      </c>
      <c r="Q30" s="206">
        <f t="shared" si="6"/>
        <v>-0.3</v>
      </c>
      <c r="R30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30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116130</v>
      </c>
      <c r="T30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116430</v>
      </c>
      <c r="U30" s="208">
        <f ca="1">IF(Tabla336106734823[[#This Row],[Equity]]&lt;Tabla336106734823[[#This Row],[Equity Peak]],(Tabla336106734823[[#This Row],[Equity Peak]]-Tabla336106734823[[#This Row],[Equity]])/Tabla336106734823[[#This Row],[Equity Peak]],"")</f>
        <v>2.5766555011594952E-3</v>
      </c>
      <c r="V30" s="209">
        <f t="shared" si="7"/>
        <v>0</v>
      </c>
      <c r="W30" s="209">
        <f t="shared" si="8"/>
        <v>0</v>
      </c>
      <c r="X30" s="209">
        <f t="shared" si="9"/>
        <v>0</v>
      </c>
      <c r="Y30" s="209">
        <f t="shared" si="10"/>
        <v>0</v>
      </c>
      <c r="Z30" s="209">
        <f t="shared" si="11"/>
        <v>-0.3</v>
      </c>
      <c r="AA30" s="205">
        <f t="shared" si="12"/>
        <v>0</v>
      </c>
      <c r="AB30" s="209">
        <f t="shared" si="13"/>
        <v>0</v>
      </c>
      <c r="AC30" s="205">
        <f t="shared" si="14"/>
        <v>0</v>
      </c>
      <c r="AD30" s="210">
        <f t="shared" si="15"/>
        <v>0.90694444443943212</v>
      </c>
      <c r="AE30" s="210">
        <f t="shared" si="16"/>
        <v>0</v>
      </c>
      <c r="AF30" s="210">
        <f t="shared" si="17"/>
        <v>0.90694444443943212</v>
      </c>
      <c r="AG30" s="210">
        <f t="shared" si="18"/>
        <v>0</v>
      </c>
    </row>
    <row r="31" spans="2:33" ht="15" customHeight="1" x14ac:dyDescent="0.3">
      <c r="B31" s="196" t="s">
        <v>5</v>
      </c>
      <c r="C31" s="197" t="s">
        <v>15</v>
      </c>
      <c r="D31" s="198" t="str">
        <f t="shared" si="0"/>
        <v>C</v>
      </c>
      <c r="E31" s="199">
        <v>43718.833333333336</v>
      </c>
      <c r="F31" s="200" t="s">
        <v>94</v>
      </c>
      <c r="G31" s="201">
        <v>7281.85</v>
      </c>
      <c r="H31" s="201">
        <v>7217.3</v>
      </c>
      <c r="I31" s="202">
        <f t="shared" si="1"/>
        <v>64.550000000000182</v>
      </c>
      <c r="J31" s="201">
        <v>7604.61</v>
      </c>
      <c r="K31" s="199">
        <v>43720.512499999997</v>
      </c>
      <c r="L31" s="201">
        <v>7322.21</v>
      </c>
      <c r="M31" s="203">
        <f t="shared" si="2"/>
        <v>40.36</v>
      </c>
      <c r="N31" s="204">
        <f t="shared" si="3"/>
        <v>0.63</v>
      </c>
      <c r="O31" s="205">
        <f t="shared" si="4"/>
        <v>0</v>
      </c>
      <c r="P31" s="206">
        <f t="shared" si="5"/>
        <v>0.63</v>
      </c>
      <c r="Q31" s="206">
        <f t="shared" si="6"/>
        <v>0</v>
      </c>
      <c r="R31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31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116430</v>
      </c>
      <c r="T31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116430</v>
      </c>
      <c r="U31" s="208" t="str">
        <f ca="1">IF(Tabla336106734823[[#This Row],[Equity]]&lt;Tabla336106734823[[#This Row],[Equity Peak]],(Tabla336106734823[[#This Row],[Equity Peak]]-Tabla336106734823[[#This Row],[Equity]])/Tabla336106734823[[#This Row],[Equity Peak]],"")</f>
        <v/>
      </c>
      <c r="V31" s="209">
        <f t="shared" si="7"/>
        <v>0</v>
      </c>
      <c r="W31" s="209">
        <f t="shared" si="8"/>
        <v>0</v>
      </c>
      <c r="X31" s="209">
        <f t="shared" si="9"/>
        <v>0</v>
      </c>
      <c r="Y31" s="209">
        <f t="shared" si="10"/>
        <v>0</v>
      </c>
      <c r="Z31" s="209">
        <f t="shared" si="11"/>
        <v>0.63</v>
      </c>
      <c r="AA31" s="205">
        <f t="shared" si="12"/>
        <v>0</v>
      </c>
      <c r="AB31" s="209">
        <f t="shared" si="13"/>
        <v>0</v>
      </c>
      <c r="AC31" s="205">
        <f t="shared" si="14"/>
        <v>0</v>
      </c>
      <c r="AD31" s="210">
        <f t="shared" si="15"/>
        <v>1.679166666661331</v>
      </c>
      <c r="AE31" s="210">
        <f t="shared" si="16"/>
        <v>1.679166666661331</v>
      </c>
      <c r="AF31" s="210">
        <f t="shared" si="17"/>
        <v>0</v>
      </c>
      <c r="AG31" s="210">
        <f t="shared" si="18"/>
        <v>0</v>
      </c>
    </row>
    <row r="32" spans="2:33" ht="15" customHeight="1" x14ac:dyDescent="0.3">
      <c r="B32" s="196" t="s">
        <v>5</v>
      </c>
      <c r="C32" s="197" t="s">
        <v>13</v>
      </c>
      <c r="D32" s="198" t="str">
        <f t="shared" si="0"/>
        <v>C</v>
      </c>
      <c r="E32" s="199">
        <v>43718.333333333336</v>
      </c>
      <c r="F32" s="200" t="s">
        <v>94</v>
      </c>
      <c r="G32" s="201">
        <v>7220.71</v>
      </c>
      <c r="H32" s="201">
        <v>7275.62</v>
      </c>
      <c r="I32" s="202">
        <f t="shared" si="1"/>
        <v>54.909999999999854</v>
      </c>
      <c r="J32" s="201">
        <v>6946.15</v>
      </c>
      <c r="K32" s="199">
        <v>43718.742361111108</v>
      </c>
      <c r="L32" s="201">
        <v>7254.12</v>
      </c>
      <c r="M32" s="203">
        <f t="shared" si="2"/>
        <v>-33.409999999999997</v>
      </c>
      <c r="N32" s="204">
        <f t="shared" si="3"/>
        <v>-0.61</v>
      </c>
      <c r="O32" s="205">
        <f t="shared" si="4"/>
        <v>0</v>
      </c>
      <c r="P32" s="206">
        <f t="shared" si="5"/>
        <v>0</v>
      </c>
      <c r="Q32" s="206">
        <f t="shared" si="6"/>
        <v>-0.61</v>
      </c>
      <c r="R32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32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115800</v>
      </c>
      <c r="T32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116410</v>
      </c>
      <c r="U32" s="208">
        <f ca="1">IF(Tabla336106734823[[#This Row],[Equity]]&lt;Tabla336106734823[[#This Row],[Equity Peak]],(Tabla336106734823[[#This Row],[Equity Peak]]-Tabla336106734823[[#This Row],[Equity]])/Tabla336106734823[[#This Row],[Equity Peak]],"")</f>
        <v>5.2400996477965809E-3</v>
      </c>
      <c r="V32" s="209">
        <f t="shared" si="7"/>
        <v>0</v>
      </c>
      <c r="W32" s="209">
        <f t="shared" si="8"/>
        <v>0</v>
      </c>
      <c r="X32" s="209">
        <f t="shared" si="9"/>
        <v>0</v>
      </c>
      <c r="Y32" s="209">
        <f t="shared" si="10"/>
        <v>0</v>
      </c>
      <c r="Z32" s="209">
        <f t="shared" si="11"/>
        <v>-0.61</v>
      </c>
      <c r="AA32" s="205">
        <f t="shared" si="12"/>
        <v>0</v>
      </c>
      <c r="AB32" s="209">
        <f t="shared" si="13"/>
        <v>0</v>
      </c>
      <c r="AC32" s="205">
        <f t="shared" si="14"/>
        <v>0</v>
      </c>
      <c r="AD32" s="210">
        <f t="shared" si="15"/>
        <v>0.40902777777228039</v>
      </c>
      <c r="AE32" s="210">
        <f t="shared" si="16"/>
        <v>0</v>
      </c>
      <c r="AF32" s="210">
        <f t="shared" si="17"/>
        <v>0.40902777777228039</v>
      </c>
      <c r="AG32" s="210">
        <f t="shared" si="18"/>
        <v>0</v>
      </c>
    </row>
    <row r="33" spans="2:33" ht="15" customHeight="1" x14ac:dyDescent="0.3">
      <c r="B33" s="196" t="s">
        <v>5</v>
      </c>
      <c r="C33" s="197" t="s">
        <v>15</v>
      </c>
      <c r="D33" s="198" t="str">
        <f t="shared" si="0"/>
        <v>C</v>
      </c>
      <c r="E33" s="199">
        <v>43706.833333333336</v>
      </c>
      <c r="F33" s="200" t="s">
        <v>94</v>
      </c>
      <c r="G33" s="201">
        <v>7186.6</v>
      </c>
      <c r="H33" s="201">
        <v>7100.62</v>
      </c>
      <c r="I33" s="202">
        <f t="shared" si="1"/>
        <v>85.980000000000473</v>
      </c>
      <c r="J33" s="201">
        <v>7616.5</v>
      </c>
      <c r="K33" s="199">
        <v>43713.443055555559</v>
      </c>
      <c r="L33" s="201">
        <v>7275.22</v>
      </c>
      <c r="M33" s="203">
        <f t="shared" si="2"/>
        <v>88.62</v>
      </c>
      <c r="N33" s="204">
        <f t="shared" si="3"/>
        <v>1.03</v>
      </c>
      <c r="O33" s="205">
        <f t="shared" si="4"/>
        <v>0</v>
      </c>
      <c r="P33" s="206">
        <f t="shared" si="5"/>
        <v>1.03</v>
      </c>
      <c r="Q33" s="206">
        <f t="shared" si="6"/>
        <v>0</v>
      </c>
      <c r="R33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33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116410</v>
      </c>
      <c r="T33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116410</v>
      </c>
      <c r="U33" s="208" t="str">
        <f ca="1">IF(Tabla336106734823[[#This Row],[Equity]]&lt;Tabla336106734823[[#This Row],[Equity Peak]],(Tabla336106734823[[#This Row],[Equity Peak]]-Tabla336106734823[[#This Row],[Equity]])/Tabla336106734823[[#This Row],[Equity Peak]],"")</f>
        <v/>
      </c>
      <c r="V33" s="209">
        <f t="shared" si="7"/>
        <v>0</v>
      </c>
      <c r="W33" s="209">
        <f t="shared" si="8"/>
        <v>0</v>
      </c>
      <c r="X33" s="209">
        <f t="shared" si="9"/>
        <v>0</v>
      </c>
      <c r="Y33" s="209">
        <f t="shared" si="10"/>
        <v>0</v>
      </c>
      <c r="Z33" s="209">
        <f t="shared" si="11"/>
        <v>1.03</v>
      </c>
      <c r="AA33" s="205">
        <f t="shared" si="12"/>
        <v>0</v>
      </c>
      <c r="AB33" s="209">
        <f t="shared" si="13"/>
        <v>0</v>
      </c>
      <c r="AC33" s="205">
        <f t="shared" si="14"/>
        <v>0</v>
      </c>
      <c r="AD33" s="210">
        <f t="shared" si="15"/>
        <v>6.609722222223354</v>
      </c>
      <c r="AE33" s="210">
        <f t="shared" si="16"/>
        <v>6.609722222223354</v>
      </c>
      <c r="AF33" s="210">
        <f t="shared" si="17"/>
        <v>0</v>
      </c>
      <c r="AG33" s="210">
        <f t="shared" si="18"/>
        <v>0</v>
      </c>
    </row>
    <row r="34" spans="2:33" ht="15" customHeight="1" x14ac:dyDescent="0.3">
      <c r="B34" s="196" t="s">
        <v>5</v>
      </c>
      <c r="C34" s="197" t="s">
        <v>13</v>
      </c>
      <c r="D34" s="198" t="str">
        <f t="shared" si="0"/>
        <v>C</v>
      </c>
      <c r="E34" s="199">
        <v>43679.017361111109</v>
      </c>
      <c r="F34" s="200" t="s">
        <v>94</v>
      </c>
      <c r="G34" s="201">
        <v>7501.71</v>
      </c>
      <c r="H34" s="201">
        <v>7584.71</v>
      </c>
      <c r="I34" s="202">
        <f t="shared" si="1"/>
        <v>83</v>
      </c>
      <c r="J34" s="201">
        <v>7086.7</v>
      </c>
      <c r="K34" s="199">
        <v>43683.102777777778</v>
      </c>
      <c r="L34" s="201">
        <v>7086.7</v>
      </c>
      <c r="M34" s="203">
        <f t="shared" si="2"/>
        <v>415.01</v>
      </c>
      <c r="N34" s="204">
        <f t="shared" si="3"/>
        <v>5</v>
      </c>
      <c r="O34" s="205">
        <f t="shared" si="4"/>
        <v>0</v>
      </c>
      <c r="P34" s="206">
        <f t="shared" si="5"/>
        <v>5</v>
      </c>
      <c r="Q34" s="206">
        <f t="shared" si="6"/>
        <v>0</v>
      </c>
      <c r="R34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34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115380</v>
      </c>
      <c r="T34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115380</v>
      </c>
      <c r="U34" s="208" t="str">
        <f ca="1">IF(Tabla336106734823[[#This Row],[Equity]]&lt;Tabla336106734823[[#This Row],[Equity Peak]],(Tabla336106734823[[#This Row],[Equity Peak]]-Tabla336106734823[[#This Row],[Equity]])/Tabla336106734823[[#This Row],[Equity Peak]],"")</f>
        <v/>
      </c>
      <c r="V34" s="209">
        <f t="shared" si="7"/>
        <v>0</v>
      </c>
      <c r="W34" s="209">
        <f t="shared" si="8"/>
        <v>0</v>
      </c>
      <c r="X34" s="209">
        <f t="shared" si="9"/>
        <v>0</v>
      </c>
      <c r="Y34" s="209">
        <f t="shared" si="10"/>
        <v>0</v>
      </c>
      <c r="Z34" s="209">
        <f t="shared" si="11"/>
        <v>5</v>
      </c>
      <c r="AA34" s="205">
        <f t="shared" si="12"/>
        <v>0</v>
      </c>
      <c r="AB34" s="209">
        <f t="shared" si="13"/>
        <v>0</v>
      </c>
      <c r="AC34" s="205">
        <f t="shared" si="14"/>
        <v>0</v>
      </c>
      <c r="AD34" s="210">
        <f t="shared" si="15"/>
        <v>4.0854166666686069</v>
      </c>
      <c r="AE34" s="210">
        <f t="shared" si="16"/>
        <v>4.0854166666686069</v>
      </c>
      <c r="AF34" s="210">
        <f t="shared" si="17"/>
        <v>0</v>
      </c>
      <c r="AG34" s="210">
        <f t="shared" si="18"/>
        <v>0</v>
      </c>
    </row>
    <row r="35" spans="2:33" ht="15" customHeight="1" x14ac:dyDescent="0.3">
      <c r="B35" s="196" t="s">
        <v>5</v>
      </c>
      <c r="C35" s="197" t="s">
        <v>15</v>
      </c>
      <c r="D35" s="198" t="str">
        <f t="shared" si="0"/>
        <v>C</v>
      </c>
      <c r="E35" s="199">
        <v>43672.833333333336</v>
      </c>
      <c r="F35" s="200" t="s">
        <v>94</v>
      </c>
      <c r="G35" s="201">
        <v>7555.19</v>
      </c>
      <c r="H35" s="201">
        <v>7503.07</v>
      </c>
      <c r="I35" s="202">
        <f t="shared" si="1"/>
        <v>52.119999999999891</v>
      </c>
      <c r="J35" s="201">
        <v>7815.78</v>
      </c>
      <c r="K35" s="199">
        <v>43676.71875</v>
      </c>
      <c r="L35" s="201">
        <v>7659.26</v>
      </c>
      <c r="M35" s="203">
        <f t="shared" si="2"/>
        <v>104.07</v>
      </c>
      <c r="N35" s="204">
        <f t="shared" si="3"/>
        <v>2</v>
      </c>
      <c r="O35" s="205">
        <f t="shared" si="4"/>
        <v>0</v>
      </c>
      <c r="P35" s="206">
        <f t="shared" si="5"/>
        <v>2</v>
      </c>
      <c r="Q35" s="206">
        <f t="shared" si="6"/>
        <v>0</v>
      </c>
      <c r="R35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35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110380</v>
      </c>
      <c r="T35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110380</v>
      </c>
      <c r="U35" s="208" t="str">
        <f ca="1">IF(Tabla336106734823[[#This Row],[Equity]]&lt;Tabla336106734823[[#This Row],[Equity Peak]],(Tabla336106734823[[#This Row],[Equity Peak]]-Tabla336106734823[[#This Row],[Equity]])/Tabla336106734823[[#This Row],[Equity Peak]],"")</f>
        <v/>
      </c>
      <c r="V35" s="209">
        <f t="shared" si="7"/>
        <v>0</v>
      </c>
      <c r="W35" s="209">
        <f t="shared" si="8"/>
        <v>0</v>
      </c>
      <c r="X35" s="209">
        <f t="shared" si="9"/>
        <v>0</v>
      </c>
      <c r="Y35" s="209">
        <f t="shared" si="10"/>
        <v>0</v>
      </c>
      <c r="Z35" s="209">
        <f t="shared" si="11"/>
        <v>2</v>
      </c>
      <c r="AA35" s="205">
        <f t="shared" si="12"/>
        <v>0</v>
      </c>
      <c r="AB35" s="209">
        <f t="shared" si="13"/>
        <v>0</v>
      </c>
      <c r="AC35" s="205">
        <f t="shared" si="14"/>
        <v>0</v>
      </c>
      <c r="AD35" s="210">
        <f t="shared" si="15"/>
        <v>3.8854166666642413</v>
      </c>
      <c r="AE35" s="210">
        <f t="shared" si="16"/>
        <v>3.8854166666642413</v>
      </c>
      <c r="AF35" s="210">
        <f t="shared" si="17"/>
        <v>0</v>
      </c>
      <c r="AG35" s="210">
        <f t="shared" si="18"/>
        <v>0</v>
      </c>
    </row>
    <row r="36" spans="2:33" ht="15" customHeight="1" x14ac:dyDescent="0.3">
      <c r="B36" s="196" t="s">
        <v>5</v>
      </c>
      <c r="C36" s="197" t="s">
        <v>13</v>
      </c>
      <c r="D36" s="198" t="str">
        <f t="shared" si="0"/>
        <v>C</v>
      </c>
      <c r="E36" s="199">
        <v>43670.666666666664</v>
      </c>
      <c r="F36" s="200" t="s">
        <v>94</v>
      </c>
      <c r="G36" s="201">
        <v>7495.63</v>
      </c>
      <c r="H36" s="201">
        <v>7556.31</v>
      </c>
      <c r="I36" s="202">
        <f t="shared" si="1"/>
        <v>60.680000000000291</v>
      </c>
      <c r="J36" s="201">
        <v>7192.22</v>
      </c>
      <c r="K36" s="199">
        <v>43671.606944444444</v>
      </c>
      <c r="L36" s="201">
        <v>7540.64</v>
      </c>
      <c r="M36" s="203">
        <f t="shared" si="2"/>
        <v>-45.01</v>
      </c>
      <c r="N36" s="204">
        <f t="shared" si="3"/>
        <v>-0.74</v>
      </c>
      <c r="O36" s="205">
        <f t="shared" si="4"/>
        <v>0</v>
      </c>
      <c r="P36" s="206">
        <f t="shared" si="5"/>
        <v>0</v>
      </c>
      <c r="Q36" s="206">
        <f t="shared" si="6"/>
        <v>-0.74</v>
      </c>
      <c r="R36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36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108380</v>
      </c>
      <c r="T36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110170</v>
      </c>
      <c r="U36" s="208">
        <f ca="1">IF(Tabla336106734823[[#This Row],[Equity]]&lt;Tabla336106734823[[#This Row],[Equity Peak]],(Tabla336106734823[[#This Row],[Equity Peak]]-Tabla336106734823[[#This Row],[Equity]])/Tabla336106734823[[#This Row],[Equity Peak]],"")</f>
        <v>1.62476173186893E-2</v>
      </c>
      <c r="V36" s="209">
        <f t="shared" si="7"/>
        <v>0</v>
      </c>
      <c r="W36" s="209">
        <f t="shared" si="8"/>
        <v>0</v>
      </c>
      <c r="X36" s="209">
        <f t="shared" si="9"/>
        <v>0</v>
      </c>
      <c r="Y36" s="209">
        <f t="shared" si="10"/>
        <v>0</v>
      </c>
      <c r="Z36" s="209">
        <f t="shared" si="11"/>
        <v>-0.74</v>
      </c>
      <c r="AA36" s="205">
        <f t="shared" si="12"/>
        <v>0</v>
      </c>
      <c r="AB36" s="209">
        <f t="shared" si="13"/>
        <v>0</v>
      </c>
      <c r="AC36" s="205">
        <f t="shared" si="14"/>
        <v>0</v>
      </c>
      <c r="AD36" s="210">
        <f t="shared" si="15"/>
        <v>0.94027777777955635</v>
      </c>
      <c r="AE36" s="210">
        <f t="shared" si="16"/>
        <v>0</v>
      </c>
      <c r="AF36" s="210">
        <f t="shared" si="17"/>
        <v>0.94027777777955635</v>
      </c>
      <c r="AG36" s="210">
        <f t="shared" si="18"/>
        <v>0</v>
      </c>
    </row>
    <row r="37" spans="2:33" ht="15" customHeight="1" x14ac:dyDescent="0.3">
      <c r="B37" s="196" t="s">
        <v>5</v>
      </c>
      <c r="C37" s="197" t="s">
        <v>15</v>
      </c>
      <c r="D37" s="198" t="str">
        <f t="shared" si="0"/>
        <v>C</v>
      </c>
      <c r="E37" s="199">
        <v>43669.333333333336</v>
      </c>
      <c r="F37" s="200" t="s">
        <v>94</v>
      </c>
      <c r="G37" s="201">
        <v>7542.79</v>
      </c>
      <c r="H37" s="201">
        <v>7488.65</v>
      </c>
      <c r="I37" s="202">
        <f t="shared" si="1"/>
        <v>54.140000000000327</v>
      </c>
      <c r="J37" s="201">
        <v>7813.5</v>
      </c>
      <c r="K37" s="199">
        <v>43670.387499999997</v>
      </c>
      <c r="L37" s="201">
        <v>7535.58</v>
      </c>
      <c r="M37" s="203">
        <f t="shared" si="2"/>
        <v>-7.21</v>
      </c>
      <c r="N37" s="204">
        <f t="shared" si="3"/>
        <v>-0.13</v>
      </c>
      <c r="O37" s="205">
        <f t="shared" si="4"/>
        <v>0</v>
      </c>
      <c r="P37" s="206">
        <f t="shared" si="5"/>
        <v>0</v>
      </c>
      <c r="Q37" s="206">
        <f t="shared" si="6"/>
        <v>-0.13</v>
      </c>
      <c r="R37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37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109120</v>
      </c>
      <c r="T37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110170</v>
      </c>
      <c r="U37" s="208">
        <f ca="1">IF(Tabla336106734823[[#This Row],[Equity]]&lt;Tabla336106734823[[#This Row],[Equity Peak]],(Tabla336106734823[[#This Row],[Equity Peak]]-Tabla336106734823[[#This Row],[Equity]])/Tabla336106734823[[#This Row],[Equity Peak]],"")</f>
        <v>9.530725242806572E-3</v>
      </c>
      <c r="V37" s="209">
        <f t="shared" si="7"/>
        <v>0</v>
      </c>
      <c r="W37" s="209">
        <f t="shared" si="8"/>
        <v>0</v>
      </c>
      <c r="X37" s="209">
        <f t="shared" si="9"/>
        <v>0</v>
      </c>
      <c r="Y37" s="209">
        <f t="shared" si="10"/>
        <v>0</v>
      </c>
      <c r="Z37" s="209">
        <f t="shared" si="11"/>
        <v>-0.13</v>
      </c>
      <c r="AA37" s="205">
        <f t="shared" si="12"/>
        <v>0</v>
      </c>
      <c r="AB37" s="209">
        <f t="shared" si="13"/>
        <v>0</v>
      </c>
      <c r="AC37" s="205">
        <f t="shared" si="14"/>
        <v>0</v>
      </c>
      <c r="AD37" s="210">
        <f t="shared" si="15"/>
        <v>1.054166666661331</v>
      </c>
      <c r="AE37" s="210">
        <f t="shared" si="16"/>
        <v>0</v>
      </c>
      <c r="AF37" s="210">
        <f t="shared" si="17"/>
        <v>1.054166666661331</v>
      </c>
      <c r="AG37" s="210">
        <f t="shared" si="18"/>
        <v>0</v>
      </c>
    </row>
    <row r="38" spans="2:33" ht="15" customHeight="1" x14ac:dyDescent="0.3">
      <c r="B38" s="196" t="s">
        <v>5</v>
      </c>
      <c r="C38" s="197" t="s">
        <v>13</v>
      </c>
      <c r="D38" s="198" t="str">
        <f t="shared" si="0"/>
        <v>C</v>
      </c>
      <c r="E38" s="199">
        <v>43664.166666666664</v>
      </c>
      <c r="F38" s="200" t="s">
        <v>94</v>
      </c>
      <c r="G38" s="201">
        <v>7508.03</v>
      </c>
      <c r="H38" s="201">
        <v>7551.05</v>
      </c>
      <c r="I38" s="202">
        <f t="shared" si="1"/>
        <v>43.020000000000437</v>
      </c>
      <c r="J38" s="201">
        <v>7292.93</v>
      </c>
      <c r="K38" s="199">
        <v>43665.268750000003</v>
      </c>
      <c r="L38" s="201">
        <v>7525.8</v>
      </c>
      <c r="M38" s="203">
        <f t="shared" si="2"/>
        <v>-17.77</v>
      </c>
      <c r="N38" s="204">
        <f t="shared" si="3"/>
        <v>-0.41</v>
      </c>
      <c r="O38" s="205">
        <f t="shared" si="4"/>
        <v>0</v>
      </c>
      <c r="P38" s="206">
        <f t="shared" si="5"/>
        <v>0</v>
      </c>
      <c r="Q38" s="206">
        <f t="shared" si="6"/>
        <v>-0.41</v>
      </c>
      <c r="R38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38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109250</v>
      </c>
      <c r="T38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110170</v>
      </c>
      <c r="U38" s="208">
        <f ca="1">IF(Tabla336106734823[[#This Row],[Equity]]&lt;Tabla336106734823[[#This Row],[Equity Peak]],(Tabla336106734823[[#This Row],[Equity Peak]]-Tabla336106734823[[#This Row],[Equity]])/Tabla336106734823[[#This Row],[Equity Peak]],"")</f>
        <v>8.350730688935281E-3</v>
      </c>
      <c r="V38" s="209">
        <f t="shared" si="7"/>
        <v>0</v>
      </c>
      <c r="W38" s="209">
        <f t="shared" si="8"/>
        <v>0</v>
      </c>
      <c r="X38" s="209">
        <f t="shared" si="9"/>
        <v>0</v>
      </c>
      <c r="Y38" s="209">
        <f t="shared" si="10"/>
        <v>0</v>
      </c>
      <c r="Z38" s="209">
        <f t="shared" si="11"/>
        <v>-0.41</v>
      </c>
      <c r="AA38" s="205">
        <f t="shared" si="12"/>
        <v>0</v>
      </c>
      <c r="AB38" s="209">
        <f t="shared" si="13"/>
        <v>0</v>
      </c>
      <c r="AC38" s="205">
        <f t="shared" si="14"/>
        <v>0</v>
      </c>
      <c r="AD38" s="210">
        <f t="shared" si="15"/>
        <v>1.102083333338669</v>
      </c>
      <c r="AE38" s="210">
        <f t="shared" si="16"/>
        <v>0</v>
      </c>
      <c r="AF38" s="210">
        <f t="shared" si="17"/>
        <v>1.102083333338669</v>
      </c>
      <c r="AG38" s="210">
        <f t="shared" si="18"/>
        <v>0</v>
      </c>
    </row>
    <row r="39" spans="2:33" ht="15" customHeight="1" x14ac:dyDescent="0.3">
      <c r="B39" s="196" t="s">
        <v>5</v>
      </c>
      <c r="C39" s="197" t="s">
        <v>15</v>
      </c>
      <c r="D39" s="198" t="str">
        <f t="shared" si="0"/>
        <v>C</v>
      </c>
      <c r="E39" s="199">
        <v>43662.017361111109</v>
      </c>
      <c r="F39" s="200" t="s">
        <v>94</v>
      </c>
      <c r="G39" s="201">
        <v>7538.66</v>
      </c>
      <c r="H39" s="201">
        <v>7497.77</v>
      </c>
      <c r="I39" s="202">
        <f t="shared" si="1"/>
        <v>40.889999999999418</v>
      </c>
      <c r="J39" s="201">
        <v>7743.09</v>
      </c>
      <c r="K39" s="199">
        <v>43663.768055555556</v>
      </c>
      <c r="L39" s="201">
        <v>7531.84</v>
      </c>
      <c r="M39" s="203">
        <f t="shared" si="2"/>
        <v>-6.82</v>
      </c>
      <c r="N39" s="204">
        <f t="shared" si="3"/>
        <v>-0.17</v>
      </c>
      <c r="O39" s="205">
        <f t="shared" si="4"/>
        <v>0</v>
      </c>
      <c r="P39" s="206">
        <f t="shared" si="5"/>
        <v>0</v>
      </c>
      <c r="Q39" s="206">
        <f t="shared" si="6"/>
        <v>-0.17</v>
      </c>
      <c r="R39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39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109660</v>
      </c>
      <c r="T39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110170</v>
      </c>
      <c r="U39" s="208">
        <f ca="1">IF(Tabla336106734823[[#This Row],[Equity]]&lt;Tabla336106734823[[#This Row],[Equity Peak]],(Tabla336106734823[[#This Row],[Equity Peak]]-Tabla336106734823[[#This Row],[Equity]])/Tabla336106734823[[#This Row],[Equity Peak]],"")</f>
        <v>4.6292094036489064E-3</v>
      </c>
      <c r="V39" s="209">
        <f t="shared" si="7"/>
        <v>0</v>
      </c>
      <c r="W39" s="209">
        <f t="shared" si="8"/>
        <v>0</v>
      </c>
      <c r="X39" s="209">
        <f t="shared" si="9"/>
        <v>0</v>
      </c>
      <c r="Y39" s="209">
        <f t="shared" si="10"/>
        <v>0</v>
      </c>
      <c r="Z39" s="209">
        <f t="shared" si="11"/>
        <v>-0.17</v>
      </c>
      <c r="AA39" s="205">
        <f t="shared" si="12"/>
        <v>0</v>
      </c>
      <c r="AB39" s="209">
        <f t="shared" si="13"/>
        <v>0</v>
      </c>
      <c r="AC39" s="205">
        <f t="shared" si="14"/>
        <v>0</v>
      </c>
      <c r="AD39" s="210">
        <f t="shared" si="15"/>
        <v>1.7506944444467081</v>
      </c>
      <c r="AE39" s="210">
        <f t="shared" si="16"/>
        <v>0</v>
      </c>
      <c r="AF39" s="210">
        <f t="shared" si="17"/>
        <v>1.7506944444467081</v>
      </c>
      <c r="AG39" s="210">
        <f t="shared" si="18"/>
        <v>0</v>
      </c>
    </row>
    <row r="40" spans="2:33" ht="15" customHeight="1" x14ac:dyDescent="0.3">
      <c r="B40" s="196" t="s">
        <v>5</v>
      </c>
      <c r="C40" s="197" t="s">
        <v>13</v>
      </c>
      <c r="D40" s="198" t="str">
        <f t="shared" si="0"/>
        <v>C</v>
      </c>
      <c r="E40" s="199">
        <v>43658.833333333336</v>
      </c>
      <c r="F40" s="200" t="s">
        <v>94</v>
      </c>
      <c r="G40" s="201">
        <v>7499.1</v>
      </c>
      <c r="H40" s="201">
        <v>7543.53</v>
      </c>
      <c r="I40" s="202">
        <f t="shared" si="1"/>
        <v>44.429999999999382</v>
      </c>
      <c r="J40" s="201">
        <v>7276.97</v>
      </c>
      <c r="K40" s="199">
        <v>43661.380555555559</v>
      </c>
      <c r="L40" s="201">
        <v>7514.3</v>
      </c>
      <c r="M40" s="203">
        <f t="shared" si="2"/>
        <v>-15.2</v>
      </c>
      <c r="N40" s="204">
        <f t="shared" si="3"/>
        <v>-0.34</v>
      </c>
      <c r="O40" s="205">
        <f t="shared" si="4"/>
        <v>0</v>
      </c>
      <c r="P40" s="206">
        <f t="shared" si="5"/>
        <v>0</v>
      </c>
      <c r="Q40" s="206">
        <f t="shared" si="6"/>
        <v>-0.34</v>
      </c>
      <c r="R40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40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109830</v>
      </c>
      <c r="T40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110170</v>
      </c>
      <c r="U40" s="208">
        <f ca="1">IF(Tabla336106734823[[#This Row],[Equity]]&lt;Tabla336106734823[[#This Row],[Equity Peak]],(Tabla336106734823[[#This Row],[Equity Peak]]-Tabla336106734823[[#This Row],[Equity]])/Tabla336106734823[[#This Row],[Equity Peak]],"")</f>
        <v>3.0861396024326041E-3</v>
      </c>
      <c r="V40" s="209">
        <f t="shared" si="7"/>
        <v>0</v>
      </c>
      <c r="W40" s="209">
        <f t="shared" si="8"/>
        <v>0</v>
      </c>
      <c r="X40" s="209">
        <f t="shared" si="9"/>
        <v>0</v>
      </c>
      <c r="Y40" s="209">
        <f t="shared" si="10"/>
        <v>0</v>
      </c>
      <c r="Z40" s="209">
        <f t="shared" si="11"/>
        <v>-0.34</v>
      </c>
      <c r="AA40" s="205">
        <f t="shared" si="12"/>
        <v>0</v>
      </c>
      <c r="AB40" s="209">
        <f t="shared" si="13"/>
        <v>0</v>
      </c>
      <c r="AC40" s="205">
        <f t="shared" si="14"/>
        <v>0</v>
      </c>
      <c r="AD40" s="210">
        <f t="shared" si="15"/>
        <v>2.547222222223354</v>
      </c>
      <c r="AE40" s="210">
        <f t="shared" si="16"/>
        <v>0</v>
      </c>
      <c r="AF40" s="210">
        <f t="shared" si="17"/>
        <v>2.547222222223354</v>
      </c>
      <c r="AG40" s="210">
        <f t="shared" si="18"/>
        <v>0</v>
      </c>
    </row>
    <row r="41" spans="2:33" ht="15" customHeight="1" x14ac:dyDescent="0.3">
      <c r="B41" s="196" t="s">
        <v>5</v>
      </c>
      <c r="C41" s="197" t="s">
        <v>15</v>
      </c>
      <c r="D41" s="198" t="str">
        <f t="shared" si="0"/>
        <v>C</v>
      </c>
      <c r="E41" s="199">
        <v>43621.5</v>
      </c>
      <c r="F41" s="200" t="s">
        <v>94</v>
      </c>
      <c r="G41" s="201">
        <v>7233.66</v>
      </c>
      <c r="H41" s="201">
        <v>7163.4</v>
      </c>
      <c r="I41" s="202">
        <f t="shared" si="1"/>
        <v>70.260000000000218</v>
      </c>
      <c r="J41" s="201">
        <v>7584.94</v>
      </c>
      <c r="K41" s="199">
        <v>43628.415277777778</v>
      </c>
      <c r="L41" s="201">
        <v>7365.48</v>
      </c>
      <c r="M41" s="203">
        <f t="shared" si="2"/>
        <v>131.82</v>
      </c>
      <c r="N41" s="204">
        <f t="shared" si="3"/>
        <v>1.88</v>
      </c>
      <c r="O41" s="205">
        <f t="shared" si="4"/>
        <v>0</v>
      </c>
      <c r="P41" s="206">
        <f t="shared" si="5"/>
        <v>1.88</v>
      </c>
      <c r="Q41" s="206">
        <f t="shared" si="6"/>
        <v>0</v>
      </c>
      <c r="R41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41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110170</v>
      </c>
      <c r="T41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110170</v>
      </c>
      <c r="U41" s="208" t="str">
        <f ca="1">IF(Tabla336106734823[[#This Row],[Equity]]&lt;Tabla336106734823[[#This Row],[Equity Peak]],(Tabla336106734823[[#This Row],[Equity Peak]]-Tabla336106734823[[#This Row],[Equity]])/Tabla336106734823[[#This Row],[Equity Peak]],"")</f>
        <v/>
      </c>
      <c r="V41" s="209">
        <f t="shared" si="7"/>
        <v>0</v>
      </c>
      <c r="W41" s="209">
        <f t="shared" si="8"/>
        <v>0</v>
      </c>
      <c r="X41" s="209">
        <f t="shared" si="9"/>
        <v>0</v>
      </c>
      <c r="Y41" s="209">
        <f t="shared" si="10"/>
        <v>0</v>
      </c>
      <c r="Z41" s="209">
        <f t="shared" si="11"/>
        <v>1.88</v>
      </c>
      <c r="AA41" s="205">
        <f t="shared" si="12"/>
        <v>0</v>
      </c>
      <c r="AB41" s="209">
        <f t="shared" si="13"/>
        <v>0</v>
      </c>
      <c r="AC41" s="205">
        <f t="shared" si="14"/>
        <v>0</v>
      </c>
      <c r="AD41" s="210">
        <f t="shared" si="15"/>
        <v>6.9152777777781012</v>
      </c>
      <c r="AE41" s="210">
        <f t="shared" si="16"/>
        <v>6.9152777777781012</v>
      </c>
      <c r="AF41" s="210">
        <f t="shared" si="17"/>
        <v>0</v>
      </c>
      <c r="AG41" s="210">
        <f t="shared" si="18"/>
        <v>0</v>
      </c>
    </row>
    <row r="42" spans="2:33" ht="15" customHeight="1" x14ac:dyDescent="0.3">
      <c r="B42" s="196" t="s">
        <v>5</v>
      </c>
      <c r="C42" s="197" t="s">
        <v>13</v>
      </c>
      <c r="D42" s="198" t="str">
        <f t="shared" si="0"/>
        <v>C</v>
      </c>
      <c r="E42" s="199">
        <v>43608.5</v>
      </c>
      <c r="F42" s="200" t="s">
        <v>94</v>
      </c>
      <c r="G42" s="201">
        <v>7252.72</v>
      </c>
      <c r="H42" s="201">
        <v>7311.62</v>
      </c>
      <c r="I42" s="202">
        <f t="shared" si="1"/>
        <v>58.899999999999636</v>
      </c>
      <c r="J42" s="201">
        <v>6958.21</v>
      </c>
      <c r="K42" s="199">
        <v>43609.386111111111</v>
      </c>
      <c r="L42" s="201">
        <v>7261.44</v>
      </c>
      <c r="M42" s="203">
        <f t="shared" si="2"/>
        <v>-8.7200000000000006</v>
      </c>
      <c r="N42" s="204">
        <f t="shared" si="3"/>
        <v>-0.15</v>
      </c>
      <c r="O42" s="205">
        <f t="shared" si="4"/>
        <v>0</v>
      </c>
      <c r="P42" s="206">
        <f t="shared" si="5"/>
        <v>0</v>
      </c>
      <c r="Q42" s="206">
        <f t="shared" si="6"/>
        <v>-0.15</v>
      </c>
      <c r="R42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42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108290</v>
      </c>
      <c r="T42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108530</v>
      </c>
      <c r="U42" s="208">
        <f ca="1">IF(Tabla336106734823[[#This Row],[Equity]]&lt;Tabla336106734823[[#This Row],[Equity Peak]],(Tabla336106734823[[#This Row],[Equity Peak]]-Tabla336106734823[[#This Row],[Equity]])/Tabla336106734823[[#This Row],[Equity Peak]],"")</f>
        <v>2.2113701280751866E-3</v>
      </c>
      <c r="V42" s="209">
        <f t="shared" si="7"/>
        <v>0</v>
      </c>
      <c r="W42" s="209">
        <f t="shared" si="8"/>
        <v>0</v>
      </c>
      <c r="X42" s="209">
        <f t="shared" si="9"/>
        <v>0</v>
      </c>
      <c r="Y42" s="209">
        <f t="shared" si="10"/>
        <v>0</v>
      </c>
      <c r="Z42" s="209">
        <f t="shared" si="11"/>
        <v>-0.15</v>
      </c>
      <c r="AA42" s="205">
        <f t="shared" si="12"/>
        <v>0</v>
      </c>
      <c r="AB42" s="209">
        <f t="shared" si="13"/>
        <v>0</v>
      </c>
      <c r="AC42" s="205">
        <f t="shared" si="14"/>
        <v>0</v>
      </c>
      <c r="AD42" s="210">
        <f t="shared" si="15"/>
        <v>0.88611111111094942</v>
      </c>
      <c r="AE42" s="210">
        <f t="shared" si="16"/>
        <v>0</v>
      </c>
      <c r="AF42" s="210">
        <f t="shared" si="17"/>
        <v>0.88611111111094942</v>
      </c>
      <c r="AG42" s="210">
        <f t="shared" si="18"/>
        <v>0</v>
      </c>
    </row>
    <row r="43" spans="2:33" ht="15" customHeight="1" x14ac:dyDescent="0.3">
      <c r="B43" s="196" t="s">
        <v>5</v>
      </c>
      <c r="C43" s="197" t="s">
        <v>15</v>
      </c>
      <c r="D43" s="198" t="str">
        <f t="shared" si="0"/>
        <v>C</v>
      </c>
      <c r="E43" s="199">
        <v>43601.666666666664</v>
      </c>
      <c r="F43" s="200" t="s">
        <v>94</v>
      </c>
      <c r="G43" s="201">
        <v>7316.11</v>
      </c>
      <c r="H43" s="201">
        <v>7248.22</v>
      </c>
      <c r="I43" s="202">
        <f t="shared" si="1"/>
        <v>67.889999999999418</v>
      </c>
      <c r="J43" s="201">
        <v>7655.56</v>
      </c>
      <c r="K43" s="199">
        <v>43605.479166666664</v>
      </c>
      <c r="L43" s="201">
        <v>7310.95</v>
      </c>
      <c r="M43" s="203">
        <f t="shared" si="2"/>
        <v>-5.16</v>
      </c>
      <c r="N43" s="204">
        <f t="shared" si="3"/>
        <v>-0.08</v>
      </c>
      <c r="O43" s="205">
        <f t="shared" si="4"/>
        <v>0</v>
      </c>
      <c r="P43" s="206">
        <f t="shared" si="5"/>
        <v>0</v>
      </c>
      <c r="Q43" s="206">
        <f t="shared" si="6"/>
        <v>-0.08</v>
      </c>
      <c r="R43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43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108440</v>
      </c>
      <c r="T43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108530</v>
      </c>
      <c r="U43" s="208">
        <f ca="1">IF(Tabla336106734823[[#This Row],[Equity]]&lt;Tabla336106734823[[#This Row],[Equity Peak]],(Tabla336106734823[[#This Row],[Equity Peak]]-Tabla336106734823[[#This Row],[Equity]])/Tabla336106734823[[#This Row],[Equity Peak]],"")</f>
        <v>8.2926379802819496E-4</v>
      </c>
      <c r="V43" s="209">
        <f t="shared" si="7"/>
        <v>0</v>
      </c>
      <c r="W43" s="209">
        <f t="shared" si="8"/>
        <v>0</v>
      </c>
      <c r="X43" s="209">
        <f t="shared" si="9"/>
        <v>0</v>
      </c>
      <c r="Y43" s="209">
        <f t="shared" si="10"/>
        <v>0</v>
      </c>
      <c r="Z43" s="209">
        <f t="shared" si="11"/>
        <v>-0.08</v>
      </c>
      <c r="AA43" s="205">
        <f t="shared" si="12"/>
        <v>0</v>
      </c>
      <c r="AB43" s="209">
        <f t="shared" si="13"/>
        <v>0</v>
      </c>
      <c r="AC43" s="205">
        <f t="shared" si="14"/>
        <v>0</v>
      </c>
      <c r="AD43" s="210">
        <f t="shared" si="15"/>
        <v>3.8125</v>
      </c>
      <c r="AE43" s="210">
        <f t="shared" si="16"/>
        <v>0</v>
      </c>
      <c r="AF43" s="210">
        <f t="shared" si="17"/>
        <v>3.8125</v>
      </c>
      <c r="AG43" s="210">
        <f t="shared" si="18"/>
        <v>0</v>
      </c>
    </row>
    <row r="44" spans="2:33" ht="15" customHeight="1" x14ac:dyDescent="0.3">
      <c r="B44" s="196" t="s">
        <v>5</v>
      </c>
      <c r="C44" s="197" t="s">
        <v>13</v>
      </c>
      <c r="D44" s="198" t="str">
        <f t="shared" si="0"/>
        <v>C</v>
      </c>
      <c r="E44" s="199">
        <v>43580.833333333336</v>
      </c>
      <c r="F44" s="200" t="s">
        <v>94</v>
      </c>
      <c r="G44" s="201">
        <v>7445.34</v>
      </c>
      <c r="H44" s="201">
        <v>7497.91</v>
      </c>
      <c r="I44" s="202">
        <f t="shared" si="1"/>
        <v>52.569999999999709</v>
      </c>
      <c r="J44" s="201">
        <v>7182.48</v>
      </c>
      <c r="K44" s="199">
        <v>43584.649305555555</v>
      </c>
      <c r="L44" s="201">
        <v>7445.93</v>
      </c>
      <c r="M44" s="203">
        <f t="shared" si="2"/>
        <v>-0.59</v>
      </c>
      <c r="N44" s="204">
        <f t="shared" si="3"/>
        <v>-0.01</v>
      </c>
      <c r="O44" s="205">
        <f t="shared" si="4"/>
        <v>0</v>
      </c>
      <c r="P44" s="206">
        <f t="shared" si="5"/>
        <v>0</v>
      </c>
      <c r="Q44" s="206">
        <f t="shared" si="6"/>
        <v>-0.01</v>
      </c>
      <c r="R44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44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108520</v>
      </c>
      <c r="T44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108530</v>
      </c>
      <c r="U44" s="208">
        <f ca="1">IF(Tabla336106734823[[#This Row],[Equity]]&lt;Tabla336106734823[[#This Row],[Equity Peak]],(Tabla336106734823[[#This Row],[Equity Peak]]-Tabla336106734823[[#This Row],[Equity]])/Tabla336106734823[[#This Row],[Equity Peak]],"")</f>
        <v>9.2140422003132778E-5</v>
      </c>
      <c r="V44" s="209">
        <f t="shared" si="7"/>
        <v>0</v>
      </c>
      <c r="W44" s="209">
        <f t="shared" si="8"/>
        <v>0</v>
      </c>
      <c r="X44" s="209">
        <f t="shared" si="9"/>
        <v>0</v>
      </c>
      <c r="Y44" s="209">
        <f t="shared" si="10"/>
        <v>0</v>
      </c>
      <c r="Z44" s="209">
        <f t="shared" si="11"/>
        <v>-0.01</v>
      </c>
      <c r="AA44" s="205">
        <f t="shared" si="12"/>
        <v>0</v>
      </c>
      <c r="AB44" s="209">
        <f t="shared" si="13"/>
        <v>0</v>
      </c>
      <c r="AC44" s="205">
        <f t="shared" si="14"/>
        <v>0</v>
      </c>
      <c r="AD44" s="210">
        <f t="shared" si="15"/>
        <v>3.8159722222189885</v>
      </c>
      <c r="AE44" s="210">
        <f t="shared" si="16"/>
        <v>0</v>
      </c>
      <c r="AF44" s="210">
        <f t="shared" si="17"/>
        <v>3.8159722222189885</v>
      </c>
      <c r="AG44" s="210">
        <f t="shared" si="18"/>
        <v>0</v>
      </c>
    </row>
    <row r="45" spans="2:33" ht="15" customHeight="1" x14ac:dyDescent="0.3">
      <c r="B45" s="196" t="s">
        <v>5</v>
      </c>
      <c r="C45" s="197" t="s">
        <v>15</v>
      </c>
      <c r="D45" s="198" t="str">
        <f t="shared" si="0"/>
        <v>C</v>
      </c>
      <c r="E45" s="199">
        <v>43552.833333333336</v>
      </c>
      <c r="F45" s="200" t="s">
        <v>94</v>
      </c>
      <c r="G45" s="201">
        <v>7243.95</v>
      </c>
      <c r="H45" s="201">
        <v>7174.82</v>
      </c>
      <c r="I45" s="202">
        <f t="shared" si="1"/>
        <v>69.130000000000109</v>
      </c>
      <c r="J45" s="201">
        <v>7589.59</v>
      </c>
      <c r="K45" s="199">
        <v>43564.777083333334</v>
      </c>
      <c r="L45" s="201">
        <v>7411.99</v>
      </c>
      <c r="M45" s="203">
        <f t="shared" si="2"/>
        <v>168.04</v>
      </c>
      <c r="N45" s="204">
        <f t="shared" si="3"/>
        <v>2.4300000000000002</v>
      </c>
      <c r="O45" s="205">
        <f t="shared" si="4"/>
        <v>0</v>
      </c>
      <c r="P45" s="206">
        <f t="shared" si="5"/>
        <v>2.4300000000000002</v>
      </c>
      <c r="Q45" s="206">
        <f t="shared" si="6"/>
        <v>0</v>
      </c>
      <c r="R45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45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108530</v>
      </c>
      <c r="T45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108530</v>
      </c>
      <c r="U45" s="208" t="str">
        <f ca="1">IF(Tabla336106734823[[#This Row],[Equity]]&lt;Tabla336106734823[[#This Row],[Equity Peak]],(Tabla336106734823[[#This Row],[Equity Peak]]-Tabla336106734823[[#This Row],[Equity]])/Tabla336106734823[[#This Row],[Equity Peak]],"")</f>
        <v/>
      </c>
      <c r="V45" s="209">
        <f t="shared" si="7"/>
        <v>0</v>
      </c>
      <c r="W45" s="209">
        <f t="shared" si="8"/>
        <v>0</v>
      </c>
      <c r="X45" s="209">
        <f t="shared" si="9"/>
        <v>0</v>
      </c>
      <c r="Y45" s="209">
        <f t="shared" si="10"/>
        <v>0</v>
      </c>
      <c r="Z45" s="209">
        <f t="shared" si="11"/>
        <v>2.4300000000000002</v>
      </c>
      <c r="AA45" s="205">
        <f t="shared" si="12"/>
        <v>0</v>
      </c>
      <c r="AB45" s="209">
        <f t="shared" si="13"/>
        <v>0</v>
      </c>
      <c r="AC45" s="205">
        <f t="shared" si="14"/>
        <v>0</v>
      </c>
      <c r="AD45" s="210">
        <f t="shared" si="15"/>
        <v>11.943749999998545</v>
      </c>
      <c r="AE45" s="210">
        <f t="shared" si="16"/>
        <v>11.943749999998545</v>
      </c>
      <c r="AF45" s="210">
        <f t="shared" si="17"/>
        <v>0</v>
      </c>
      <c r="AG45" s="210">
        <f t="shared" si="18"/>
        <v>0</v>
      </c>
    </row>
    <row r="46" spans="2:33" ht="15" customHeight="1" x14ac:dyDescent="0.3">
      <c r="B46" s="196" t="s">
        <v>5</v>
      </c>
      <c r="C46" s="197" t="s">
        <v>13</v>
      </c>
      <c r="D46" s="198" t="str">
        <f t="shared" si="0"/>
        <v>C</v>
      </c>
      <c r="E46" s="199">
        <v>43549.017361111109</v>
      </c>
      <c r="F46" s="200" t="s">
        <v>94</v>
      </c>
      <c r="G46" s="201">
        <v>7200.66</v>
      </c>
      <c r="H46" s="201">
        <v>7285.3</v>
      </c>
      <c r="I46" s="202">
        <f t="shared" si="1"/>
        <v>84.640000000000327</v>
      </c>
      <c r="J46" s="201">
        <v>6777.48</v>
      </c>
      <c r="K46" s="199">
        <v>43550.769444444442</v>
      </c>
      <c r="L46" s="201">
        <v>7216.09</v>
      </c>
      <c r="M46" s="203">
        <f t="shared" si="2"/>
        <v>-15.43</v>
      </c>
      <c r="N46" s="204">
        <f t="shared" si="3"/>
        <v>-0.18</v>
      </c>
      <c r="O46" s="205">
        <f t="shared" si="4"/>
        <v>0</v>
      </c>
      <c r="P46" s="206">
        <f t="shared" si="5"/>
        <v>0</v>
      </c>
      <c r="Q46" s="206">
        <f t="shared" si="6"/>
        <v>-0.18</v>
      </c>
      <c r="R46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46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106100</v>
      </c>
      <c r="T46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106630</v>
      </c>
      <c r="U46" s="208">
        <f ca="1">IF(Tabla336106734823[[#This Row],[Equity]]&lt;Tabla336106734823[[#This Row],[Equity Peak]],(Tabla336106734823[[#This Row],[Equity Peak]]-Tabla336106734823[[#This Row],[Equity]])/Tabla336106734823[[#This Row],[Equity Peak]],"")</f>
        <v>4.9704585951420802E-3</v>
      </c>
      <c r="V46" s="209">
        <f t="shared" si="7"/>
        <v>0</v>
      </c>
      <c r="W46" s="209">
        <f t="shared" si="8"/>
        <v>0</v>
      </c>
      <c r="X46" s="209">
        <f t="shared" si="9"/>
        <v>0</v>
      </c>
      <c r="Y46" s="209">
        <f t="shared" si="10"/>
        <v>0</v>
      </c>
      <c r="Z46" s="209">
        <f t="shared" si="11"/>
        <v>-0.18</v>
      </c>
      <c r="AA46" s="205">
        <f t="shared" si="12"/>
        <v>0</v>
      </c>
      <c r="AB46" s="209">
        <f t="shared" si="13"/>
        <v>0</v>
      </c>
      <c r="AC46" s="205">
        <f t="shared" si="14"/>
        <v>0</v>
      </c>
      <c r="AD46" s="210">
        <f t="shared" si="15"/>
        <v>1.7520833333328483</v>
      </c>
      <c r="AE46" s="210">
        <f t="shared" si="16"/>
        <v>0</v>
      </c>
      <c r="AF46" s="210">
        <f t="shared" si="17"/>
        <v>1.7520833333328483</v>
      </c>
      <c r="AG46" s="210">
        <f t="shared" si="18"/>
        <v>0</v>
      </c>
    </row>
    <row r="47" spans="2:33" ht="15" customHeight="1" x14ac:dyDescent="0.3">
      <c r="B47" s="196" t="s">
        <v>5</v>
      </c>
      <c r="C47" s="197" t="s">
        <v>15</v>
      </c>
      <c r="D47" s="198" t="str">
        <f t="shared" si="0"/>
        <v>C</v>
      </c>
      <c r="E47" s="199">
        <v>43537.017361111109</v>
      </c>
      <c r="F47" s="200" t="s">
        <v>94</v>
      </c>
      <c r="G47" s="201">
        <v>7160.69</v>
      </c>
      <c r="H47" s="201">
        <v>7091.64</v>
      </c>
      <c r="I47" s="202">
        <f t="shared" si="1"/>
        <v>69.049999999999272</v>
      </c>
      <c r="J47" s="201">
        <v>7505.95</v>
      </c>
      <c r="K47" s="199">
        <v>43543.940972222219</v>
      </c>
      <c r="L47" s="201">
        <v>7293.22</v>
      </c>
      <c r="M47" s="203">
        <f t="shared" si="2"/>
        <v>132.53</v>
      </c>
      <c r="N47" s="204">
        <f t="shared" si="3"/>
        <v>1.92</v>
      </c>
      <c r="O47" s="205">
        <f t="shared" si="4"/>
        <v>0</v>
      </c>
      <c r="P47" s="206">
        <f t="shared" si="5"/>
        <v>1.92</v>
      </c>
      <c r="Q47" s="206">
        <f t="shared" si="6"/>
        <v>0</v>
      </c>
      <c r="R47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47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106280</v>
      </c>
      <c r="T47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106630</v>
      </c>
      <c r="U47" s="208">
        <f ca="1">IF(Tabla336106734823[[#This Row],[Equity]]&lt;Tabla336106734823[[#This Row],[Equity Peak]],(Tabla336106734823[[#This Row],[Equity Peak]]-Tabla336106734823[[#This Row],[Equity]])/Tabla336106734823[[#This Row],[Equity Peak]],"")</f>
        <v>3.2823783175466568E-3</v>
      </c>
      <c r="V47" s="209">
        <f t="shared" si="7"/>
        <v>0</v>
      </c>
      <c r="W47" s="209">
        <f t="shared" si="8"/>
        <v>0</v>
      </c>
      <c r="X47" s="209">
        <f t="shared" si="9"/>
        <v>0</v>
      </c>
      <c r="Y47" s="209">
        <f t="shared" si="10"/>
        <v>0</v>
      </c>
      <c r="Z47" s="209">
        <f t="shared" si="11"/>
        <v>1.92</v>
      </c>
      <c r="AA47" s="205">
        <f t="shared" si="12"/>
        <v>0</v>
      </c>
      <c r="AB47" s="209">
        <f t="shared" si="13"/>
        <v>0</v>
      </c>
      <c r="AC47" s="205">
        <f t="shared" si="14"/>
        <v>0</v>
      </c>
      <c r="AD47" s="210">
        <f t="shared" si="15"/>
        <v>6.9236111111094942</v>
      </c>
      <c r="AE47" s="210">
        <f t="shared" si="16"/>
        <v>6.9236111111094942</v>
      </c>
      <c r="AF47" s="210">
        <f t="shared" si="17"/>
        <v>0</v>
      </c>
      <c r="AG47" s="210">
        <f t="shared" si="18"/>
        <v>0</v>
      </c>
    </row>
    <row r="48" spans="2:33" ht="15" customHeight="1" x14ac:dyDescent="0.3">
      <c r="B48" s="196" t="s">
        <v>5</v>
      </c>
      <c r="C48" s="197" t="s">
        <v>13</v>
      </c>
      <c r="D48" s="198" t="str">
        <f t="shared" si="0"/>
        <v>C</v>
      </c>
      <c r="E48" s="199">
        <v>43535.708333333336</v>
      </c>
      <c r="F48" s="200" t="s">
        <v>94</v>
      </c>
      <c r="G48" s="201">
        <v>7112.12</v>
      </c>
      <c r="H48" s="201">
        <v>7175.79</v>
      </c>
      <c r="I48" s="202">
        <f t="shared" si="1"/>
        <v>63.670000000000073</v>
      </c>
      <c r="J48" s="201">
        <v>6793.78</v>
      </c>
      <c r="K48" s="199">
        <v>43536.104166666664</v>
      </c>
      <c r="L48" s="201">
        <v>7159.37</v>
      </c>
      <c r="M48" s="203">
        <f t="shared" si="2"/>
        <v>-47.25</v>
      </c>
      <c r="N48" s="204">
        <f t="shared" si="3"/>
        <v>-0.74</v>
      </c>
      <c r="O48" s="205">
        <f t="shared" si="4"/>
        <v>0</v>
      </c>
      <c r="P48" s="206">
        <f t="shared" si="5"/>
        <v>0</v>
      </c>
      <c r="Q48" s="206">
        <f t="shared" si="6"/>
        <v>-0.74</v>
      </c>
      <c r="R48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48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104360</v>
      </c>
      <c r="T48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106630</v>
      </c>
      <c r="U48" s="208">
        <f ca="1">IF(Tabla336106734823[[#This Row],[Equity]]&lt;Tabla336106734823[[#This Row],[Equity Peak]],(Tabla336106734823[[#This Row],[Equity Peak]]-Tabla336106734823[[#This Row],[Equity]])/Tabla336106734823[[#This Row],[Equity Peak]],"")</f>
        <v>2.1288567945231172E-2</v>
      </c>
      <c r="V48" s="209">
        <f t="shared" si="7"/>
        <v>0</v>
      </c>
      <c r="W48" s="209">
        <f t="shared" si="8"/>
        <v>0</v>
      </c>
      <c r="X48" s="209">
        <f t="shared" si="9"/>
        <v>0</v>
      </c>
      <c r="Y48" s="209">
        <f t="shared" si="10"/>
        <v>0</v>
      </c>
      <c r="Z48" s="209">
        <f t="shared" si="11"/>
        <v>-0.74</v>
      </c>
      <c r="AA48" s="205">
        <f t="shared" si="12"/>
        <v>0</v>
      </c>
      <c r="AB48" s="209">
        <f t="shared" si="13"/>
        <v>0</v>
      </c>
      <c r="AC48" s="205">
        <f t="shared" si="14"/>
        <v>0</v>
      </c>
      <c r="AD48" s="210">
        <f t="shared" si="15"/>
        <v>0.39583333332848269</v>
      </c>
      <c r="AE48" s="210">
        <f t="shared" si="16"/>
        <v>0</v>
      </c>
      <c r="AF48" s="210">
        <f t="shared" si="17"/>
        <v>0.39583333332848269</v>
      </c>
      <c r="AG48" s="210">
        <f t="shared" si="18"/>
        <v>0</v>
      </c>
    </row>
    <row r="49" spans="2:33" ht="15" customHeight="1" x14ac:dyDescent="0.3">
      <c r="B49" s="196" t="s">
        <v>5</v>
      </c>
      <c r="C49" s="197" t="s">
        <v>15</v>
      </c>
      <c r="D49" s="198" t="str">
        <f t="shared" si="0"/>
        <v>C</v>
      </c>
      <c r="E49" s="199">
        <v>43535.541666666664</v>
      </c>
      <c r="F49" s="200" t="s">
        <v>94</v>
      </c>
      <c r="G49" s="201">
        <v>7179.43</v>
      </c>
      <c r="H49" s="201">
        <v>7122.16</v>
      </c>
      <c r="I49" s="202">
        <f t="shared" si="1"/>
        <v>57.270000000000437</v>
      </c>
      <c r="J49" s="201">
        <v>7465.79</v>
      </c>
      <c r="K49" s="199">
        <v>43535.64166666667</v>
      </c>
      <c r="L49" s="201">
        <v>7134.78</v>
      </c>
      <c r="M49" s="203">
        <f t="shared" si="2"/>
        <v>-44.65</v>
      </c>
      <c r="N49" s="204">
        <f t="shared" si="3"/>
        <v>-0.78</v>
      </c>
      <c r="O49" s="205">
        <f t="shared" si="4"/>
        <v>0</v>
      </c>
      <c r="P49" s="206">
        <f t="shared" si="5"/>
        <v>0</v>
      </c>
      <c r="Q49" s="206">
        <f t="shared" si="6"/>
        <v>-0.78</v>
      </c>
      <c r="R49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49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105100</v>
      </c>
      <c r="T49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106630</v>
      </c>
      <c r="U49" s="208">
        <f ca="1">IF(Tabla336106734823[[#This Row],[Equity]]&lt;Tabla336106734823[[#This Row],[Equity Peak]],(Tabla336106734823[[#This Row],[Equity Peak]]-Tabla336106734823[[#This Row],[Equity]])/Tabla336106734823[[#This Row],[Equity Peak]],"")</f>
        <v>1.4348682359561099E-2</v>
      </c>
      <c r="V49" s="209">
        <f t="shared" si="7"/>
        <v>0</v>
      </c>
      <c r="W49" s="209">
        <f t="shared" si="8"/>
        <v>0</v>
      </c>
      <c r="X49" s="209">
        <f t="shared" si="9"/>
        <v>0</v>
      </c>
      <c r="Y49" s="209">
        <f t="shared" si="10"/>
        <v>0</v>
      </c>
      <c r="Z49" s="209">
        <f t="shared" si="11"/>
        <v>-0.78</v>
      </c>
      <c r="AA49" s="205">
        <f t="shared" si="12"/>
        <v>0</v>
      </c>
      <c r="AB49" s="209">
        <f t="shared" si="13"/>
        <v>0</v>
      </c>
      <c r="AC49" s="205">
        <f t="shared" si="14"/>
        <v>0</v>
      </c>
      <c r="AD49" s="210">
        <f t="shared" si="15"/>
        <v>0.10000000000582077</v>
      </c>
      <c r="AE49" s="210">
        <f t="shared" si="16"/>
        <v>0</v>
      </c>
      <c r="AF49" s="210">
        <f t="shared" si="17"/>
        <v>0.10000000000582077</v>
      </c>
      <c r="AG49" s="210">
        <f t="shared" si="18"/>
        <v>0</v>
      </c>
    </row>
    <row r="50" spans="2:33" ht="15" customHeight="1" x14ac:dyDescent="0.3">
      <c r="B50" s="196" t="s">
        <v>5</v>
      </c>
      <c r="C50" s="197" t="s">
        <v>13</v>
      </c>
      <c r="D50" s="198" t="str">
        <f t="shared" si="0"/>
        <v>C</v>
      </c>
      <c r="E50" s="199">
        <v>43532.166666666664</v>
      </c>
      <c r="F50" s="200" t="s">
        <v>94</v>
      </c>
      <c r="G50" s="201">
        <v>7128.86</v>
      </c>
      <c r="H50" s="201">
        <v>7181.27</v>
      </c>
      <c r="I50" s="202">
        <f t="shared" si="1"/>
        <v>52.410000000000764</v>
      </c>
      <c r="J50" s="201">
        <v>6866.83</v>
      </c>
      <c r="K50" s="199">
        <v>43532.935416666667</v>
      </c>
      <c r="L50" s="201">
        <v>7138.75</v>
      </c>
      <c r="M50" s="203">
        <f t="shared" si="2"/>
        <v>-9.89</v>
      </c>
      <c r="N50" s="204">
        <f t="shared" si="3"/>
        <v>-0.19</v>
      </c>
      <c r="O50" s="205">
        <f t="shared" si="4"/>
        <v>0</v>
      </c>
      <c r="P50" s="206">
        <f t="shared" si="5"/>
        <v>0</v>
      </c>
      <c r="Q50" s="206">
        <f t="shared" si="6"/>
        <v>-0.19</v>
      </c>
      <c r="R50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50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105880</v>
      </c>
      <c r="T50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106630</v>
      </c>
      <c r="U50" s="208">
        <f ca="1">IF(Tabla336106734823[[#This Row],[Equity]]&lt;Tabla336106734823[[#This Row],[Equity Peak]],(Tabla336106734823[[#This Row],[Equity Peak]]-Tabla336106734823[[#This Row],[Equity]])/Tabla336106734823[[#This Row],[Equity Peak]],"")</f>
        <v>7.0336678233142644E-3</v>
      </c>
      <c r="V50" s="209">
        <f t="shared" si="7"/>
        <v>0</v>
      </c>
      <c r="W50" s="209">
        <f t="shared" si="8"/>
        <v>0</v>
      </c>
      <c r="X50" s="209">
        <f t="shared" si="9"/>
        <v>0</v>
      </c>
      <c r="Y50" s="209">
        <f t="shared" si="10"/>
        <v>0</v>
      </c>
      <c r="Z50" s="209">
        <f t="shared" si="11"/>
        <v>-0.19</v>
      </c>
      <c r="AA50" s="205">
        <f t="shared" si="12"/>
        <v>0</v>
      </c>
      <c r="AB50" s="209">
        <f t="shared" si="13"/>
        <v>0</v>
      </c>
      <c r="AC50" s="205">
        <f t="shared" si="14"/>
        <v>0</v>
      </c>
      <c r="AD50" s="210">
        <f t="shared" si="15"/>
        <v>0.76875000000291038</v>
      </c>
      <c r="AE50" s="210">
        <f t="shared" si="16"/>
        <v>0</v>
      </c>
      <c r="AF50" s="210">
        <f t="shared" si="17"/>
        <v>0.76875000000291038</v>
      </c>
      <c r="AG50" s="210">
        <f t="shared" si="18"/>
        <v>0</v>
      </c>
    </row>
    <row r="51" spans="2:33" ht="15" customHeight="1" x14ac:dyDescent="0.3">
      <c r="B51" s="196" t="s">
        <v>5</v>
      </c>
      <c r="C51" s="197" t="s">
        <v>15</v>
      </c>
      <c r="D51" s="198" t="str">
        <f t="shared" si="0"/>
        <v>C</v>
      </c>
      <c r="E51" s="199">
        <v>43529.5</v>
      </c>
      <c r="F51" s="200" t="s">
        <v>94</v>
      </c>
      <c r="G51" s="201">
        <v>7159.17</v>
      </c>
      <c r="H51" s="201">
        <v>7103.06</v>
      </c>
      <c r="I51" s="202">
        <f t="shared" si="1"/>
        <v>56.109999999999673</v>
      </c>
      <c r="J51" s="201">
        <v>7439.71</v>
      </c>
      <c r="K51" s="199">
        <v>43530.942361111112</v>
      </c>
      <c r="L51" s="201">
        <v>7149.89</v>
      </c>
      <c r="M51" s="203">
        <f t="shared" si="2"/>
        <v>-9.2799999999999994</v>
      </c>
      <c r="N51" s="204">
        <f t="shared" si="3"/>
        <v>-0.17</v>
      </c>
      <c r="O51" s="205">
        <f t="shared" si="4"/>
        <v>0</v>
      </c>
      <c r="P51" s="206">
        <f t="shared" si="5"/>
        <v>0</v>
      </c>
      <c r="Q51" s="206">
        <f t="shared" si="6"/>
        <v>-0.17</v>
      </c>
      <c r="R51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51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106070</v>
      </c>
      <c r="T51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106630</v>
      </c>
      <c r="U51" s="208">
        <f ca="1">IF(Tabla336106734823[[#This Row],[Equity]]&lt;Tabla336106734823[[#This Row],[Equity Peak]],(Tabla336106734823[[#This Row],[Equity Peak]]-Tabla336106734823[[#This Row],[Equity]])/Tabla336106734823[[#This Row],[Equity Peak]],"")</f>
        <v>5.2518053080746509E-3</v>
      </c>
      <c r="V51" s="209">
        <f t="shared" si="7"/>
        <v>0</v>
      </c>
      <c r="W51" s="209">
        <f t="shared" si="8"/>
        <v>0</v>
      </c>
      <c r="X51" s="209">
        <f t="shared" si="9"/>
        <v>0</v>
      </c>
      <c r="Y51" s="209">
        <f t="shared" si="10"/>
        <v>0</v>
      </c>
      <c r="Z51" s="209">
        <f t="shared" si="11"/>
        <v>-0.17</v>
      </c>
      <c r="AA51" s="205">
        <f t="shared" si="12"/>
        <v>0</v>
      </c>
      <c r="AB51" s="209">
        <f t="shared" si="13"/>
        <v>0</v>
      </c>
      <c r="AC51" s="205">
        <f t="shared" si="14"/>
        <v>0</v>
      </c>
      <c r="AD51" s="210">
        <f t="shared" si="15"/>
        <v>1.4423611111124046</v>
      </c>
      <c r="AE51" s="210">
        <f t="shared" si="16"/>
        <v>0</v>
      </c>
      <c r="AF51" s="210">
        <f t="shared" si="17"/>
        <v>1.4423611111124046</v>
      </c>
      <c r="AG51" s="210">
        <f t="shared" si="18"/>
        <v>0</v>
      </c>
    </row>
    <row r="52" spans="2:33" ht="15" customHeight="1" x14ac:dyDescent="0.3">
      <c r="B52" s="196" t="s">
        <v>5</v>
      </c>
      <c r="C52" s="197" t="s">
        <v>13</v>
      </c>
      <c r="D52" s="198" t="str">
        <f t="shared" si="0"/>
        <v>C</v>
      </c>
      <c r="E52" s="199">
        <v>43522.166666666664</v>
      </c>
      <c r="F52" s="200" t="s">
        <v>94</v>
      </c>
      <c r="G52" s="201">
        <v>7135.98</v>
      </c>
      <c r="H52" s="201">
        <v>7187.87</v>
      </c>
      <c r="I52" s="202">
        <f t="shared" si="1"/>
        <v>51.890000000000327</v>
      </c>
      <c r="J52" s="201">
        <v>6876.53</v>
      </c>
      <c r="K52" s="199">
        <v>43522.717361111114</v>
      </c>
      <c r="L52" s="201">
        <v>7156.26</v>
      </c>
      <c r="M52" s="203">
        <f t="shared" si="2"/>
        <v>-20.28</v>
      </c>
      <c r="N52" s="204">
        <f t="shared" si="3"/>
        <v>-0.39</v>
      </c>
      <c r="O52" s="205">
        <f t="shared" si="4"/>
        <v>0</v>
      </c>
      <c r="P52" s="206">
        <f t="shared" si="5"/>
        <v>0</v>
      </c>
      <c r="Q52" s="206">
        <f t="shared" si="6"/>
        <v>-0.39</v>
      </c>
      <c r="R52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52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106240</v>
      </c>
      <c r="T52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106630</v>
      </c>
      <c r="U52" s="208">
        <f ca="1">IF(Tabla336106734823[[#This Row],[Equity]]&lt;Tabla336106734823[[#This Row],[Equity Peak]],(Tabla336106734823[[#This Row],[Equity Peak]]-Tabla336106734823[[#This Row],[Equity]])/Tabla336106734823[[#This Row],[Equity Peak]],"")</f>
        <v>3.6575072681234175E-3</v>
      </c>
      <c r="V52" s="209">
        <f t="shared" si="7"/>
        <v>0</v>
      </c>
      <c r="W52" s="209">
        <f t="shared" si="8"/>
        <v>0</v>
      </c>
      <c r="X52" s="209">
        <f t="shared" si="9"/>
        <v>0</v>
      </c>
      <c r="Y52" s="209">
        <f t="shared" si="10"/>
        <v>0</v>
      </c>
      <c r="Z52" s="209">
        <f t="shared" si="11"/>
        <v>-0.39</v>
      </c>
      <c r="AA52" s="205">
        <f t="shared" si="12"/>
        <v>0</v>
      </c>
      <c r="AB52" s="209">
        <f t="shared" si="13"/>
        <v>0</v>
      </c>
      <c r="AC52" s="205">
        <f t="shared" si="14"/>
        <v>0</v>
      </c>
      <c r="AD52" s="210">
        <f t="shared" si="15"/>
        <v>0.55069444444961846</v>
      </c>
      <c r="AE52" s="210">
        <f t="shared" si="16"/>
        <v>0</v>
      </c>
      <c r="AF52" s="210">
        <f t="shared" si="17"/>
        <v>0.55069444444961846</v>
      </c>
      <c r="AG52" s="210">
        <f t="shared" si="18"/>
        <v>0</v>
      </c>
    </row>
    <row r="53" spans="2:33" ht="15" customHeight="1" x14ac:dyDescent="0.3">
      <c r="B53" s="196" t="s">
        <v>5</v>
      </c>
      <c r="C53" s="197" t="s">
        <v>15</v>
      </c>
      <c r="D53" s="198" t="str">
        <f t="shared" si="0"/>
        <v>C</v>
      </c>
      <c r="E53" s="199">
        <v>43495.166666666664</v>
      </c>
      <c r="F53" s="200" t="s">
        <v>94</v>
      </c>
      <c r="G53" s="201">
        <v>6861.65</v>
      </c>
      <c r="H53" s="201">
        <v>6794.27</v>
      </c>
      <c r="I53" s="202">
        <f t="shared" si="1"/>
        <v>67.3799999999992</v>
      </c>
      <c r="J53" s="201">
        <v>7198.53</v>
      </c>
      <c r="K53" s="199">
        <v>43503.720833333333</v>
      </c>
      <c r="L53" s="201">
        <v>7131</v>
      </c>
      <c r="M53" s="203">
        <f t="shared" si="2"/>
        <v>269.35000000000002</v>
      </c>
      <c r="N53" s="204">
        <f t="shared" si="3"/>
        <v>4</v>
      </c>
      <c r="O53" s="205">
        <f t="shared" si="4"/>
        <v>0</v>
      </c>
      <c r="P53" s="206">
        <f t="shared" si="5"/>
        <v>4</v>
      </c>
      <c r="Q53" s="206">
        <f t="shared" si="6"/>
        <v>0</v>
      </c>
      <c r="R53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53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106630</v>
      </c>
      <c r="T53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106630</v>
      </c>
      <c r="U53" s="208" t="str">
        <f ca="1">IF(Tabla336106734823[[#This Row],[Equity]]&lt;Tabla336106734823[[#This Row],[Equity Peak]],(Tabla336106734823[[#This Row],[Equity Peak]]-Tabla336106734823[[#This Row],[Equity]])/Tabla336106734823[[#This Row],[Equity Peak]],"")</f>
        <v/>
      </c>
      <c r="V53" s="209">
        <f t="shared" si="7"/>
        <v>0</v>
      </c>
      <c r="W53" s="209">
        <f t="shared" si="8"/>
        <v>0</v>
      </c>
      <c r="X53" s="209">
        <f t="shared" si="9"/>
        <v>0</v>
      </c>
      <c r="Y53" s="209">
        <f t="shared" si="10"/>
        <v>0</v>
      </c>
      <c r="Z53" s="209">
        <f t="shared" si="11"/>
        <v>4</v>
      </c>
      <c r="AA53" s="205">
        <f t="shared" si="12"/>
        <v>0</v>
      </c>
      <c r="AB53" s="209">
        <f t="shared" si="13"/>
        <v>0</v>
      </c>
      <c r="AC53" s="205">
        <f t="shared" si="14"/>
        <v>0</v>
      </c>
      <c r="AD53" s="210">
        <f t="shared" si="15"/>
        <v>8.5541666666686069</v>
      </c>
      <c r="AE53" s="210">
        <f t="shared" si="16"/>
        <v>8.5541666666686069</v>
      </c>
      <c r="AF53" s="210">
        <f t="shared" si="17"/>
        <v>0</v>
      </c>
      <c r="AG53" s="210">
        <f t="shared" si="18"/>
        <v>0</v>
      </c>
    </row>
    <row r="54" spans="2:33" ht="15" customHeight="1" x14ac:dyDescent="0.3">
      <c r="B54" s="196" t="s">
        <v>5</v>
      </c>
      <c r="C54" s="197" t="s">
        <v>13</v>
      </c>
      <c r="D54" s="198" t="str">
        <f t="shared" si="0"/>
        <v>C</v>
      </c>
      <c r="E54" s="199">
        <v>43488.5</v>
      </c>
      <c r="F54" s="200" t="s">
        <v>94</v>
      </c>
      <c r="G54" s="201">
        <v>6881.76</v>
      </c>
      <c r="H54" s="201">
        <v>6938.69</v>
      </c>
      <c r="I54" s="202">
        <f t="shared" si="1"/>
        <v>56.929999999999382</v>
      </c>
      <c r="J54" s="201">
        <v>6597.13</v>
      </c>
      <c r="K54" s="199">
        <v>43494.411805555559</v>
      </c>
      <c r="L54" s="201">
        <v>6803.07</v>
      </c>
      <c r="M54" s="203">
        <f t="shared" si="2"/>
        <v>78.69</v>
      </c>
      <c r="N54" s="204">
        <f t="shared" si="3"/>
        <v>1.38</v>
      </c>
      <c r="O54" s="205">
        <f t="shared" si="4"/>
        <v>0</v>
      </c>
      <c r="P54" s="206">
        <f t="shared" si="5"/>
        <v>1.38</v>
      </c>
      <c r="Q54" s="206">
        <f t="shared" si="6"/>
        <v>0</v>
      </c>
      <c r="R54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54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102630</v>
      </c>
      <c r="T54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102630</v>
      </c>
      <c r="U54" s="208" t="str">
        <f ca="1">IF(Tabla336106734823[[#This Row],[Equity]]&lt;Tabla336106734823[[#This Row],[Equity Peak]],(Tabla336106734823[[#This Row],[Equity Peak]]-Tabla336106734823[[#This Row],[Equity]])/Tabla336106734823[[#This Row],[Equity Peak]],"")</f>
        <v/>
      </c>
      <c r="V54" s="209">
        <f t="shared" si="7"/>
        <v>0</v>
      </c>
      <c r="W54" s="209">
        <f t="shared" si="8"/>
        <v>0</v>
      </c>
      <c r="X54" s="209">
        <f t="shared" si="9"/>
        <v>0</v>
      </c>
      <c r="Y54" s="209">
        <f t="shared" si="10"/>
        <v>0</v>
      </c>
      <c r="Z54" s="209">
        <f t="shared" si="11"/>
        <v>1.38</v>
      </c>
      <c r="AA54" s="205">
        <f t="shared" si="12"/>
        <v>0</v>
      </c>
      <c r="AB54" s="209">
        <f t="shared" si="13"/>
        <v>0</v>
      </c>
      <c r="AC54" s="205">
        <f t="shared" si="14"/>
        <v>0</v>
      </c>
      <c r="AD54" s="210">
        <f t="shared" si="15"/>
        <v>5.9118055555591127</v>
      </c>
      <c r="AE54" s="210">
        <f t="shared" si="16"/>
        <v>5.9118055555591127</v>
      </c>
      <c r="AF54" s="210">
        <f t="shared" si="17"/>
        <v>0</v>
      </c>
      <c r="AG54" s="210">
        <f t="shared" si="18"/>
        <v>0</v>
      </c>
    </row>
    <row r="55" spans="2:33" ht="15" customHeight="1" x14ac:dyDescent="0.3">
      <c r="B55" s="196" t="s">
        <v>5</v>
      </c>
      <c r="C55" s="197" t="s">
        <v>15</v>
      </c>
      <c r="D55" s="198" t="str">
        <f t="shared" si="0"/>
        <v>C</v>
      </c>
      <c r="E55" s="199">
        <v>43483.333333333336</v>
      </c>
      <c r="F55" s="200" t="s">
        <v>94</v>
      </c>
      <c r="G55" s="201">
        <v>6868.41</v>
      </c>
      <c r="H55" s="201">
        <v>6806.76</v>
      </c>
      <c r="I55" s="202">
        <f t="shared" si="1"/>
        <v>61.649999999999636</v>
      </c>
      <c r="J55" s="201">
        <v>7176.67</v>
      </c>
      <c r="K55" s="199">
        <v>43487.4375</v>
      </c>
      <c r="L55" s="201">
        <v>6934.16</v>
      </c>
      <c r="M55" s="203">
        <f t="shared" si="2"/>
        <v>65.75</v>
      </c>
      <c r="N55" s="204">
        <f t="shared" si="3"/>
        <v>1.07</v>
      </c>
      <c r="O55" s="205">
        <f t="shared" si="4"/>
        <v>0</v>
      </c>
      <c r="P55" s="206">
        <f t="shared" si="5"/>
        <v>1.07</v>
      </c>
      <c r="Q55" s="206">
        <f t="shared" si="6"/>
        <v>0</v>
      </c>
      <c r="R55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55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101250</v>
      </c>
      <c r="T55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101250</v>
      </c>
      <c r="U55" s="208" t="str">
        <f ca="1">IF(Tabla336106734823[[#This Row],[Equity]]&lt;Tabla336106734823[[#This Row],[Equity Peak]],(Tabla336106734823[[#This Row],[Equity Peak]]-Tabla336106734823[[#This Row],[Equity]])/Tabla336106734823[[#This Row],[Equity Peak]],"")</f>
        <v/>
      </c>
      <c r="V55" s="209">
        <f t="shared" si="7"/>
        <v>0</v>
      </c>
      <c r="W55" s="209">
        <f t="shared" si="8"/>
        <v>0</v>
      </c>
      <c r="X55" s="209">
        <f t="shared" si="9"/>
        <v>0</v>
      </c>
      <c r="Y55" s="209">
        <f t="shared" si="10"/>
        <v>0</v>
      </c>
      <c r="Z55" s="209">
        <f t="shared" si="11"/>
        <v>1.07</v>
      </c>
      <c r="AA55" s="205">
        <f t="shared" si="12"/>
        <v>0</v>
      </c>
      <c r="AB55" s="209">
        <f t="shared" si="13"/>
        <v>0</v>
      </c>
      <c r="AC55" s="205">
        <f t="shared" si="14"/>
        <v>0</v>
      </c>
      <c r="AD55" s="210">
        <f t="shared" si="15"/>
        <v>4.1041666666642413</v>
      </c>
      <c r="AE55" s="210">
        <f t="shared" si="16"/>
        <v>4.1041666666642413</v>
      </c>
      <c r="AF55" s="210">
        <f t="shared" si="17"/>
        <v>0</v>
      </c>
      <c r="AG55" s="210">
        <f t="shared" si="18"/>
        <v>0</v>
      </c>
    </row>
    <row r="56" spans="2:33" ht="15" customHeight="1" x14ac:dyDescent="0.3">
      <c r="B56" s="196" t="s">
        <v>5</v>
      </c>
      <c r="C56" s="197" t="s">
        <v>13</v>
      </c>
      <c r="D56" s="198" t="str">
        <f t="shared" si="0"/>
        <v>C</v>
      </c>
      <c r="E56" s="199">
        <v>43482.166666666664</v>
      </c>
      <c r="F56" s="200" t="s">
        <v>94</v>
      </c>
      <c r="G56" s="201">
        <v>6831.26</v>
      </c>
      <c r="H56" s="201">
        <v>6905.34</v>
      </c>
      <c r="I56" s="202">
        <f t="shared" si="1"/>
        <v>74.079999999999927</v>
      </c>
      <c r="J56" s="201">
        <v>6460.88</v>
      </c>
      <c r="K56" s="199">
        <v>43483.333333333336</v>
      </c>
      <c r="L56" s="201">
        <v>6868.41</v>
      </c>
      <c r="M56" s="203">
        <f t="shared" si="2"/>
        <v>-37.15</v>
      </c>
      <c r="N56" s="204">
        <f t="shared" si="3"/>
        <v>-0.5</v>
      </c>
      <c r="O56" s="205">
        <f t="shared" si="4"/>
        <v>0</v>
      </c>
      <c r="P56" s="206">
        <f t="shared" si="5"/>
        <v>0</v>
      </c>
      <c r="Q56" s="206">
        <f t="shared" si="6"/>
        <v>-0.5</v>
      </c>
      <c r="R56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56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100180</v>
      </c>
      <c r="T56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100680</v>
      </c>
      <c r="U56" s="208">
        <f ca="1">IF(Tabla336106734823[[#This Row],[Equity]]&lt;Tabla336106734823[[#This Row],[Equity Peak]],(Tabla336106734823[[#This Row],[Equity Peak]]-Tabla336106734823[[#This Row],[Equity]])/Tabla336106734823[[#This Row],[Equity Peak]],"")</f>
        <v>4.9662296384584822E-3</v>
      </c>
      <c r="V56" s="209">
        <f t="shared" si="7"/>
        <v>0</v>
      </c>
      <c r="W56" s="209">
        <f t="shared" si="8"/>
        <v>0</v>
      </c>
      <c r="X56" s="209">
        <f t="shared" si="9"/>
        <v>0</v>
      </c>
      <c r="Y56" s="209">
        <f t="shared" si="10"/>
        <v>0</v>
      </c>
      <c r="Z56" s="209">
        <f t="shared" si="11"/>
        <v>-0.5</v>
      </c>
      <c r="AA56" s="205">
        <f t="shared" si="12"/>
        <v>0</v>
      </c>
      <c r="AB56" s="209">
        <f t="shared" si="13"/>
        <v>0</v>
      </c>
      <c r="AC56" s="205">
        <f t="shared" si="14"/>
        <v>0</v>
      </c>
      <c r="AD56" s="210">
        <f t="shared" si="15"/>
        <v>1.1666666666715173</v>
      </c>
      <c r="AE56" s="210">
        <f t="shared" si="16"/>
        <v>0</v>
      </c>
      <c r="AF56" s="210">
        <f t="shared" si="17"/>
        <v>1.1666666666715173</v>
      </c>
      <c r="AG56" s="210">
        <f t="shared" si="18"/>
        <v>0</v>
      </c>
    </row>
    <row r="57" spans="2:33" ht="15" customHeight="1" x14ac:dyDescent="0.3">
      <c r="B57" s="196" t="s">
        <v>5</v>
      </c>
      <c r="C57" s="197" t="s">
        <v>15</v>
      </c>
      <c r="D57" s="198" t="str">
        <f t="shared" si="0"/>
        <v>C</v>
      </c>
      <c r="E57" s="199">
        <v>43469.5</v>
      </c>
      <c r="F57" s="200" t="s">
        <v>94</v>
      </c>
      <c r="G57" s="201">
        <v>6765.59</v>
      </c>
      <c r="H57" s="201">
        <v>6663.91</v>
      </c>
      <c r="I57" s="202">
        <f t="shared" si="1"/>
        <v>101.68000000000029</v>
      </c>
      <c r="J57" s="201">
        <v>7274</v>
      </c>
      <c r="K57" s="199">
        <v>43476.60833333333</v>
      </c>
      <c r="L57" s="201">
        <v>6912.48</v>
      </c>
      <c r="M57" s="203">
        <f t="shared" si="2"/>
        <v>146.88999999999999</v>
      </c>
      <c r="N57" s="204">
        <f t="shared" si="3"/>
        <v>1.44</v>
      </c>
      <c r="O57" s="205">
        <f t="shared" si="4"/>
        <v>0</v>
      </c>
      <c r="P57" s="206">
        <f t="shared" si="5"/>
        <v>1.44</v>
      </c>
      <c r="Q57" s="206">
        <f t="shared" si="6"/>
        <v>0</v>
      </c>
      <c r="R57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No</v>
      </c>
      <c r="S57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100680</v>
      </c>
      <c r="T57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100680</v>
      </c>
      <c r="U57" s="208" t="str">
        <f ca="1">IF(Tabla336106734823[[#This Row],[Equity]]&lt;Tabla336106734823[[#This Row],[Equity Peak]],(Tabla336106734823[[#This Row],[Equity Peak]]-Tabla336106734823[[#This Row],[Equity]])/Tabla336106734823[[#This Row],[Equity Peak]],"")</f>
        <v/>
      </c>
      <c r="V57" s="209">
        <f t="shared" si="7"/>
        <v>0</v>
      </c>
      <c r="W57" s="209">
        <f t="shared" si="8"/>
        <v>0</v>
      </c>
      <c r="X57" s="209">
        <f t="shared" si="9"/>
        <v>0</v>
      </c>
      <c r="Y57" s="209">
        <f t="shared" si="10"/>
        <v>0</v>
      </c>
      <c r="Z57" s="209">
        <f t="shared" si="11"/>
        <v>1.44</v>
      </c>
      <c r="AA57" s="205">
        <f t="shared" si="12"/>
        <v>0</v>
      </c>
      <c r="AB57" s="209">
        <f t="shared" si="13"/>
        <v>0</v>
      </c>
      <c r="AC57" s="205">
        <f t="shared" si="14"/>
        <v>0</v>
      </c>
      <c r="AD57" s="210">
        <f t="shared" si="15"/>
        <v>7.1083333333299379</v>
      </c>
      <c r="AE57" s="210">
        <f t="shared" si="16"/>
        <v>7.1083333333299379</v>
      </c>
      <c r="AF57" s="210">
        <f t="shared" si="17"/>
        <v>0</v>
      </c>
      <c r="AG57" s="210">
        <f t="shared" si="18"/>
        <v>0</v>
      </c>
    </row>
    <row r="58" spans="2:33" ht="15" customHeight="1" x14ac:dyDescent="0.3">
      <c r="B58" s="196" t="s">
        <v>5</v>
      </c>
      <c r="C58" s="197" t="s">
        <v>15</v>
      </c>
      <c r="D58" s="198" t="str">
        <f t="shared" si="0"/>
        <v>C</v>
      </c>
      <c r="E58" s="199">
        <v>43465.541666666664</v>
      </c>
      <c r="F58" s="200" t="s">
        <v>94</v>
      </c>
      <c r="G58" s="201">
        <v>6746.42</v>
      </c>
      <c r="H58" s="201">
        <v>6638.5</v>
      </c>
      <c r="I58" s="202">
        <f t="shared" si="1"/>
        <v>107.92000000000007</v>
      </c>
      <c r="J58" s="201">
        <v>7286.01</v>
      </c>
      <c r="K58" s="199">
        <v>43467.276388888888</v>
      </c>
      <c r="L58" s="201">
        <v>6663.98</v>
      </c>
      <c r="M58" s="203">
        <f t="shared" si="2"/>
        <v>-82.44</v>
      </c>
      <c r="N58" s="204">
        <f t="shared" si="3"/>
        <v>-0.76</v>
      </c>
      <c r="O58" s="205">
        <f t="shared" si="4"/>
        <v>0</v>
      </c>
      <c r="P58" s="206">
        <f t="shared" si="5"/>
        <v>0</v>
      </c>
      <c r="Q58" s="206">
        <f t="shared" si="6"/>
        <v>-0.76</v>
      </c>
      <c r="R58" s="206" t="str">
        <f ca="1">IF(AND(OFFSET(Tabla336106734823[[#This Row],[Equity]],1,0)="",Tabla336106734823[[#This Row],[No. of Rs]]&lt;0),"Yes",IF(AND(OFFSET(Tabla336106734823[[#This Row],[Initial Losing Trade]],1,0)="Yes",Tabla336106734823[[#This Row],[No. of Rs]]&lt;0),"Yes","No"))</f>
        <v>Yes</v>
      </c>
      <c r="S58" s="207">
        <f ca="1">IF(OFFSET(Tabla336106734823[[#This Row],[Equity]],1,0)="",IF(Tabla336106734823[[#This Row],[No. of Rs]]="",$F$11,$F$11+($F$11*Tabla336106734823[[#This Row],[No. of Rs]]/100)),IF(Tabla336106734823[[#This Row],[No. of Rs]]="",OFFSET(Tabla336106734823[[#This Row],[Equity]],1,0),OFFSET(Tabla336106734823[[#This Row],[Equity]],1,0)+($F$11*Tabla336106734823[[#This Row],[No. of Rs]]/100)))</f>
        <v>99240</v>
      </c>
      <c r="T58" s="207">
        <f ca="1">IF(OFFSET(Tabla336106734823[[#This Row],[Equity Peak]],1,0)="",IF(Tabla336106734823[[#This Row],[Initial Losing Trade]]="Yes",$F$11,Tabla336106734823[[#This Row],[Equity]]),IF(OFFSET(Tabla336106734823[[#This Row],[Equity Peak]],1,0)&gt;Tabla336106734823[[#This Row],[Equity]],OFFSET(Tabla336106734823[[#This Row],[Equity Peak]],1,0),Tabla336106734823[[#This Row],[Equity]]))</f>
        <v>100000</v>
      </c>
      <c r="U58" s="208">
        <f ca="1">IF(Tabla336106734823[[#This Row],[Equity]]&lt;Tabla336106734823[[#This Row],[Equity Peak]],(Tabla336106734823[[#This Row],[Equity Peak]]-Tabla336106734823[[#This Row],[Equity]])/Tabla336106734823[[#This Row],[Equity Peak]],"")</f>
        <v>7.6E-3</v>
      </c>
      <c r="V58" s="209">
        <f t="shared" si="7"/>
        <v>0</v>
      </c>
      <c r="W58" s="209">
        <f t="shared" si="8"/>
        <v>0</v>
      </c>
      <c r="X58" s="209">
        <f t="shared" si="9"/>
        <v>0</v>
      </c>
      <c r="Y58" s="209">
        <f t="shared" si="10"/>
        <v>0</v>
      </c>
      <c r="Z58" s="209">
        <f t="shared" si="11"/>
        <v>-0.76</v>
      </c>
      <c r="AA58" s="205">
        <f t="shared" si="12"/>
        <v>0</v>
      </c>
      <c r="AB58" s="209">
        <f t="shared" si="13"/>
        <v>0</v>
      </c>
      <c r="AC58" s="205">
        <f t="shared" si="14"/>
        <v>0</v>
      </c>
      <c r="AD58" s="210">
        <f t="shared" si="15"/>
        <v>1.734722222223354</v>
      </c>
      <c r="AE58" s="210">
        <f t="shared" si="16"/>
        <v>0</v>
      </c>
      <c r="AF58" s="210">
        <f t="shared" si="17"/>
        <v>1.734722222223354</v>
      </c>
      <c r="AG58" s="210">
        <f t="shared" si="18"/>
        <v>0</v>
      </c>
    </row>
  </sheetData>
  <sheetProtection algorithmName="SHA-512" hashValue="sCSnA1ME55W9OEXBnlnhI++S7f3DxMvDGJG5HQOorenjlM9wqaogjC/CykiiEf8wv+IOwUeUbIYcYlyad2WDbg==" saltValue="bTynweZ93EdypIPXW5mfAw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167" priority="3" operator="equal">
      <formula>"OK"</formula>
    </cfRule>
    <cfRule type="cellIs" dxfId="166" priority="4" operator="equal">
      <formula>"warning"</formula>
    </cfRule>
  </conditionalFormatting>
  <conditionalFormatting sqref="F13">
    <cfRule type="cellIs" dxfId="165" priority="1" operator="equal">
      <formula>"OK"</formula>
    </cfRule>
    <cfRule type="cellIs" dxfId="164" priority="2" operator="equal">
      <formula>"Error!!"</formula>
    </cfRule>
  </conditionalFormatting>
  <conditionalFormatting sqref="E15:H15 K15:L15">
    <cfRule type="expression" dxfId="163" priority="5">
      <formula>+$D15=#REF!</formula>
    </cfRule>
    <cfRule type="expression" dxfId="162" priority="6">
      <formula>+$D15=#REF!</formula>
    </cfRule>
  </conditionalFormatting>
  <conditionalFormatting sqref="D15 K16:L16 D16:H58 J17:L58">
    <cfRule type="expression" dxfId="161" priority="7">
      <formula>+$D15=$AG$8</formula>
    </cfRule>
    <cfRule type="expression" dxfId="160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5:B16" xr:uid="{9D062520-5218-4730-83B2-42F95CA6CC5C}">
      <formula1>$AE$4:$AE$6</formula1>
    </dataValidation>
    <dataValidation type="list" allowBlank="1" showInputMessage="1" showErrorMessage="1" promptTitle="Trade Direction" prompt="Select from List" sqref="C15:C16" xr:uid="{74BAACA8-1128-4B6D-BE0D-868414672862}">
      <formula1>$AG$4:$AG$5</formula1>
    </dataValidation>
    <dataValidation type="list" allowBlank="1" showInputMessage="1" showErrorMessage="1" promptTitle="Instrument Type" prompt="Select Type from List_x000a_" sqref="B17:B58" xr:uid="{2709CD1F-C64E-49DE-A224-7E4561AB56E6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DF3E8-5CAE-4D3B-BE12-713A63494BB2}">
  <sheetPr codeName="Hoja30">
    <pageSetUpPr fitToPage="1"/>
  </sheetPr>
  <dimension ref="A1:AX35"/>
  <sheetViews>
    <sheetView showGridLines="0" showZeros="0" tabSelected="1" zoomScale="115" zoomScaleNormal="115" zoomScalePageLayoutView="99" workbookViewId="0">
      <pane ySplit="16" topLeftCell="A17" activePane="bottomLeft" state="frozen"/>
      <selection activeCell="E2" sqref="E2:N5"/>
      <selection pane="bottomLeft" activeCell="E2" sqref="E2:N5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123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COUNTA(Tabla336106734824[Inst])</f>
        <v>19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16.82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0</v>
      </c>
      <c r="W6" s="18"/>
      <c r="X6" s="17">
        <f>+X13</f>
        <v>0</v>
      </c>
      <c r="Y6" s="19"/>
      <c r="Z6" s="17">
        <f>+Z13</f>
        <v>16.82</v>
      </c>
      <c r="AA6" s="19"/>
      <c r="AB6" s="17">
        <f>+AB13</f>
        <v>0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COUNTIF(Tabla336106734824[No. of Rs],"&gt;0")</f>
        <v>7</v>
      </c>
      <c r="G7" s="24">
        <f>IFERROR((F7/$F$6),"")</f>
        <v>0.36842105263157893</v>
      </c>
      <c r="H7" s="78">
        <f>IFERROR((+P13/F7),"")</f>
        <v>4</v>
      </c>
      <c r="I7" s="227">
        <f>H7/H9</f>
        <v>4.2933810375670838</v>
      </c>
      <c r="J7" s="227">
        <f>AVERAGE(Tabla336106734824[No. of Rs])</f>
        <v>0.88526315789473686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0</v>
      </c>
      <c r="W7" s="27"/>
      <c r="X7" s="26">
        <f>IFERROR((X6/N6),"")</f>
        <v>0</v>
      </c>
      <c r="Y7" s="28"/>
      <c r="Z7" s="26">
        <f>IFERROR((Z6/N6),"")</f>
        <v>1</v>
      </c>
      <c r="AA7" s="28"/>
      <c r="AB7" s="26">
        <f>IFERROR((AB6/N6),"")</f>
        <v>0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COUNTIF(Tabla336106734824[No. of Rs],"=0")</f>
        <v>0</v>
      </c>
      <c r="G8" s="24">
        <f>IFERROR((F8/$F$6),"")</f>
        <v>0</v>
      </c>
      <c r="H8" s="78"/>
      <c r="I8" s="228"/>
      <c r="J8" s="228"/>
      <c r="K8" s="163"/>
      <c r="L8" s="212" t="s">
        <v>112</v>
      </c>
      <c r="M8" s="213"/>
      <c r="N8" s="195">
        <f ca="1">OFFSET(Tabla336106734824[[#Headers],[Equity]],1,0)</f>
        <v>116820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COUNTIF(Tabla336106734824[No. of Rs],"&lt;0")</f>
        <v>12</v>
      </c>
      <c r="G9" s="32">
        <f>IFERROR((F9/$F$6),"")</f>
        <v>0.63157894736842102</v>
      </c>
      <c r="H9" s="79">
        <f>IFERROR((-Q13/F9),"")</f>
        <v>0.93166666666666664</v>
      </c>
      <c r="I9" s="229"/>
      <c r="J9" s="229"/>
      <c r="K9" s="149"/>
      <c r="L9" s="230" t="s">
        <v>106</v>
      </c>
      <c r="M9" s="231"/>
      <c r="N9" s="125">
        <f ca="1">MAX(Tabla336106734824[Drawdown])</f>
        <v>3.4782608695652174E-2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>
        <f ca="1">OFFSET(Tabla336106734824[[#Headers],[Drawdown]],1,0)</f>
        <v>1.6832183134152499E-2</v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COUNTIF(Tabla336106734824[Heat],"&lt;0")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IF(COUNTIFS(Tabla336106734824[O/C],"O")&lt;1,"None",COUNTIFS(Tabla336106734824[O/C],"O"))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SUM(Tabla336106734824[No. of Rs])</f>
        <v>16.82</v>
      </c>
      <c r="O13" s="42">
        <f>SUM(Tabla336106734824[Heat])</f>
        <v>0</v>
      </c>
      <c r="P13" s="43">
        <f>SUM(Tabla336106734824[[ TR WIN]])</f>
        <v>28</v>
      </c>
      <c r="Q13" s="43">
        <f>SUM(Tabla336106734824[[ TR LOSS]])</f>
        <v>-11.18</v>
      </c>
      <c r="R13" s="114"/>
      <c r="S13" s="115"/>
      <c r="T13" s="115"/>
      <c r="U13" s="121"/>
      <c r="V13" s="44">
        <f>SUM(Tabla336106734824[Currency])</f>
        <v>0</v>
      </c>
      <c r="W13" s="44">
        <f>SUM(Tabla336106734824[Heat3])</f>
        <v>0</v>
      </c>
      <c r="X13" s="44">
        <f>SUM(Tabla336106734824[Commodities])</f>
        <v>0</v>
      </c>
      <c r="Y13" s="44">
        <f>SUM(Tabla336106734824[Heat4])</f>
        <v>0</v>
      </c>
      <c r="Z13" s="44">
        <f>SUM(Tabla336106734824[Index])</f>
        <v>16.82</v>
      </c>
      <c r="AA13" s="44">
        <f>SUM(Tabla336106734824[Heat5])</f>
        <v>0</v>
      </c>
      <c r="AB13" s="44">
        <f>SUM(Tabla336106734824[Cryptocurrency])</f>
        <v>0</v>
      </c>
      <c r="AC13" s="44">
        <f>SUM(Tabla336106734824[Heat6])</f>
        <v>0</v>
      </c>
      <c r="AD13" s="75">
        <f>AVERAGEIF(Tabla336106734824[Length of 
Trade],"&lt;&gt;0")</f>
        <v>5.9845760233913197</v>
      </c>
      <c r="AE13" s="75">
        <f>AVERAGEIF(Tabla336106734824[Win],"&lt;&gt;0")</f>
        <v>12.524702380951826</v>
      </c>
      <c r="AF13" s="75">
        <f>AVERAGEIF(Tabla336106734824[Loss],"&lt;&gt;0")</f>
        <v>2.1695023148143568</v>
      </c>
      <c r="AG13" s="76" t="e">
        <f>AVERAGEIF(Tabla336106734824[Breakeven],"&lt;&gt;0")</f>
        <v>#DIV/0!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2:33" ht="15" customHeight="1" x14ac:dyDescent="0.3">
      <c r="B17" s="196" t="s">
        <v>5</v>
      </c>
      <c r="C17" s="197" t="s">
        <v>15</v>
      </c>
      <c r="D17" s="198" t="str">
        <f t="shared" ref="D17:D34" si="0">IF(E17&lt;&gt;"",IF(K17&lt;&gt;"","C","O"),"")</f>
        <v>C</v>
      </c>
      <c r="E17" s="199">
        <v>43812.166666666664</v>
      </c>
      <c r="F17" s="200" t="s">
        <v>95</v>
      </c>
      <c r="G17" s="201">
        <v>28230.1</v>
      </c>
      <c r="H17" s="201">
        <v>28081.96</v>
      </c>
      <c r="I17" s="202">
        <f t="shared" ref="I17:I34" si="1">ABS(G17-H17)</f>
        <v>148.13999999999942</v>
      </c>
      <c r="J17" s="201">
        <v>28822.67</v>
      </c>
      <c r="K17" s="199">
        <v>43812.770833333336</v>
      </c>
      <c r="L17" s="201">
        <v>28081.96</v>
      </c>
      <c r="M17" s="203">
        <f t="shared" ref="M17:M34" si="2">ROUND(IF(C17="L",(L17-G17),(G17-L17)),4)</f>
        <v>-148.13999999999999</v>
      </c>
      <c r="N17" s="204">
        <f t="shared" ref="N17:N34" si="3">IFERROR(ROUND((M17/I17),2),"")</f>
        <v>-1</v>
      </c>
      <c r="O17" s="205">
        <f t="shared" ref="O17:O34" si="4">IF(D17="O",IF(N17&lt;0,N17,0),0)</f>
        <v>0</v>
      </c>
      <c r="P17" s="206">
        <f t="shared" ref="P17:P35" si="5">IF(N17&gt;= 0,N17,0)</f>
        <v>0</v>
      </c>
      <c r="Q17" s="206">
        <f t="shared" ref="Q17:Q35" si="6">IF(N17&lt;0,N17,0)</f>
        <v>-1</v>
      </c>
      <c r="R17" s="206" t="str">
        <f ca="1">IF(AND(OFFSET(Tabla336106734824[[#This Row],[Equity]],1,0)="",Tabla336106734824[[#This Row],[No. of Rs]]&lt;0),"Yes",IF(AND(OFFSET(Tabla336106734824[[#This Row],[Initial Losing Trade]],1,0)="Yes",Tabla336106734824[[#This Row],[No. of Rs]]&lt;0),"Yes","No"))</f>
        <v>No</v>
      </c>
      <c r="S17" s="207">
        <f ca="1">IF(OFFSET(Tabla336106734824[[#This Row],[Equity]],1,0)="",IF(Tabla336106734824[[#This Row],[No. of Rs]]="",$F$11,$F$11+($F$11*Tabla336106734824[[#This Row],[No. of Rs]]/100)),IF(Tabla336106734824[[#This Row],[No. of Rs]]="",OFFSET(Tabla336106734824[[#This Row],[Equity]],1,0),OFFSET(Tabla336106734824[[#This Row],[Equity]],1,0)+($F$11*Tabla336106734824[[#This Row],[No. of Rs]]/100)))</f>
        <v>116820</v>
      </c>
      <c r="T17" s="207">
        <f ca="1">IF(OFFSET(Tabla336106734824[[#This Row],[Equity Peak]],1,0)="",IF(Tabla336106734824[[#This Row],[Initial Losing Trade]]="Yes",$F$11,Tabla336106734824[[#This Row],[Equity]]),IF(OFFSET(Tabla336106734824[[#This Row],[Equity Peak]],1,0)&gt;Tabla336106734824[[#This Row],[Equity]],OFFSET(Tabla336106734824[[#This Row],[Equity Peak]],1,0),Tabla336106734824[[#This Row],[Equity]]))</f>
        <v>118820</v>
      </c>
      <c r="U17" s="208">
        <f ca="1">IF(Tabla336106734824[[#This Row],[Equity]]&lt;Tabla336106734824[[#This Row],[Equity Peak]],(Tabla336106734824[[#This Row],[Equity Peak]]-Tabla336106734824[[#This Row],[Equity]])/Tabla336106734824[[#This Row],[Equity Peak]],"")</f>
        <v>1.6832183134152499E-2</v>
      </c>
      <c r="V17" s="209">
        <f t="shared" ref="V17:V35" si="7">IF(B17="FX",N17,0)</f>
        <v>0</v>
      </c>
      <c r="W17" s="209">
        <f t="shared" ref="W17:W34" si="8">IF(D17="O",IF(V17&lt;0,V17,0),0)</f>
        <v>0</v>
      </c>
      <c r="X17" s="209">
        <f t="shared" ref="X17:X35" si="9">IF(B17="COM",N17,0)</f>
        <v>0</v>
      </c>
      <c r="Y17" s="209">
        <f t="shared" ref="Y17:Y34" si="10">IF(D17="O",IF(X17&lt;0,X17,0),0)</f>
        <v>0</v>
      </c>
      <c r="Z17" s="209">
        <f t="shared" ref="Z17:Z35" si="11">IF(B17="IND",N17,0)</f>
        <v>-1</v>
      </c>
      <c r="AA17" s="205">
        <f t="shared" ref="AA17:AA34" si="12">IF(D17="O",IF(Z17&lt;0,Z17,0),0)</f>
        <v>0</v>
      </c>
      <c r="AB17" s="209">
        <f t="shared" ref="AB17:AB35" si="13">IF(B17="CRYPTO",N17,0)</f>
        <v>0</v>
      </c>
      <c r="AC17" s="205">
        <f t="shared" ref="AC17:AC34" si="14">IF(D17="O",IF(AB17&lt;0,AB17,0),0)</f>
        <v>0</v>
      </c>
      <c r="AD17" s="210">
        <f t="shared" ref="AD17:AD35" si="15">IF(K17&lt;&gt;"",K17-E17,0)</f>
        <v>0.60416666667151731</v>
      </c>
      <c r="AE17" s="210">
        <f t="shared" ref="AE17:AE34" si="16">IF(N17&gt;0,AD17,0)</f>
        <v>0</v>
      </c>
      <c r="AF17" s="210">
        <f t="shared" ref="AF17:AF35" si="17">IF(N17&lt;0,AD17,0)</f>
        <v>0.60416666667151731</v>
      </c>
      <c r="AG17" s="210">
        <f t="shared" ref="AG17:AG35" si="18">IF(N17=0,AD17,0)</f>
        <v>0</v>
      </c>
    </row>
    <row r="18" spans="2:33" ht="15" customHeight="1" x14ac:dyDescent="0.3">
      <c r="B18" s="196" t="s">
        <v>5</v>
      </c>
      <c r="C18" s="197" t="s">
        <v>15</v>
      </c>
      <c r="D18" s="198" t="str">
        <f t="shared" si="0"/>
        <v>C</v>
      </c>
      <c r="E18" s="199">
        <v>43805.833333333336</v>
      </c>
      <c r="F18" s="200" t="s">
        <v>95</v>
      </c>
      <c r="G18" s="201">
        <v>28021.55</v>
      </c>
      <c r="H18" s="201">
        <v>27873.34</v>
      </c>
      <c r="I18" s="202">
        <f t="shared" si="1"/>
        <v>148.20999999999913</v>
      </c>
      <c r="J18" s="201">
        <v>28614.39</v>
      </c>
      <c r="K18" s="199">
        <v>43808.956250000003</v>
      </c>
      <c r="L18" s="201">
        <v>27873.34</v>
      </c>
      <c r="M18" s="203">
        <f t="shared" si="2"/>
        <v>-148.21</v>
      </c>
      <c r="N18" s="204">
        <f t="shared" si="3"/>
        <v>-1</v>
      </c>
      <c r="O18" s="205">
        <f t="shared" si="4"/>
        <v>0</v>
      </c>
      <c r="P18" s="206">
        <f t="shared" si="5"/>
        <v>0</v>
      </c>
      <c r="Q18" s="206">
        <f t="shared" si="6"/>
        <v>-1</v>
      </c>
      <c r="R18" s="206" t="str">
        <f ca="1">IF(AND(OFFSET(Tabla336106734824[[#This Row],[Equity]],1,0)="",Tabla336106734824[[#This Row],[No. of Rs]]&lt;0),"Yes",IF(AND(OFFSET(Tabla336106734824[[#This Row],[Initial Losing Trade]],1,0)="Yes",Tabla336106734824[[#This Row],[No. of Rs]]&lt;0),"Yes","No"))</f>
        <v>No</v>
      </c>
      <c r="S18" s="207">
        <f ca="1">IF(OFFSET(Tabla336106734824[[#This Row],[Equity]],1,0)="",IF(Tabla336106734824[[#This Row],[No. of Rs]]="",$F$11,$F$11+($F$11*Tabla336106734824[[#This Row],[No. of Rs]]/100)),IF(Tabla336106734824[[#This Row],[No. of Rs]]="",OFFSET(Tabla336106734824[[#This Row],[Equity]],1,0),OFFSET(Tabla336106734824[[#This Row],[Equity]],1,0)+($F$11*Tabla336106734824[[#This Row],[No. of Rs]]/100)))</f>
        <v>117820</v>
      </c>
      <c r="T18" s="207">
        <f ca="1">IF(OFFSET(Tabla336106734824[[#This Row],[Equity Peak]],1,0)="",IF(Tabla336106734824[[#This Row],[Initial Losing Trade]]="Yes",$F$11,Tabla336106734824[[#This Row],[Equity]]),IF(OFFSET(Tabla336106734824[[#This Row],[Equity Peak]],1,0)&gt;Tabla336106734824[[#This Row],[Equity]],OFFSET(Tabla336106734824[[#This Row],[Equity Peak]],1,0),Tabla336106734824[[#This Row],[Equity]]))</f>
        <v>118820</v>
      </c>
      <c r="U18" s="208">
        <f ca="1">IF(Tabla336106734824[[#This Row],[Equity]]&lt;Tabla336106734824[[#This Row],[Equity Peak]],(Tabla336106734824[[#This Row],[Equity Peak]]-Tabla336106734824[[#This Row],[Equity]])/Tabla336106734824[[#This Row],[Equity Peak]],"")</f>
        <v>8.4160915670762493E-3</v>
      </c>
      <c r="V18" s="209">
        <f t="shared" si="7"/>
        <v>0</v>
      </c>
      <c r="W18" s="209">
        <f t="shared" si="8"/>
        <v>0</v>
      </c>
      <c r="X18" s="209">
        <f t="shared" si="9"/>
        <v>0</v>
      </c>
      <c r="Y18" s="209">
        <f t="shared" si="10"/>
        <v>0</v>
      </c>
      <c r="Z18" s="209">
        <f t="shared" si="11"/>
        <v>-1</v>
      </c>
      <c r="AA18" s="205">
        <f t="shared" si="12"/>
        <v>0</v>
      </c>
      <c r="AB18" s="209">
        <f t="shared" si="13"/>
        <v>0</v>
      </c>
      <c r="AC18" s="205">
        <f t="shared" si="14"/>
        <v>0</v>
      </c>
      <c r="AD18" s="210">
        <f t="shared" si="15"/>
        <v>3.1229166666671517</v>
      </c>
      <c r="AE18" s="210">
        <f t="shared" si="16"/>
        <v>0</v>
      </c>
      <c r="AF18" s="210">
        <f t="shared" si="17"/>
        <v>3.1229166666671517</v>
      </c>
      <c r="AG18" s="210">
        <f t="shared" si="18"/>
        <v>0</v>
      </c>
    </row>
    <row r="19" spans="2:33" ht="15" customHeight="1" x14ac:dyDescent="0.3">
      <c r="B19" s="196" t="s">
        <v>5</v>
      </c>
      <c r="C19" s="197" t="s">
        <v>15</v>
      </c>
      <c r="D19" s="198" t="str">
        <f t="shared" si="0"/>
        <v>C</v>
      </c>
      <c r="E19" s="199">
        <v>43749.5</v>
      </c>
      <c r="F19" s="200" t="s">
        <v>95</v>
      </c>
      <c r="G19" s="201">
        <v>26749.200000000001</v>
      </c>
      <c r="H19" s="201">
        <v>26551.97</v>
      </c>
      <c r="I19" s="202">
        <f t="shared" si="1"/>
        <v>197.22999999999956</v>
      </c>
      <c r="J19" s="201">
        <v>27538.11</v>
      </c>
      <c r="K19" s="199">
        <v>43774.61041666667</v>
      </c>
      <c r="L19" s="201">
        <v>27538.11</v>
      </c>
      <c r="M19" s="203">
        <f t="shared" si="2"/>
        <v>788.91</v>
      </c>
      <c r="N19" s="204">
        <f t="shared" si="3"/>
        <v>4</v>
      </c>
      <c r="O19" s="205">
        <f t="shared" si="4"/>
        <v>0</v>
      </c>
      <c r="P19" s="206">
        <f t="shared" si="5"/>
        <v>4</v>
      </c>
      <c r="Q19" s="206">
        <f t="shared" si="6"/>
        <v>0</v>
      </c>
      <c r="R19" s="206" t="str">
        <f ca="1">IF(AND(OFFSET(Tabla336106734824[[#This Row],[Equity]],1,0)="",Tabla336106734824[[#This Row],[No. of Rs]]&lt;0),"Yes",IF(AND(OFFSET(Tabla336106734824[[#This Row],[Initial Losing Trade]],1,0)="Yes",Tabla336106734824[[#This Row],[No. of Rs]]&lt;0),"Yes","No"))</f>
        <v>No</v>
      </c>
      <c r="S19" s="207">
        <f ca="1">IF(OFFSET(Tabla336106734824[[#This Row],[Equity]],1,0)="",IF(Tabla336106734824[[#This Row],[No. of Rs]]="",$F$11,$F$11+($F$11*Tabla336106734824[[#This Row],[No. of Rs]]/100)),IF(Tabla336106734824[[#This Row],[No. of Rs]]="",OFFSET(Tabla336106734824[[#This Row],[Equity]],1,0),OFFSET(Tabla336106734824[[#This Row],[Equity]],1,0)+($F$11*Tabla336106734824[[#This Row],[No. of Rs]]/100)))</f>
        <v>118820</v>
      </c>
      <c r="T19" s="207">
        <f ca="1">IF(OFFSET(Tabla336106734824[[#This Row],[Equity Peak]],1,0)="",IF(Tabla336106734824[[#This Row],[Initial Losing Trade]]="Yes",$F$11,Tabla336106734824[[#This Row],[Equity]]),IF(OFFSET(Tabla336106734824[[#This Row],[Equity Peak]],1,0)&gt;Tabla336106734824[[#This Row],[Equity]],OFFSET(Tabla336106734824[[#This Row],[Equity Peak]],1,0),Tabla336106734824[[#This Row],[Equity]]))</f>
        <v>118820</v>
      </c>
      <c r="U19" s="208" t="str">
        <f ca="1">IF(Tabla336106734824[[#This Row],[Equity]]&lt;Tabla336106734824[[#This Row],[Equity Peak]],(Tabla336106734824[[#This Row],[Equity Peak]]-Tabla336106734824[[#This Row],[Equity]])/Tabla336106734824[[#This Row],[Equity Peak]],"")</f>
        <v/>
      </c>
      <c r="V19" s="209">
        <f t="shared" si="7"/>
        <v>0</v>
      </c>
      <c r="W19" s="209">
        <f t="shared" si="8"/>
        <v>0</v>
      </c>
      <c r="X19" s="209">
        <f t="shared" si="9"/>
        <v>0</v>
      </c>
      <c r="Y19" s="209">
        <f t="shared" si="10"/>
        <v>0</v>
      </c>
      <c r="Z19" s="209">
        <f t="shared" si="11"/>
        <v>4</v>
      </c>
      <c r="AA19" s="205">
        <f t="shared" si="12"/>
        <v>0</v>
      </c>
      <c r="AB19" s="209">
        <f t="shared" si="13"/>
        <v>0</v>
      </c>
      <c r="AC19" s="205">
        <f t="shared" si="14"/>
        <v>0</v>
      </c>
      <c r="AD19" s="210">
        <f t="shared" si="15"/>
        <v>25.110416666670062</v>
      </c>
      <c r="AE19" s="210">
        <f t="shared" si="16"/>
        <v>25.110416666670062</v>
      </c>
      <c r="AF19" s="210">
        <f t="shared" si="17"/>
        <v>0</v>
      </c>
      <c r="AG19" s="210">
        <f t="shared" si="18"/>
        <v>0</v>
      </c>
    </row>
    <row r="20" spans="2:33" ht="15" customHeight="1" x14ac:dyDescent="0.3">
      <c r="B20" s="196" t="s">
        <v>5</v>
      </c>
      <c r="C20" s="197" t="s">
        <v>13</v>
      </c>
      <c r="D20" s="198" t="str">
        <f t="shared" si="0"/>
        <v>C</v>
      </c>
      <c r="E20" s="199">
        <v>43740.666666666664</v>
      </c>
      <c r="F20" s="200" t="s">
        <v>95</v>
      </c>
      <c r="G20" s="201">
        <v>26398.3</v>
      </c>
      <c r="H20" s="201">
        <v>26582.63</v>
      </c>
      <c r="I20" s="202">
        <f t="shared" si="1"/>
        <v>184.33000000000175</v>
      </c>
      <c r="J20" s="201">
        <v>25660.99</v>
      </c>
      <c r="K20" s="199">
        <v>43742.773611111108</v>
      </c>
      <c r="L20" s="201">
        <v>26431.38</v>
      </c>
      <c r="M20" s="203">
        <f t="shared" si="2"/>
        <v>-33.08</v>
      </c>
      <c r="N20" s="204">
        <f t="shared" si="3"/>
        <v>-0.18</v>
      </c>
      <c r="O20" s="205">
        <f t="shared" si="4"/>
        <v>0</v>
      </c>
      <c r="P20" s="206">
        <f t="shared" si="5"/>
        <v>0</v>
      </c>
      <c r="Q20" s="206">
        <f t="shared" si="6"/>
        <v>-0.18</v>
      </c>
      <c r="R20" s="206" t="str">
        <f ca="1">IF(AND(OFFSET(Tabla336106734824[[#This Row],[Equity]],1,0)="",Tabla336106734824[[#This Row],[No. of Rs]]&lt;0),"Yes",IF(AND(OFFSET(Tabla336106734824[[#This Row],[Initial Losing Trade]],1,0)="Yes",Tabla336106734824[[#This Row],[No. of Rs]]&lt;0),"Yes","No"))</f>
        <v>No</v>
      </c>
      <c r="S20" s="207">
        <f ca="1">IF(OFFSET(Tabla336106734824[[#This Row],[Equity]],1,0)="",IF(Tabla336106734824[[#This Row],[No. of Rs]]="",$F$11,$F$11+($F$11*Tabla336106734824[[#This Row],[No. of Rs]]/100)),IF(Tabla336106734824[[#This Row],[No. of Rs]]="",OFFSET(Tabla336106734824[[#This Row],[Equity]],1,0),OFFSET(Tabla336106734824[[#This Row],[Equity]],1,0)+($F$11*Tabla336106734824[[#This Row],[No. of Rs]]/100)))</f>
        <v>114820</v>
      </c>
      <c r="T20" s="207">
        <f ca="1">IF(OFFSET(Tabla336106734824[[#This Row],[Equity Peak]],1,0)="",IF(Tabla336106734824[[#This Row],[Initial Losing Trade]]="Yes",$F$11,Tabla336106734824[[#This Row],[Equity]]),IF(OFFSET(Tabla336106734824[[#This Row],[Equity Peak]],1,0)&gt;Tabla336106734824[[#This Row],[Equity]],OFFSET(Tabla336106734824[[#This Row],[Equity Peak]],1,0),Tabla336106734824[[#This Row],[Equity]]))</f>
        <v>115000</v>
      </c>
      <c r="U20" s="208">
        <f ca="1">IF(Tabla336106734824[[#This Row],[Equity]]&lt;Tabla336106734824[[#This Row],[Equity Peak]],(Tabla336106734824[[#This Row],[Equity Peak]]-Tabla336106734824[[#This Row],[Equity]])/Tabla336106734824[[#This Row],[Equity Peak]],"")</f>
        <v>1.5652173913043479E-3</v>
      </c>
      <c r="V20" s="209">
        <f t="shared" si="7"/>
        <v>0</v>
      </c>
      <c r="W20" s="209">
        <f t="shared" si="8"/>
        <v>0</v>
      </c>
      <c r="X20" s="209">
        <f t="shared" si="9"/>
        <v>0</v>
      </c>
      <c r="Y20" s="209">
        <f t="shared" si="10"/>
        <v>0</v>
      </c>
      <c r="Z20" s="209">
        <f t="shared" si="11"/>
        <v>-0.18</v>
      </c>
      <c r="AA20" s="205">
        <f t="shared" si="12"/>
        <v>0</v>
      </c>
      <c r="AB20" s="209">
        <f t="shared" si="13"/>
        <v>0</v>
      </c>
      <c r="AC20" s="205">
        <f t="shared" si="14"/>
        <v>0</v>
      </c>
      <c r="AD20" s="210">
        <f t="shared" si="15"/>
        <v>2.1069444444437977</v>
      </c>
      <c r="AE20" s="210">
        <f t="shared" si="16"/>
        <v>0</v>
      </c>
      <c r="AF20" s="210">
        <f t="shared" si="17"/>
        <v>2.1069444444437977</v>
      </c>
      <c r="AG20" s="210">
        <f t="shared" si="18"/>
        <v>0</v>
      </c>
    </row>
    <row r="21" spans="2:33" ht="15" customHeight="1" x14ac:dyDescent="0.3">
      <c r="B21" s="196" t="s">
        <v>5</v>
      </c>
      <c r="C21" s="197" t="s">
        <v>15</v>
      </c>
      <c r="D21" s="198" t="str">
        <f t="shared" si="0"/>
        <v>C</v>
      </c>
      <c r="E21" s="199">
        <v>43712.333333333336</v>
      </c>
      <c r="F21" s="200" t="s">
        <v>95</v>
      </c>
      <c r="G21" s="201">
        <v>26277.3</v>
      </c>
      <c r="H21" s="201">
        <v>26099.22</v>
      </c>
      <c r="I21" s="202">
        <f t="shared" si="1"/>
        <v>178.07999999999811</v>
      </c>
      <c r="J21" s="201">
        <v>26989.63</v>
      </c>
      <c r="K21" s="199">
        <v>43719.767361111109</v>
      </c>
      <c r="L21" s="201">
        <v>26989.63</v>
      </c>
      <c r="M21" s="203">
        <f t="shared" si="2"/>
        <v>712.33</v>
      </c>
      <c r="N21" s="204">
        <f t="shared" si="3"/>
        <v>4</v>
      </c>
      <c r="O21" s="205">
        <f t="shared" si="4"/>
        <v>0</v>
      </c>
      <c r="P21" s="206">
        <f t="shared" si="5"/>
        <v>4</v>
      </c>
      <c r="Q21" s="206">
        <f t="shared" si="6"/>
        <v>0</v>
      </c>
      <c r="R21" s="206" t="str">
        <f ca="1">IF(AND(OFFSET(Tabla336106734824[[#This Row],[Equity]],1,0)="",Tabla336106734824[[#This Row],[No. of Rs]]&lt;0),"Yes",IF(AND(OFFSET(Tabla336106734824[[#This Row],[Initial Losing Trade]],1,0)="Yes",Tabla336106734824[[#This Row],[No. of Rs]]&lt;0),"Yes","No"))</f>
        <v>No</v>
      </c>
      <c r="S21" s="207">
        <f ca="1">IF(OFFSET(Tabla336106734824[[#This Row],[Equity]],1,0)="",IF(Tabla336106734824[[#This Row],[No. of Rs]]="",$F$11,$F$11+($F$11*Tabla336106734824[[#This Row],[No. of Rs]]/100)),IF(Tabla336106734824[[#This Row],[No. of Rs]]="",OFFSET(Tabla336106734824[[#This Row],[Equity]],1,0),OFFSET(Tabla336106734824[[#This Row],[Equity]],1,0)+($F$11*Tabla336106734824[[#This Row],[No. of Rs]]/100)))</f>
        <v>115000</v>
      </c>
      <c r="T21" s="207">
        <f ca="1">IF(OFFSET(Tabla336106734824[[#This Row],[Equity Peak]],1,0)="",IF(Tabla336106734824[[#This Row],[Initial Losing Trade]]="Yes",$F$11,Tabla336106734824[[#This Row],[Equity]]),IF(OFFSET(Tabla336106734824[[#This Row],[Equity Peak]],1,0)&gt;Tabla336106734824[[#This Row],[Equity]],OFFSET(Tabla336106734824[[#This Row],[Equity Peak]],1,0),Tabla336106734824[[#This Row],[Equity]]))</f>
        <v>115000</v>
      </c>
      <c r="U21" s="208" t="str">
        <f ca="1">IF(Tabla336106734824[[#This Row],[Equity]]&lt;Tabla336106734824[[#This Row],[Equity Peak]],(Tabla336106734824[[#This Row],[Equity Peak]]-Tabla336106734824[[#This Row],[Equity]])/Tabla336106734824[[#This Row],[Equity Peak]],"")</f>
        <v/>
      </c>
      <c r="V21" s="209">
        <f t="shared" si="7"/>
        <v>0</v>
      </c>
      <c r="W21" s="209">
        <f t="shared" si="8"/>
        <v>0</v>
      </c>
      <c r="X21" s="209">
        <f t="shared" si="9"/>
        <v>0</v>
      </c>
      <c r="Y21" s="209">
        <f t="shared" si="10"/>
        <v>0</v>
      </c>
      <c r="Z21" s="209">
        <f t="shared" si="11"/>
        <v>4</v>
      </c>
      <c r="AA21" s="205">
        <f t="shared" si="12"/>
        <v>0</v>
      </c>
      <c r="AB21" s="209">
        <f t="shared" si="13"/>
        <v>0</v>
      </c>
      <c r="AC21" s="205">
        <f t="shared" si="14"/>
        <v>0</v>
      </c>
      <c r="AD21" s="210">
        <f t="shared" si="15"/>
        <v>7.4340277777737356</v>
      </c>
      <c r="AE21" s="210">
        <f t="shared" si="16"/>
        <v>7.4340277777737356</v>
      </c>
      <c r="AF21" s="210">
        <f t="shared" si="17"/>
        <v>0</v>
      </c>
      <c r="AG21" s="210">
        <f t="shared" si="18"/>
        <v>0</v>
      </c>
    </row>
    <row r="22" spans="2:33" ht="15" customHeight="1" x14ac:dyDescent="0.3">
      <c r="B22" s="196" t="s">
        <v>5</v>
      </c>
      <c r="C22" s="197" t="s">
        <v>13</v>
      </c>
      <c r="D22" s="198" t="str">
        <f t="shared" si="0"/>
        <v>C</v>
      </c>
      <c r="E22" s="199">
        <v>43711.833333333336</v>
      </c>
      <c r="F22" s="200" t="s">
        <v>95</v>
      </c>
      <c r="G22" s="201">
        <v>26038.55</v>
      </c>
      <c r="H22" s="201">
        <v>26216.58</v>
      </c>
      <c r="I22" s="202">
        <f t="shared" si="1"/>
        <v>178.03000000000247</v>
      </c>
      <c r="J22" s="201">
        <v>25326.43</v>
      </c>
      <c r="K22" s="199">
        <v>43712.216666666667</v>
      </c>
      <c r="L22" s="201">
        <v>26216.58</v>
      </c>
      <c r="M22" s="203">
        <f t="shared" si="2"/>
        <v>-178.03</v>
      </c>
      <c r="N22" s="204">
        <f t="shared" si="3"/>
        <v>-1</v>
      </c>
      <c r="O22" s="205">
        <f t="shared" si="4"/>
        <v>0</v>
      </c>
      <c r="P22" s="206">
        <f t="shared" si="5"/>
        <v>0</v>
      </c>
      <c r="Q22" s="206">
        <f t="shared" si="6"/>
        <v>-1</v>
      </c>
      <c r="R22" s="206" t="str">
        <f ca="1">IF(AND(OFFSET(Tabla336106734824[[#This Row],[Equity]],1,0)="",Tabla336106734824[[#This Row],[No. of Rs]]&lt;0),"Yes",IF(AND(OFFSET(Tabla336106734824[[#This Row],[Initial Losing Trade]],1,0)="Yes",Tabla336106734824[[#This Row],[No. of Rs]]&lt;0),"Yes","No"))</f>
        <v>No</v>
      </c>
      <c r="S22" s="207">
        <f ca="1">IF(OFFSET(Tabla336106734824[[#This Row],[Equity]],1,0)="",IF(Tabla336106734824[[#This Row],[No. of Rs]]="",$F$11,$F$11+($F$11*Tabla336106734824[[#This Row],[No. of Rs]]/100)),IF(Tabla336106734824[[#This Row],[No. of Rs]]="",OFFSET(Tabla336106734824[[#This Row],[Equity]],1,0),OFFSET(Tabla336106734824[[#This Row],[Equity]],1,0)+($F$11*Tabla336106734824[[#This Row],[No. of Rs]]/100)))</f>
        <v>111000</v>
      </c>
      <c r="T22" s="207">
        <f ca="1">IF(OFFSET(Tabla336106734824[[#This Row],[Equity Peak]],1,0)="",IF(Tabla336106734824[[#This Row],[Initial Losing Trade]]="Yes",$F$11,Tabla336106734824[[#This Row],[Equity]]),IF(OFFSET(Tabla336106734824[[#This Row],[Equity Peak]],1,0)&gt;Tabla336106734824[[#This Row],[Equity]],OFFSET(Tabla336106734824[[#This Row],[Equity Peak]],1,0),Tabla336106734824[[#This Row],[Equity]]))</f>
        <v>115000</v>
      </c>
      <c r="U22" s="208">
        <f ca="1">IF(Tabla336106734824[[#This Row],[Equity]]&lt;Tabla336106734824[[#This Row],[Equity Peak]],(Tabla336106734824[[#This Row],[Equity Peak]]-Tabla336106734824[[#This Row],[Equity]])/Tabla336106734824[[#This Row],[Equity Peak]],"")</f>
        <v>3.4782608695652174E-2</v>
      </c>
      <c r="V22" s="209">
        <f t="shared" si="7"/>
        <v>0</v>
      </c>
      <c r="W22" s="209">
        <f t="shared" si="8"/>
        <v>0</v>
      </c>
      <c r="X22" s="209">
        <f t="shared" si="9"/>
        <v>0</v>
      </c>
      <c r="Y22" s="209">
        <f t="shared" si="10"/>
        <v>0</v>
      </c>
      <c r="Z22" s="209">
        <f t="shared" si="11"/>
        <v>-1</v>
      </c>
      <c r="AA22" s="205">
        <f t="shared" si="12"/>
        <v>0</v>
      </c>
      <c r="AB22" s="209">
        <f t="shared" si="13"/>
        <v>0</v>
      </c>
      <c r="AC22" s="205">
        <f t="shared" si="14"/>
        <v>0</v>
      </c>
      <c r="AD22" s="210">
        <f t="shared" si="15"/>
        <v>0.38333333333139308</v>
      </c>
      <c r="AE22" s="210">
        <f t="shared" si="16"/>
        <v>0</v>
      </c>
      <c r="AF22" s="210">
        <f t="shared" si="17"/>
        <v>0.38333333333139308</v>
      </c>
      <c r="AG22" s="210">
        <f t="shared" si="18"/>
        <v>0</v>
      </c>
    </row>
    <row r="23" spans="2:33" ht="15" customHeight="1" x14ac:dyDescent="0.3">
      <c r="B23" s="196" t="s">
        <v>5</v>
      </c>
      <c r="C23" s="197" t="s">
        <v>15</v>
      </c>
      <c r="D23" s="198" t="str">
        <f t="shared" si="0"/>
        <v>C</v>
      </c>
      <c r="E23" s="199">
        <v>43706.833333333336</v>
      </c>
      <c r="F23" s="200" t="s">
        <v>95</v>
      </c>
      <c r="G23" s="201">
        <v>26384.15</v>
      </c>
      <c r="H23" s="201">
        <v>26206.82</v>
      </c>
      <c r="I23" s="202">
        <f t="shared" si="1"/>
        <v>177.33000000000175</v>
      </c>
      <c r="J23" s="201">
        <v>27093.48</v>
      </c>
      <c r="K23" s="199">
        <v>43710</v>
      </c>
      <c r="L23" s="201">
        <v>26206.82</v>
      </c>
      <c r="M23" s="203">
        <f t="shared" si="2"/>
        <v>-177.33</v>
      </c>
      <c r="N23" s="204">
        <f t="shared" si="3"/>
        <v>-1</v>
      </c>
      <c r="O23" s="205">
        <f t="shared" si="4"/>
        <v>0</v>
      </c>
      <c r="P23" s="206">
        <f t="shared" si="5"/>
        <v>0</v>
      </c>
      <c r="Q23" s="206">
        <f t="shared" si="6"/>
        <v>-1</v>
      </c>
      <c r="R23" s="206" t="str">
        <f ca="1">IF(AND(OFFSET(Tabla336106734824[[#This Row],[Equity]],1,0)="",Tabla336106734824[[#This Row],[No. of Rs]]&lt;0),"Yes",IF(AND(OFFSET(Tabla336106734824[[#This Row],[Initial Losing Trade]],1,0)="Yes",Tabla336106734824[[#This Row],[No. of Rs]]&lt;0),"Yes","No"))</f>
        <v>No</v>
      </c>
      <c r="S23" s="207">
        <f ca="1">IF(OFFSET(Tabla336106734824[[#This Row],[Equity]],1,0)="",IF(Tabla336106734824[[#This Row],[No. of Rs]]="",$F$11,$F$11+($F$11*Tabla336106734824[[#This Row],[No. of Rs]]/100)),IF(Tabla336106734824[[#This Row],[No. of Rs]]="",OFFSET(Tabla336106734824[[#This Row],[Equity]],1,0),OFFSET(Tabla336106734824[[#This Row],[Equity]],1,0)+($F$11*Tabla336106734824[[#This Row],[No. of Rs]]/100)))</f>
        <v>112000</v>
      </c>
      <c r="T23" s="207">
        <f ca="1">IF(OFFSET(Tabla336106734824[[#This Row],[Equity Peak]],1,0)="",IF(Tabla336106734824[[#This Row],[Initial Losing Trade]]="Yes",$F$11,Tabla336106734824[[#This Row],[Equity]]),IF(OFFSET(Tabla336106734824[[#This Row],[Equity Peak]],1,0)&gt;Tabla336106734824[[#This Row],[Equity]],OFFSET(Tabla336106734824[[#This Row],[Equity Peak]],1,0),Tabla336106734824[[#This Row],[Equity]]))</f>
        <v>115000</v>
      </c>
      <c r="U23" s="208">
        <f ca="1">IF(Tabla336106734824[[#This Row],[Equity]]&lt;Tabla336106734824[[#This Row],[Equity Peak]],(Tabla336106734824[[#This Row],[Equity Peak]]-Tabla336106734824[[#This Row],[Equity]])/Tabla336106734824[[#This Row],[Equity Peak]],"")</f>
        <v>2.6086956521739129E-2</v>
      </c>
      <c r="V23" s="209">
        <f t="shared" si="7"/>
        <v>0</v>
      </c>
      <c r="W23" s="209">
        <f t="shared" si="8"/>
        <v>0</v>
      </c>
      <c r="X23" s="209">
        <f t="shared" si="9"/>
        <v>0</v>
      </c>
      <c r="Y23" s="209">
        <f t="shared" si="10"/>
        <v>0</v>
      </c>
      <c r="Z23" s="209">
        <f t="shared" si="11"/>
        <v>-1</v>
      </c>
      <c r="AA23" s="205">
        <f t="shared" si="12"/>
        <v>0</v>
      </c>
      <c r="AB23" s="209">
        <f t="shared" si="13"/>
        <v>0</v>
      </c>
      <c r="AC23" s="205">
        <f t="shared" si="14"/>
        <v>0</v>
      </c>
      <c r="AD23" s="210">
        <f t="shared" si="15"/>
        <v>3.1666666666642413</v>
      </c>
      <c r="AE23" s="210">
        <f t="shared" si="16"/>
        <v>0</v>
      </c>
      <c r="AF23" s="210">
        <f t="shared" si="17"/>
        <v>3.1666666666642413</v>
      </c>
      <c r="AG23" s="210">
        <f t="shared" si="18"/>
        <v>0</v>
      </c>
    </row>
    <row r="24" spans="2:33" ht="15" customHeight="1" x14ac:dyDescent="0.3">
      <c r="B24" s="196" t="s">
        <v>5</v>
      </c>
      <c r="C24" s="197" t="s">
        <v>13</v>
      </c>
      <c r="D24" s="198" t="str">
        <f t="shared" si="0"/>
        <v>C</v>
      </c>
      <c r="E24" s="199">
        <v>43700.666666666664</v>
      </c>
      <c r="F24" s="200" t="s">
        <v>95</v>
      </c>
      <c r="G24" s="201">
        <v>26135.9</v>
      </c>
      <c r="H24" s="201">
        <v>26306.67</v>
      </c>
      <c r="I24" s="202">
        <f t="shared" si="1"/>
        <v>170.7699999999968</v>
      </c>
      <c r="J24" s="201">
        <v>25452.82</v>
      </c>
      <c r="K24" s="199">
        <v>43700.706250000003</v>
      </c>
      <c r="L24" s="201">
        <v>26306.67</v>
      </c>
      <c r="M24" s="203">
        <f t="shared" si="2"/>
        <v>-170.77</v>
      </c>
      <c r="N24" s="204">
        <f t="shared" si="3"/>
        <v>-1</v>
      </c>
      <c r="O24" s="205">
        <f t="shared" si="4"/>
        <v>0</v>
      </c>
      <c r="P24" s="206">
        <f t="shared" si="5"/>
        <v>0</v>
      </c>
      <c r="Q24" s="206">
        <f t="shared" si="6"/>
        <v>-1</v>
      </c>
      <c r="R24" s="206" t="str">
        <f ca="1">IF(AND(OFFSET(Tabla336106734824[[#This Row],[Equity]],1,0)="",Tabla336106734824[[#This Row],[No. of Rs]]&lt;0),"Yes",IF(AND(OFFSET(Tabla336106734824[[#This Row],[Initial Losing Trade]],1,0)="Yes",Tabla336106734824[[#This Row],[No. of Rs]]&lt;0),"Yes","No"))</f>
        <v>No</v>
      </c>
      <c r="S24" s="207">
        <f ca="1">IF(OFFSET(Tabla336106734824[[#This Row],[Equity]],1,0)="",IF(Tabla336106734824[[#This Row],[No. of Rs]]="",$F$11,$F$11+($F$11*Tabla336106734824[[#This Row],[No. of Rs]]/100)),IF(Tabla336106734824[[#This Row],[No. of Rs]]="",OFFSET(Tabla336106734824[[#This Row],[Equity]],1,0),OFFSET(Tabla336106734824[[#This Row],[Equity]],1,0)+($F$11*Tabla336106734824[[#This Row],[No. of Rs]]/100)))</f>
        <v>113000</v>
      </c>
      <c r="T24" s="207">
        <f ca="1">IF(OFFSET(Tabla336106734824[[#This Row],[Equity Peak]],1,0)="",IF(Tabla336106734824[[#This Row],[Initial Losing Trade]]="Yes",$F$11,Tabla336106734824[[#This Row],[Equity]]),IF(OFFSET(Tabla336106734824[[#This Row],[Equity Peak]],1,0)&gt;Tabla336106734824[[#This Row],[Equity]],OFFSET(Tabla336106734824[[#This Row],[Equity Peak]],1,0),Tabla336106734824[[#This Row],[Equity]]))</f>
        <v>115000</v>
      </c>
      <c r="U24" s="208">
        <f ca="1">IF(Tabla336106734824[[#This Row],[Equity]]&lt;Tabla336106734824[[#This Row],[Equity Peak]],(Tabla336106734824[[#This Row],[Equity Peak]]-Tabla336106734824[[#This Row],[Equity]])/Tabla336106734824[[#This Row],[Equity Peak]],"")</f>
        <v>1.7391304347826087E-2</v>
      </c>
      <c r="V24" s="209">
        <f t="shared" si="7"/>
        <v>0</v>
      </c>
      <c r="W24" s="209">
        <f t="shared" si="8"/>
        <v>0</v>
      </c>
      <c r="X24" s="209">
        <f t="shared" si="9"/>
        <v>0</v>
      </c>
      <c r="Y24" s="209">
        <f t="shared" si="10"/>
        <v>0</v>
      </c>
      <c r="Z24" s="209">
        <f t="shared" si="11"/>
        <v>-1</v>
      </c>
      <c r="AA24" s="205">
        <f t="shared" si="12"/>
        <v>0</v>
      </c>
      <c r="AB24" s="209">
        <f t="shared" si="13"/>
        <v>0</v>
      </c>
      <c r="AC24" s="205">
        <f t="shared" si="14"/>
        <v>0</v>
      </c>
      <c r="AD24" s="210">
        <f t="shared" si="15"/>
        <v>3.9583333338669036E-2</v>
      </c>
      <c r="AE24" s="210">
        <f t="shared" si="16"/>
        <v>0</v>
      </c>
      <c r="AF24" s="210">
        <f t="shared" si="17"/>
        <v>3.9583333338669036E-2</v>
      </c>
      <c r="AG24" s="210">
        <f t="shared" si="18"/>
        <v>0</v>
      </c>
    </row>
    <row r="25" spans="2:33" ht="15" customHeight="1" x14ac:dyDescent="0.3">
      <c r="B25" s="196" t="s">
        <v>5</v>
      </c>
      <c r="C25" s="197" t="s">
        <v>15</v>
      </c>
      <c r="D25" s="198" t="str">
        <f t="shared" si="0"/>
        <v>C</v>
      </c>
      <c r="E25" s="199">
        <v>43700.333333333336</v>
      </c>
      <c r="F25" s="200" t="s">
        <v>95</v>
      </c>
      <c r="G25" s="201">
        <v>26314.2</v>
      </c>
      <c r="H25" s="201">
        <v>26143.79</v>
      </c>
      <c r="I25" s="202">
        <f t="shared" si="1"/>
        <v>170.40999999999985</v>
      </c>
      <c r="J25" s="201">
        <v>26995.82</v>
      </c>
      <c r="K25" s="199">
        <v>43700.601388888892</v>
      </c>
      <c r="L25" s="201">
        <v>26143.79</v>
      </c>
      <c r="M25" s="203">
        <f t="shared" si="2"/>
        <v>-170.41</v>
      </c>
      <c r="N25" s="204">
        <f t="shared" si="3"/>
        <v>-1</v>
      </c>
      <c r="O25" s="205">
        <f t="shared" si="4"/>
        <v>0</v>
      </c>
      <c r="P25" s="206">
        <f t="shared" si="5"/>
        <v>0</v>
      </c>
      <c r="Q25" s="206">
        <f t="shared" si="6"/>
        <v>-1</v>
      </c>
      <c r="R25" s="206" t="str">
        <f ca="1">IF(AND(OFFSET(Tabla336106734824[[#This Row],[Equity]],1,0)="",Tabla336106734824[[#This Row],[No. of Rs]]&lt;0),"Yes",IF(AND(OFFSET(Tabla336106734824[[#This Row],[Initial Losing Trade]],1,0)="Yes",Tabla336106734824[[#This Row],[No. of Rs]]&lt;0),"Yes","No"))</f>
        <v>No</v>
      </c>
      <c r="S25" s="207">
        <f ca="1">IF(OFFSET(Tabla336106734824[[#This Row],[Equity]],1,0)="",IF(Tabla336106734824[[#This Row],[No. of Rs]]="",$F$11,$F$11+($F$11*Tabla336106734824[[#This Row],[No. of Rs]]/100)),IF(Tabla336106734824[[#This Row],[No. of Rs]]="",OFFSET(Tabla336106734824[[#This Row],[Equity]],1,0),OFFSET(Tabla336106734824[[#This Row],[Equity]],1,0)+($F$11*Tabla336106734824[[#This Row],[No. of Rs]]/100)))</f>
        <v>114000</v>
      </c>
      <c r="T25" s="207">
        <f ca="1">IF(OFFSET(Tabla336106734824[[#This Row],[Equity Peak]],1,0)="",IF(Tabla336106734824[[#This Row],[Initial Losing Trade]]="Yes",$F$11,Tabla336106734824[[#This Row],[Equity]]),IF(OFFSET(Tabla336106734824[[#This Row],[Equity Peak]],1,0)&gt;Tabla336106734824[[#This Row],[Equity]],OFFSET(Tabla336106734824[[#This Row],[Equity Peak]],1,0),Tabla336106734824[[#This Row],[Equity]]))</f>
        <v>115000</v>
      </c>
      <c r="U25" s="208">
        <f ca="1">IF(Tabla336106734824[[#This Row],[Equity]]&lt;Tabla336106734824[[#This Row],[Equity Peak]],(Tabla336106734824[[#This Row],[Equity Peak]]-Tabla336106734824[[#This Row],[Equity]])/Tabla336106734824[[#This Row],[Equity Peak]],"")</f>
        <v>8.6956521739130436E-3</v>
      </c>
      <c r="V25" s="209">
        <f t="shared" si="7"/>
        <v>0</v>
      </c>
      <c r="W25" s="209">
        <f t="shared" si="8"/>
        <v>0</v>
      </c>
      <c r="X25" s="209">
        <f t="shared" si="9"/>
        <v>0</v>
      </c>
      <c r="Y25" s="209">
        <f t="shared" si="10"/>
        <v>0</v>
      </c>
      <c r="Z25" s="209">
        <f t="shared" si="11"/>
        <v>-1</v>
      </c>
      <c r="AA25" s="205">
        <f t="shared" si="12"/>
        <v>0</v>
      </c>
      <c r="AB25" s="209">
        <f t="shared" si="13"/>
        <v>0</v>
      </c>
      <c r="AC25" s="205">
        <f t="shared" si="14"/>
        <v>0</v>
      </c>
      <c r="AD25" s="210">
        <f t="shared" si="15"/>
        <v>0.26805555555620231</v>
      </c>
      <c r="AE25" s="210">
        <f t="shared" si="16"/>
        <v>0</v>
      </c>
      <c r="AF25" s="210">
        <f t="shared" si="17"/>
        <v>0.26805555555620231</v>
      </c>
      <c r="AG25" s="210">
        <f t="shared" si="18"/>
        <v>0</v>
      </c>
    </row>
    <row r="26" spans="2:33" ht="15" customHeight="1" x14ac:dyDescent="0.3">
      <c r="B26" s="196" t="s">
        <v>5</v>
      </c>
      <c r="C26" s="197" t="s">
        <v>13</v>
      </c>
      <c r="D26" s="198" t="str">
        <f t="shared" si="0"/>
        <v>C</v>
      </c>
      <c r="E26" s="199">
        <v>43682.375</v>
      </c>
      <c r="F26" s="200" t="s">
        <v>95</v>
      </c>
      <c r="G26" s="201">
        <v>26233.78</v>
      </c>
      <c r="H26" s="201">
        <v>26390.77</v>
      </c>
      <c r="I26" s="202">
        <f t="shared" si="1"/>
        <v>156.9900000000016</v>
      </c>
      <c r="J26" s="201">
        <v>25605.83</v>
      </c>
      <c r="K26" s="199">
        <v>43682.95</v>
      </c>
      <c r="L26" s="201">
        <v>25605.83</v>
      </c>
      <c r="M26" s="203">
        <f t="shared" si="2"/>
        <v>627.95000000000005</v>
      </c>
      <c r="N26" s="204">
        <f t="shared" si="3"/>
        <v>4</v>
      </c>
      <c r="O26" s="205">
        <f t="shared" si="4"/>
        <v>0</v>
      </c>
      <c r="P26" s="206">
        <f t="shared" si="5"/>
        <v>4</v>
      </c>
      <c r="Q26" s="206">
        <f t="shared" si="6"/>
        <v>0</v>
      </c>
      <c r="R26" s="206" t="str">
        <f ca="1">IF(AND(OFFSET(Tabla336106734824[[#This Row],[Equity]],1,0)="",Tabla336106734824[[#This Row],[No. of Rs]]&lt;0),"Yes",IF(AND(OFFSET(Tabla336106734824[[#This Row],[Initial Losing Trade]],1,0)="Yes",Tabla336106734824[[#This Row],[No. of Rs]]&lt;0),"Yes","No"))</f>
        <v>No</v>
      </c>
      <c r="S26" s="207">
        <f ca="1">IF(OFFSET(Tabla336106734824[[#This Row],[Equity]],1,0)="",IF(Tabla336106734824[[#This Row],[No. of Rs]]="",$F$11,$F$11+($F$11*Tabla336106734824[[#This Row],[No. of Rs]]/100)),IF(Tabla336106734824[[#This Row],[No. of Rs]]="",OFFSET(Tabla336106734824[[#This Row],[Equity]],1,0),OFFSET(Tabla336106734824[[#This Row],[Equity]],1,0)+($F$11*Tabla336106734824[[#This Row],[No. of Rs]]/100)))</f>
        <v>115000</v>
      </c>
      <c r="T26" s="207">
        <f ca="1">IF(OFFSET(Tabla336106734824[[#This Row],[Equity Peak]],1,0)="",IF(Tabla336106734824[[#This Row],[Initial Losing Trade]]="Yes",$F$11,Tabla336106734824[[#This Row],[Equity]]),IF(OFFSET(Tabla336106734824[[#This Row],[Equity Peak]],1,0)&gt;Tabla336106734824[[#This Row],[Equity]],OFFSET(Tabla336106734824[[#This Row],[Equity Peak]],1,0),Tabla336106734824[[#This Row],[Equity]]))</f>
        <v>115000</v>
      </c>
      <c r="U26" s="208" t="str">
        <f ca="1">IF(Tabla336106734824[[#This Row],[Equity]]&lt;Tabla336106734824[[#This Row],[Equity Peak]],(Tabla336106734824[[#This Row],[Equity Peak]]-Tabla336106734824[[#This Row],[Equity]])/Tabla336106734824[[#This Row],[Equity Peak]],"")</f>
        <v/>
      </c>
      <c r="V26" s="209">
        <f t="shared" si="7"/>
        <v>0</v>
      </c>
      <c r="W26" s="209">
        <f t="shared" si="8"/>
        <v>0</v>
      </c>
      <c r="X26" s="209">
        <f t="shared" si="9"/>
        <v>0</v>
      </c>
      <c r="Y26" s="209">
        <f t="shared" si="10"/>
        <v>0</v>
      </c>
      <c r="Z26" s="209">
        <f t="shared" si="11"/>
        <v>4</v>
      </c>
      <c r="AA26" s="205">
        <f t="shared" si="12"/>
        <v>0</v>
      </c>
      <c r="AB26" s="209">
        <f t="shared" si="13"/>
        <v>0</v>
      </c>
      <c r="AC26" s="205">
        <f t="shared" si="14"/>
        <v>0</v>
      </c>
      <c r="AD26" s="210">
        <f t="shared" si="15"/>
        <v>0.57499999999708962</v>
      </c>
      <c r="AE26" s="210">
        <f t="shared" si="16"/>
        <v>0.57499999999708962</v>
      </c>
      <c r="AF26" s="210">
        <f t="shared" si="17"/>
        <v>0</v>
      </c>
      <c r="AG26" s="210">
        <f t="shared" si="18"/>
        <v>0</v>
      </c>
    </row>
    <row r="27" spans="2:33" ht="15" customHeight="1" x14ac:dyDescent="0.3">
      <c r="B27" s="196" t="s">
        <v>5</v>
      </c>
      <c r="C27" s="197" t="s">
        <v>15</v>
      </c>
      <c r="D27" s="198" t="str">
        <f t="shared" si="0"/>
        <v>C</v>
      </c>
      <c r="E27" s="199">
        <v>43623.5</v>
      </c>
      <c r="F27" s="200" t="s">
        <v>95</v>
      </c>
      <c r="G27" s="201">
        <v>25808.7</v>
      </c>
      <c r="H27" s="201">
        <v>25641.83</v>
      </c>
      <c r="I27" s="202">
        <f t="shared" si="1"/>
        <v>166.86999999999898</v>
      </c>
      <c r="J27" s="201">
        <v>26476.19</v>
      </c>
      <c r="K27" s="199">
        <v>43634.770833333336</v>
      </c>
      <c r="L27" s="201">
        <v>26476.19</v>
      </c>
      <c r="M27" s="203">
        <f t="shared" si="2"/>
        <v>667.49</v>
      </c>
      <c r="N27" s="204">
        <f t="shared" si="3"/>
        <v>4</v>
      </c>
      <c r="O27" s="205">
        <f t="shared" si="4"/>
        <v>0</v>
      </c>
      <c r="P27" s="206">
        <f t="shared" si="5"/>
        <v>4</v>
      </c>
      <c r="Q27" s="206">
        <f t="shared" si="6"/>
        <v>0</v>
      </c>
      <c r="R27" s="206" t="str">
        <f ca="1">IF(AND(OFFSET(Tabla336106734824[[#This Row],[Equity]],1,0)="",Tabla336106734824[[#This Row],[No. of Rs]]&lt;0),"Yes",IF(AND(OFFSET(Tabla336106734824[[#This Row],[Initial Losing Trade]],1,0)="Yes",Tabla336106734824[[#This Row],[No. of Rs]]&lt;0),"Yes","No"))</f>
        <v>No</v>
      </c>
      <c r="S27" s="207">
        <f ca="1">IF(OFFSET(Tabla336106734824[[#This Row],[Equity]],1,0)="",IF(Tabla336106734824[[#This Row],[No. of Rs]]="",$F$11,$F$11+($F$11*Tabla336106734824[[#This Row],[No. of Rs]]/100)),IF(Tabla336106734824[[#This Row],[No. of Rs]]="",OFFSET(Tabla336106734824[[#This Row],[Equity]],1,0),OFFSET(Tabla336106734824[[#This Row],[Equity]],1,0)+($F$11*Tabla336106734824[[#This Row],[No. of Rs]]/100)))</f>
        <v>111000</v>
      </c>
      <c r="T27" s="207">
        <f ca="1">IF(OFFSET(Tabla336106734824[[#This Row],[Equity Peak]],1,0)="",IF(Tabla336106734824[[#This Row],[Initial Losing Trade]]="Yes",$F$11,Tabla336106734824[[#This Row],[Equity]]),IF(OFFSET(Tabla336106734824[[#This Row],[Equity Peak]],1,0)&gt;Tabla336106734824[[#This Row],[Equity]],OFFSET(Tabla336106734824[[#This Row],[Equity Peak]],1,0),Tabla336106734824[[#This Row],[Equity]]))</f>
        <v>111000</v>
      </c>
      <c r="U27" s="208" t="str">
        <f ca="1">IF(Tabla336106734824[[#This Row],[Equity]]&lt;Tabla336106734824[[#This Row],[Equity Peak]],(Tabla336106734824[[#This Row],[Equity Peak]]-Tabla336106734824[[#This Row],[Equity]])/Tabla336106734824[[#This Row],[Equity Peak]],"")</f>
        <v/>
      </c>
      <c r="V27" s="209">
        <f t="shared" si="7"/>
        <v>0</v>
      </c>
      <c r="W27" s="209">
        <f t="shared" si="8"/>
        <v>0</v>
      </c>
      <c r="X27" s="209">
        <f t="shared" si="9"/>
        <v>0</v>
      </c>
      <c r="Y27" s="209">
        <f t="shared" si="10"/>
        <v>0</v>
      </c>
      <c r="Z27" s="209">
        <f t="shared" si="11"/>
        <v>4</v>
      </c>
      <c r="AA27" s="205">
        <f t="shared" si="12"/>
        <v>0</v>
      </c>
      <c r="AB27" s="209">
        <f t="shared" si="13"/>
        <v>0</v>
      </c>
      <c r="AC27" s="205">
        <f t="shared" si="14"/>
        <v>0</v>
      </c>
      <c r="AD27" s="210">
        <f t="shared" si="15"/>
        <v>11.270833333335759</v>
      </c>
      <c r="AE27" s="210">
        <f t="shared" si="16"/>
        <v>11.270833333335759</v>
      </c>
      <c r="AF27" s="210">
        <f t="shared" si="17"/>
        <v>0</v>
      </c>
      <c r="AG27" s="210">
        <f t="shared" si="18"/>
        <v>0</v>
      </c>
    </row>
    <row r="28" spans="2:33" ht="15" customHeight="1" x14ac:dyDescent="0.3">
      <c r="B28" s="196" t="s">
        <v>5</v>
      </c>
      <c r="C28" s="197" t="s">
        <v>13</v>
      </c>
      <c r="D28" s="198" t="str">
        <f t="shared" si="0"/>
        <v>C</v>
      </c>
      <c r="E28" s="199">
        <v>43614.166666666664</v>
      </c>
      <c r="F28" s="200" t="s">
        <v>95</v>
      </c>
      <c r="G28" s="201">
        <v>25280.6</v>
      </c>
      <c r="H28" s="201">
        <v>25445.13</v>
      </c>
      <c r="I28" s="202">
        <f t="shared" si="1"/>
        <v>164.53000000000247</v>
      </c>
      <c r="J28" s="201">
        <v>24622.48</v>
      </c>
      <c r="K28" s="199">
        <v>43619.026388888888</v>
      </c>
      <c r="L28" s="201">
        <v>24622.48</v>
      </c>
      <c r="M28" s="203">
        <f t="shared" si="2"/>
        <v>658.12</v>
      </c>
      <c r="N28" s="204">
        <f t="shared" si="3"/>
        <v>4</v>
      </c>
      <c r="O28" s="205">
        <f t="shared" si="4"/>
        <v>0</v>
      </c>
      <c r="P28" s="206">
        <f t="shared" si="5"/>
        <v>4</v>
      </c>
      <c r="Q28" s="206">
        <f t="shared" si="6"/>
        <v>0</v>
      </c>
      <c r="R28" s="206" t="str">
        <f ca="1">IF(AND(OFFSET(Tabla336106734824[[#This Row],[Equity]],1,0)="",Tabla336106734824[[#This Row],[No. of Rs]]&lt;0),"Yes",IF(AND(OFFSET(Tabla336106734824[[#This Row],[Initial Losing Trade]],1,0)="Yes",Tabla336106734824[[#This Row],[No. of Rs]]&lt;0),"Yes","No"))</f>
        <v>No</v>
      </c>
      <c r="S28" s="207">
        <f ca="1">IF(OFFSET(Tabla336106734824[[#This Row],[Equity]],1,0)="",IF(Tabla336106734824[[#This Row],[No. of Rs]]="",$F$11,$F$11+($F$11*Tabla336106734824[[#This Row],[No. of Rs]]/100)),IF(Tabla336106734824[[#This Row],[No. of Rs]]="",OFFSET(Tabla336106734824[[#This Row],[Equity]],1,0),OFFSET(Tabla336106734824[[#This Row],[Equity]],1,0)+($F$11*Tabla336106734824[[#This Row],[No. of Rs]]/100)))</f>
        <v>107000</v>
      </c>
      <c r="T28" s="207">
        <f ca="1">IF(OFFSET(Tabla336106734824[[#This Row],[Equity Peak]],1,0)="",IF(Tabla336106734824[[#This Row],[Initial Losing Trade]]="Yes",$F$11,Tabla336106734824[[#This Row],[Equity]]),IF(OFFSET(Tabla336106734824[[#This Row],[Equity Peak]],1,0)&gt;Tabla336106734824[[#This Row],[Equity]],OFFSET(Tabla336106734824[[#This Row],[Equity Peak]],1,0),Tabla336106734824[[#This Row],[Equity]]))</f>
        <v>107000</v>
      </c>
      <c r="U28" s="208" t="str">
        <f ca="1">IF(Tabla336106734824[[#This Row],[Equity]]&lt;Tabla336106734824[[#This Row],[Equity Peak]],(Tabla336106734824[[#This Row],[Equity Peak]]-Tabla336106734824[[#This Row],[Equity]])/Tabla336106734824[[#This Row],[Equity Peak]],"")</f>
        <v/>
      </c>
      <c r="V28" s="209">
        <f t="shared" si="7"/>
        <v>0</v>
      </c>
      <c r="W28" s="209">
        <f t="shared" si="8"/>
        <v>0</v>
      </c>
      <c r="X28" s="209">
        <f t="shared" si="9"/>
        <v>0</v>
      </c>
      <c r="Y28" s="209">
        <f t="shared" si="10"/>
        <v>0</v>
      </c>
      <c r="Z28" s="209">
        <f t="shared" si="11"/>
        <v>4</v>
      </c>
      <c r="AA28" s="205">
        <f t="shared" si="12"/>
        <v>0</v>
      </c>
      <c r="AB28" s="209">
        <f t="shared" si="13"/>
        <v>0</v>
      </c>
      <c r="AC28" s="205">
        <f t="shared" si="14"/>
        <v>0</v>
      </c>
      <c r="AD28" s="210">
        <f t="shared" si="15"/>
        <v>4.859722222223354</v>
      </c>
      <c r="AE28" s="210">
        <f t="shared" si="16"/>
        <v>4.859722222223354</v>
      </c>
      <c r="AF28" s="210">
        <f t="shared" si="17"/>
        <v>0</v>
      </c>
      <c r="AG28" s="210">
        <f t="shared" si="18"/>
        <v>0</v>
      </c>
    </row>
    <row r="29" spans="2:33" ht="15" customHeight="1" x14ac:dyDescent="0.3">
      <c r="B29" s="196" t="s">
        <v>5</v>
      </c>
      <c r="C29" s="197" t="s">
        <v>13</v>
      </c>
      <c r="D29" s="198" t="str">
        <f t="shared" si="0"/>
        <v>C</v>
      </c>
      <c r="E29" s="199">
        <v>43598.708333333336</v>
      </c>
      <c r="F29" s="200" t="s">
        <v>95</v>
      </c>
      <c r="G29" s="201">
        <v>25450.7</v>
      </c>
      <c r="H29" s="201">
        <v>25609.66</v>
      </c>
      <c r="I29" s="202">
        <f t="shared" si="1"/>
        <v>158.95999999999913</v>
      </c>
      <c r="J29" s="201">
        <v>24814.880000000001</v>
      </c>
      <c r="K29" s="199">
        <v>43599.769444444442</v>
      </c>
      <c r="L29" s="201">
        <v>25609.66</v>
      </c>
      <c r="M29" s="203">
        <f t="shared" si="2"/>
        <v>-158.96</v>
      </c>
      <c r="N29" s="204">
        <f t="shared" si="3"/>
        <v>-1</v>
      </c>
      <c r="O29" s="205">
        <f t="shared" si="4"/>
        <v>0</v>
      </c>
      <c r="P29" s="206">
        <f t="shared" si="5"/>
        <v>0</v>
      </c>
      <c r="Q29" s="206">
        <f t="shared" si="6"/>
        <v>-1</v>
      </c>
      <c r="R29" s="206" t="str">
        <f ca="1">IF(AND(OFFSET(Tabla336106734824[[#This Row],[Equity]],1,0)="",Tabla336106734824[[#This Row],[No. of Rs]]&lt;0),"Yes",IF(AND(OFFSET(Tabla336106734824[[#This Row],[Initial Losing Trade]],1,0)="Yes",Tabla336106734824[[#This Row],[No. of Rs]]&lt;0),"Yes","No"))</f>
        <v>No</v>
      </c>
      <c r="S29" s="207">
        <f ca="1">IF(OFFSET(Tabla336106734824[[#This Row],[Equity]],1,0)="",IF(Tabla336106734824[[#This Row],[No. of Rs]]="",$F$11,$F$11+($F$11*Tabla336106734824[[#This Row],[No. of Rs]]/100)),IF(Tabla336106734824[[#This Row],[No. of Rs]]="",OFFSET(Tabla336106734824[[#This Row],[Equity]],1,0),OFFSET(Tabla336106734824[[#This Row],[Equity]],1,0)+($F$11*Tabla336106734824[[#This Row],[No. of Rs]]/100)))</f>
        <v>103000</v>
      </c>
      <c r="T29" s="207">
        <f ca="1">IF(OFFSET(Tabla336106734824[[#This Row],[Equity Peak]],1,0)="",IF(Tabla336106734824[[#This Row],[Initial Losing Trade]]="Yes",$F$11,Tabla336106734824[[#This Row],[Equity]]),IF(OFFSET(Tabla336106734824[[#This Row],[Equity Peak]],1,0)&gt;Tabla336106734824[[#This Row],[Equity]],OFFSET(Tabla336106734824[[#This Row],[Equity Peak]],1,0),Tabla336106734824[[#This Row],[Equity]]))</f>
        <v>105000</v>
      </c>
      <c r="U29" s="208">
        <f ca="1">IF(Tabla336106734824[[#This Row],[Equity]]&lt;Tabla336106734824[[#This Row],[Equity Peak]],(Tabla336106734824[[#This Row],[Equity Peak]]-Tabla336106734824[[#This Row],[Equity]])/Tabla336106734824[[#This Row],[Equity Peak]],"")</f>
        <v>1.9047619047619049E-2</v>
      </c>
      <c r="V29" s="209">
        <f t="shared" si="7"/>
        <v>0</v>
      </c>
      <c r="W29" s="209">
        <f t="shared" si="8"/>
        <v>0</v>
      </c>
      <c r="X29" s="209">
        <f t="shared" si="9"/>
        <v>0</v>
      </c>
      <c r="Y29" s="209">
        <f t="shared" si="10"/>
        <v>0</v>
      </c>
      <c r="Z29" s="209">
        <f t="shared" si="11"/>
        <v>-1</v>
      </c>
      <c r="AA29" s="205">
        <f t="shared" si="12"/>
        <v>0</v>
      </c>
      <c r="AB29" s="209">
        <f t="shared" si="13"/>
        <v>0</v>
      </c>
      <c r="AC29" s="205">
        <f t="shared" si="14"/>
        <v>0</v>
      </c>
      <c r="AD29" s="210">
        <f t="shared" si="15"/>
        <v>1.0611111111065838</v>
      </c>
      <c r="AE29" s="210">
        <f t="shared" si="16"/>
        <v>0</v>
      </c>
      <c r="AF29" s="210">
        <f t="shared" si="17"/>
        <v>1.0611111111065838</v>
      </c>
      <c r="AG29" s="210">
        <f t="shared" si="18"/>
        <v>0</v>
      </c>
    </row>
    <row r="30" spans="2:33" ht="15" customHeight="1" x14ac:dyDescent="0.3">
      <c r="B30" s="196" t="s">
        <v>5</v>
      </c>
      <c r="C30" s="197" t="s">
        <v>15</v>
      </c>
      <c r="D30" s="198" t="str">
        <f t="shared" si="0"/>
        <v>C</v>
      </c>
      <c r="E30" s="199">
        <v>43588.833333333336</v>
      </c>
      <c r="F30" s="200" t="s">
        <v>95</v>
      </c>
      <c r="G30" s="201">
        <v>26504.400000000001</v>
      </c>
      <c r="H30" s="201">
        <v>26357.19</v>
      </c>
      <c r="I30" s="202">
        <f t="shared" si="1"/>
        <v>147.21000000000276</v>
      </c>
      <c r="J30" s="201">
        <v>27093.24</v>
      </c>
      <c r="K30" s="199">
        <v>43591</v>
      </c>
      <c r="L30" s="201">
        <v>26357.19</v>
      </c>
      <c r="M30" s="203">
        <f t="shared" si="2"/>
        <v>-147.21</v>
      </c>
      <c r="N30" s="204">
        <f t="shared" si="3"/>
        <v>-1</v>
      </c>
      <c r="O30" s="205">
        <f t="shared" si="4"/>
        <v>0</v>
      </c>
      <c r="P30" s="206">
        <f t="shared" si="5"/>
        <v>0</v>
      </c>
      <c r="Q30" s="206">
        <f t="shared" si="6"/>
        <v>-1</v>
      </c>
      <c r="R30" s="206" t="str">
        <f ca="1">IF(AND(OFFSET(Tabla336106734824[[#This Row],[Equity]],1,0)="",Tabla336106734824[[#This Row],[No. of Rs]]&lt;0),"Yes",IF(AND(OFFSET(Tabla336106734824[[#This Row],[Initial Losing Trade]],1,0)="Yes",Tabla336106734824[[#This Row],[No. of Rs]]&lt;0),"Yes","No"))</f>
        <v>No</v>
      </c>
      <c r="S30" s="207">
        <f ca="1">IF(OFFSET(Tabla336106734824[[#This Row],[Equity]],1,0)="",IF(Tabla336106734824[[#This Row],[No. of Rs]]="",$F$11,$F$11+($F$11*Tabla336106734824[[#This Row],[No. of Rs]]/100)),IF(Tabla336106734824[[#This Row],[No. of Rs]]="",OFFSET(Tabla336106734824[[#This Row],[Equity]],1,0),OFFSET(Tabla336106734824[[#This Row],[Equity]],1,0)+($F$11*Tabla336106734824[[#This Row],[No. of Rs]]/100)))</f>
        <v>104000</v>
      </c>
      <c r="T30" s="207">
        <f ca="1">IF(OFFSET(Tabla336106734824[[#This Row],[Equity Peak]],1,0)="",IF(Tabla336106734824[[#This Row],[Initial Losing Trade]]="Yes",$F$11,Tabla336106734824[[#This Row],[Equity]]),IF(OFFSET(Tabla336106734824[[#This Row],[Equity Peak]],1,0)&gt;Tabla336106734824[[#This Row],[Equity]],OFFSET(Tabla336106734824[[#This Row],[Equity Peak]],1,0),Tabla336106734824[[#This Row],[Equity]]))</f>
        <v>105000</v>
      </c>
      <c r="U30" s="208">
        <f ca="1">IF(Tabla336106734824[[#This Row],[Equity]]&lt;Tabla336106734824[[#This Row],[Equity Peak]],(Tabla336106734824[[#This Row],[Equity Peak]]-Tabla336106734824[[#This Row],[Equity]])/Tabla336106734824[[#This Row],[Equity Peak]],"")</f>
        <v>9.5238095238095247E-3</v>
      </c>
      <c r="V30" s="209">
        <f t="shared" si="7"/>
        <v>0</v>
      </c>
      <c r="W30" s="209">
        <f t="shared" si="8"/>
        <v>0</v>
      </c>
      <c r="X30" s="209">
        <f t="shared" si="9"/>
        <v>0</v>
      </c>
      <c r="Y30" s="209">
        <f t="shared" si="10"/>
        <v>0</v>
      </c>
      <c r="Z30" s="209">
        <f t="shared" si="11"/>
        <v>-1</v>
      </c>
      <c r="AA30" s="205">
        <f t="shared" si="12"/>
        <v>0</v>
      </c>
      <c r="AB30" s="209">
        <f t="shared" si="13"/>
        <v>0</v>
      </c>
      <c r="AC30" s="205">
        <f t="shared" si="14"/>
        <v>0</v>
      </c>
      <c r="AD30" s="210">
        <f t="shared" si="15"/>
        <v>2.1666666666642413</v>
      </c>
      <c r="AE30" s="210">
        <f t="shared" si="16"/>
        <v>0</v>
      </c>
      <c r="AF30" s="210">
        <f t="shared" si="17"/>
        <v>2.1666666666642413</v>
      </c>
      <c r="AG30" s="210">
        <f t="shared" si="18"/>
        <v>0</v>
      </c>
    </row>
    <row r="31" spans="2:33" ht="15" customHeight="1" x14ac:dyDescent="0.3">
      <c r="B31" s="196" t="s">
        <v>5</v>
      </c>
      <c r="C31" s="197" t="s">
        <v>15</v>
      </c>
      <c r="D31" s="198" t="str">
        <f t="shared" si="0"/>
        <v>C</v>
      </c>
      <c r="E31" s="199">
        <v>43553.166666666664</v>
      </c>
      <c r="F31" s="200" t="s">
        <v>95</v>
      </c>
      <c r="G31" s="201">
        <v>25779.599999999999</v>
      </c>
      <c r="H31" s="201">
        <v>25594.720000000001</v>
      </c>
      <c r="I31" s="202">
        <f t="shared" si="1"/>
        <v>184.87999999999738</v>
      </c>
      <c r="J31" s="201">
        <v>26519.13</v>
      </c>
      <c r="K31" s="199">
        <v>43571.579861111109</v>
      </c>
      <c r="L31" s="201">
        <v>26519.13</v>
      </c>
      <c r="M31" s="203">
        <f t="shared" si="2"/>
        <v>739.53</v>
      </c>
      <c r="N31" s="204">
        <f t="shared" si="3"/>
        <v>4</v>
      </c>
      <c r="O31" s="205">
        <f t="shared" si="4"/>
        <v>0</v>
      </c>
      <c r="P31" s="206">
        <f t="shared" si="5"/>
        <v>4</v>
      </c>
      <c r="Q31" s="206">
        <f t="shared" si="6"/>
        <v>0</v>
      </c>
      <c r="R31" s="206" t="str">
        <f ca="1">IF(AND(OFFSET(Tabla336106734824[[#This Row],[Equity]],1,0)="",Tabla336106734824[[#This Row],[No. of Rs]]&lt;0),"Yes",IF(AND(OFFSET(Tabla336106734824[[#This Row],[Initial Losing Trade]],1,0)="Yes",Tabla336106734824[[#This Row],[No. of Rs]]&lt;0),"Yes","No"))</f>
        <v>No</v>
      </c>
      <c r="S31" s="207">
        <f ca="1">IF(OFFSET(Tabla336106734824[[#This Row],[Equity]],1,0)="",IF(Tabla336106734824[[#This Row],[No. of Rs]]="",$F$11,$F$11+($F$11*Tabla336106734824[[#This Row],[No. of Rs]]/100)),IF(Tabla336106734824[[#This Row],[No. of Rs]]="",OFFSET(Tabla336106734824[[#This Row],[Equity]],1,0),OFFSET(Tabla336106734824[[#This Row],[Equity]],1,0)+($F$11*Tabla336106734824[[#This Row],[No. of Rs]]/100)))</f>
        <v>105000</v>
      </c>
      <c r="T31" s="207">
        <f ca="1">IF(OFFSET(Tabla336106734824[[#This Row],[Equity Peak]],1,0)="",IF(Tabla336106734824[[#This Row],[Initial Losing Trade]]="Yes",$F$11,Tabla336106734824[[#This Row],[Equity]]),IF(OFFSET(Tabla336106734824[[#This Row],[Equity Peak]],1,0)&gt;Tabla336106734824[[#This Row],[Equity]],OFFSET(Tabla336106734824[[#This Row],[Equity Peak]],1,0),Tabla336106734824[[#This Row],[Equity]]))</f>
        <v>105000</v>
      </c>
      <c r="U31" s="208" t="str">
        <f ca="1">IF(Tabla336106734824[[#This Row],[Equity]]&lt;Tabla336106734824[[#This Row],[Equity Peak]],(Tabla336106734824[[#This Row],[Equity Peak]]-Tabla336106734824[[#This Row],[Equity]])/Tabla336106734824[[#This Row],[Equity Peak]],"")</f>
        <v/>
      </c>
      <c r="V31" s="209">
        <f t="shared" si="7"/>
        <v>0</v>
      </c>
      <c r="W31" s="209">
        <f t="shared" si="8"/>
        <v>0</v>
      </c>
      <c r="X31" s="209">
        <f t="shared" si="9"/>
        <v>0</v>
      </c>
      <c r="Y31" s="209">
        <f t="shared" si="10"/>
        <v>0</v>
      </c>
      <c r="Z31" s="209">
        <f t="shared" si="11"/>
        <v>4</v>
      </c>
      <c r="AA31" s="205">
        <f t="shared" si="12"/>
        <v>0</v>
      </c>
      <c r="AB31" s="209">
        <f t="shared" si="13"/>
        <v>0</v>
      </c>
      <c r="AC31" s="205">
        <f t="shared" si="14"/>
        <v>0</v>
      </c>
      <c r="AD31" s="210">
        <f t="shared" si="15"/>
        <v>18.413194444445253</v>
      </c>
      <c r="AE31" s="210">
        <f t="shared" si="16"/>
        <v>18.413194444445253</v>
      </c>
      <c r="AF31" s="210">
        <f t="shared" si="17"/>
        <v>0</v>
      </c>
      <c r="AG31" s="210">
        <f t="shared" si="18"/>
        <v>0</v>
      </c>
    </row>
    <row r="32" spans="2:33" ht="15" customHeight="1" x14ac:dyDescent="0.3">
      <c r="B32" s="196" t="s">
        <v>5</v>
      </c>
      <c r="C32" s="197" t="s">
        <v>15</v>
      </c>
      <c r="D32" s="198" t="str">
        <f t="shared" si="0"/>
        <v>C</v>
      </c>
      <c r="E32" s="199">
        <v>43538.017361111109</v>
      </c>
      <c r="F32" s="200" t="s">
        <v>95</v>
      </c>
      <c r="G32" s="201">
        <v>25763.46</v>
      </c>
      <c r="H32" s="201">
        <v>25548.09</v>
      </c>
      <c r="I32" s="202">
        <f t="shared" si="1"/>
        <v>215.36999999999898</v>
      </c>
      <c r="J32" s="201">
        <v>26624.94</v>
      </c>
      <c r="K32" s="199">
        <v>43546.774305555555</v>
      </c>
      <c r="L32" s="201">
        <v>25548.09</v>
      </c>
      <c r="M32" s="203">
        <f t="shared" si="2"/>
        <v>-215.37</v>
      </c>
      <c r="N32" s="204">
        <f t="shared" si="3"/>
        <v>-1</v>
      </c>
      <c r="O32" s="205">
        <f t="shared" si="4"/>
        <v>0</v>
      </c>
      <c r="P32" s="206">
        <f t="shared" si="5"/>
        <v>0</v>
      </c>
      <c r="Q32" s="206">
        <f t="shared" si="6"/>
        <v>-1</v>
      </c>
      <c r="R32" s="206" t="str">
        <f ca="1">IF(AND(OFFSET(Tabla336106734824[[#This Row],[Equity]],1,0)="",Tabla336106734824[[#This Row],[No. of Rs]]&lt;0),"Yes",IF(AND(OFFSET(Tabla336106734824[[#This Row],[Initial Losing Trade]],1,0)="Yes",Tabla336106734824[[#This Row],[No. of Rs]]&lt;0),"Yes","No"))</f>
        <v>No</v>
      </c>
      <c r="S32" s="207">
        <f ca="1">IF(OFFSET(Tabla336106734824[[#This Row],[Equity]],1,0)="",IF(Tabla336106734824[[#This Row],[No. of Rs]]="",$F$11,$F$11+($F$11*Tabla336106734824[[#This Row],[No. of Rs]]/100)),IF(Tabla336106734824[[#This Row],[No. of Rs]]="",OFFSET(Tabla336106734824[[#This Row],[Equity]],1,0),OFFSET(Tabla336106734824[[#This Row],[Equity]],1,0)+($F$11*Tabla336106734824[[#This Row],[No. of Rs]]/100)))</f>
        <v>101000</v>
      </c>
      <c r="T32" s="207">
        <f ca="1">IF(OFFSET(Tabla336106734824[[#This Row],[Equity Peak]],1,0)="",IF(Tabla336106734824[[#This Row],[Initial Losing Trade]]="Yes",$F$11,Tabla336106734824[[#This Row],[Equity]]),IF(OFFSET(Tabla336106734824[[#This Row],[Equity Peak]],1,0)&gt;Tabla336106734824[[#This Row],[Equity]],OFFSET(Tabla336106734824[[#This Row],[Equity Peak]],1,0),Tabla336106734824[[#This Row],[Equity]]))</f>
        <v>103000</v>
      </c>
      <c r="U32" s="208">
        <f ca="1">IF(Tabla336106734824[[#This Row],[Equity]]&lt;Tabla336106734824[[#This Row],[Equity Peak]],(Tabla336106734824[[#This Row],[Equity Peak]]-Tabla336106734824[[#This Row],[Equity]])/Tabla336106734824[[#This Row],[Equity Peak]],"")</f>
        <v>1.9417475728155338E-2</v>
      </c>
      <c r="V32" s="209">
        <f t="shared" si="7"/>
        <v>0</v>
      </c>
      <c r="W32" s="209">
        <f t="shared" si="8"/>
        <v>0</v>
      </c>
      <c r="X32" s="209">
        <f t="shared" si="9"/>
        <v>0</v>
      </c>
      <c r="Y32" s="209">
        <f t="shared" si="10"/>
        <v>0</v>
      </c>
      <c r="Z32" s="209">
        <f t="shared" si="11"/>
        <v>-1</v>
      </c>
      <c r="AA32" s="205">
        <f t="shared" si="12"/>
        <v>0</v>
      </c>
      <c r="AB32" s="209">
        <f t="shared" si="13"/>
        <v>0</v>
      </c>
      <c r="AC32" s="205">
        <f t="shared" si="14"/>
        <v>0</v>
      </c>
      <c r="AD32" s="210">
        <f t="shared" si="15"/>
        <v>8.7569444444452529</v>
      </c>
      <c r="AE32" s="210">
        <f t="shared" si="16"/>
        <v>0</v>
      </c>
      <c r="AF32" s="210">
        <f t="shared" si="17"/>
        <v>8.7569444444452529</v>
      </c>
      <c r="AG32" s="210">
        <f t="shared" si="18"/>
        <v>0</v>
      </c>
    </row>
    <row r="33" spans="2:33" ht="15" customHeight="1" x14ac:dyDescent="0.3">
      <c r="B33" s="196" t="s">
        <v>5</v>
      </c>
      <c r="C33" s="197" t="s">
        <v>15</v>
      </c>
      <c r="D33" s="198" t="str">
        <f t="shared" si="0"/>
        <v>C</v>
      </c>
      <c r="E33" s="199">
        <v>43536.333333333336</v>
      </c>
      <c r="F33" s="200" t="s">
        <v>95</v>
      </c>
      <c r="G33" s="201">
        <v>25746.3</v>
      </c>
      <c r="H33" s="201">
        <v>25528.16</v>
      </c>
      <c r="I33" s="202">
        <f t="shared" si="1"/>
        <v>218.13999999999942</v>
      </c>
      <c r="J33" s="201">
        <v>26618.86</v>
      </c>
      <c r="K33" s="199">
        <v>43536.775694444441</v>
      </c>
      <c r="L33" s="201">
        <v>25528.16</v>
      </c>
      <c r="M33" s="203">
        <f t="shared" si="2"/>
        <v>-218.14</v>
      </c>
      <c r="N33" s="204">
        <f t="shared" si="3"/>
        <v>-1</v>
      </c>
      <c r="O33" s="205">
        <f t="shared" si="4"/>
        <v>0</v>
      </c>
      <c r="P33" s="206">
        <f t="shared" si="5"/>
        <v>0</v>
      </c>
      <c r="Q33" s="206">
        <f t="shared" si="6"/>
        <v>-1</v>
      </c>
      <c r="R33" s="206" t="str">
        <f ca="1">IF(AND(OFFSET(Tabla336106734824[[#This Row],[Equity]],1,0)="",Tabla336106734824[[#This Row],[No. of Rs]]&lt;0),"Yes",IF(AND(OFFSET(Tabla336106734824[[#This Row],[Initial Losing Trade]],1,0)="Yes",Tabla336106734824[[#This Row],[No. of Rs]]&lt;0),"Yes","No"))</f>
        <v>No</v>
      </c>
      <c r="S33" s="207">
        <f ca="1">IF(OFFSET(Tabla336106734824[[#This Row],[Equity]],1,0)="",IF(Tabla336106734824[[#This Row],[No. of Rs]]="",$F$11,$F$11+($F$11*Tabla336106734824[[#This Row],[No. of Rs]]/100)),IF(Tabla336106734824[[#This Row],[No. of Rs]]="",OFFSET(Tabla336106734824[[#This Row],[Equity]],1,0),OFFSET(Tabla336106734824[[#This Row],[Equity]],1,0)+($F$11*Tabla336106734824[[#This Row],[No. of Rs]]/100)))</f>
        <v>102000</v>
      </c>
      <c r="T33" s="207">
        <f ca="1">IF(OFFSET(Tabla336106734824[[#This Row],[Equity Peak]],1,0)="",IF(Tabla336106734824[[#This Row],[Initial Losing Trade]]="Yes",$F$11,Tabla336106734824[[#This Row],[Equity]]),IF(OFFSET(Tabla336106734824[[#This Row],[Equity Peak]],1,0)&gt;Tabla336106734824[[#This Row],[Equity]],OFFSET(Tabla336106734824[[#This Row],[Equity Peak]],1,0),Tabla336106734824[[#This Row],[Equity]]))</f>
        <v>103000</v>
      </c>
      <c r="U33" s="208">
        <f ca="1">IF(Tabla336106734824[[#This Row],[Equity]]&lt;Tabla336106734824[[#This Row],[Equity Peak]],(Tabla336106734824[[#This Row],[Equity Peak]]-Tabla336106734824[[#This Row],[Equity]])/Tabla336106734824[[#This Row],[Equity Peak]],"")</f>
        <v>9.7087378640776691E-3</v>
      </c>
      <c r="V33" s="209">
        <f t="shared" si="7"/>
        <v>0</v>
      </c>
      <c r="W33" s="209">
        <f t="shared" si="8"/>
        <v>0</v>
      </c>
      <c r="X33" s="209">
        <f t="shared" si="9"/>
        <v>0</v>
      </c>
      <c r="Y33" s="209">
        <f t="shared" si="10"/>
        <v>0</v>
      </c>
      <c r="Z33" s="209">
        <f t="shared" si="11"/>
        <v>-1</v>
      </c>
      <c r="AA33" s="205">
        <f t="shared" si="12"/>
        <v>0</v>
      </c>
      <c r="AB33" s="209">
        <f t="shared" si="13"/>
        <v>0</v>
      </c>
      <c r="AC33" s="205">
        <f t="shared" si="14"/>
        <v>0</v>
      </c>
      <c r="AD33" s="210">
        <f t="shared" si="15"/>
        <v>0.44236111110512866</v>
      </c>
      <c r="AE33" s="210">
        <f t="shared" si="16"/>
        <v>0</v>
      </c>
      <c r="AF33" s="210">
        <f t="shared" si="17"/>
        <v>0.44236111110512866</v>
      </c>
      <c r="AG33" s="210">
        <f t="shared" si="18"/>
        <v>0</v>
      </c>
    </row>
    <row r="34" spans="2:33" ht="15" customHeight="1" x14ac:dyDescent="0.3">
      <c r="B34" s="196" t="s">
        <v>5</v>
      </c>
      <c r="C34" s="197" t="s">
        <v>15</v>
      </c>
      <c r="D34" s="198" t="str">
        <f t="shared" si="0"/>
        <v>C</v>
      </c>
      <c r="E34" s="199">
        <v>43495.833333333336</v>
      </c>
      <c r="F34" s="200" t="s">
        <v>95</v>
      </c>
      <c r="G34" s="201">
        <v>24910.1</v>
      </c>
      <c r="H34" s="201">
        <v>24652.06</v>
      </c>
      <c r="I34" s="202">
        <f t="shared" si="1"/>
        <v>258.03999999999724</v>
      </c>
      <c r="J34" s="201">
        <v>25942.26</v>
      </c>
      <c r="K34" s="199">
        <v>43515.843055555553</v>
      </c>
      <c r="L34" s="201">
        <v>25942.26</v>
      </c>
      <c r="M34" s="203">
        <f t="shared" si="2"/>
        <v>1032.1600000000001</v>
      </c>
      <c r="N34" s="204">
        <f t="shared" si="3"/>
        <v>4</v>
      </c>
      <c r="O34" s="205">
        <f t="shared" si="4"/>
        <v>0</v>
      </c>
      <c r="P34" s="206">
        <f t="shared" si="5"/>
        <v>4</v>
      </c>
      <c r="Q34" s="206">
        <f t="shared" si="6"/>
        <v>0</v>
      </c>
      <c r="R34" s="206" t="str">
        <f ca="1">IF(AND(OFFSET(Tabla336106734824[[#This Row],[Equity]],1,0)="",Tabla336106734824[[#This Row],[No. of Rs]]&lt;0),"Yes",IF(AND(OFFSET(Tabla336106734824[[#This Row],[Initial Losing Trade]],1,0)="Yes",Tabla336106734824[[#This Row],[No. of Rs]]&lt;0),"Yes","No"))</f>
        <v>No</v>
      </c>
      <c r="S34" s="207">
        <f ca="1">IF(OFFSET(Tabla336106734824[[#This Row],[Equity]],1,0)="",IF(Tabla336106734824[[#This Row],[No. of Rs]]="",$F$11,$F$11+($F$11*Tabla336106734824[[#This Row],[No. of Rs]]/100)),IF(Tabla336106734824[[#This Row],[No. of Rs]]="",OFFSET(Tabla336106734824[[#This Row],[Equity]],1,0),OFFSET(Tabla336106734824[[#This Row],[Equity]],1,0)+($F$11*Tabla336106734824[[#This Row],[No. of Rs]]/100)))</f>
        <v>103000</v>
      </c>
      <c r="T34" s="207">
        <f ca="1">IF(OFFSET(Tabla336106734824[[#This Row],[Equity Peak]],1,0)="",IF(Tabla336106734824[[#This Row],[Initial Losing Trade]]="Yes",$F$11,Tabla336106734824[[#This Row],[Equity]]),IF(OFFSET(Tabla336106734824[[#This Row],[Equity Peak]],1,0)&gt;Tabla336106734824[[#This Row],[Equity]],OFFSET(Tabla336106734824[[#This Row],[Equity Peak]],1,0),Tabla336106734824[[#This Row],[Equity]]))</f>
        <v>103000</v>
      </c>
      <c r="U34" s="208" t="str">
        <f ca="1">IF(Tabla336106734824[[#This Row],[Equity]]&lt;Tabla336106734824[[#This Row],[Equity Peak]],(Tabla336106734824[[#This Row],[Equity Peak]]-Tabla336106734824[[#This Row],[Equity]])/Tabla336106734824[[#This Row],[Equity Peak]],"")</f>
        <v/>
      </c>
      <c r="V34" s="209">
        <f t="shared" si="7"/>
        <v>0</v>
      </c>
      <c r="W34" s="209">
        <f t="shared" si="8"/>
        <v>0</v>
      </c>
      <c r="X34" s="209">
        <f t="shared" si="9"/>
        <v>0</v>
      </c>
      <c r="Y34" s="209">
        <f t="shared" si="10"/>
        <v>0</v>
      </c>
      <c r="Z34" s="209">
        <f t="shared" si="11"/>
        <v>4</v>
      </c>
      <c r="AA34" s="205">
        <f t="shared" si="12"/>
        <v>0</v>
      </c>
      <c r="AB34" s="209">
        <f t="shared" si="13"/>
        <v>0</v>
      </c>
      <c r="AC34" s="205">
        <f t="shared" si="14"/>
        <v>0</v>
      </c>
      <c r="AD34" s="210">
        <f t="shared" si="15"/>
        <v>20.009722222217533</v>
      </c>
      <c r="AE34" s="210">
        <f t="shared" si="16"/>
        <v>20.009722222217533</v>
      </c>
      <c r="AF34" s="210">
        <f t="shared" si="17"/>
        <v>0</v>
      </c>
      <c r="AG34" s="210">
        <f t="shared" si="18"/>
        <v>0</v>
      </c>
    </row>
    <row r="35" spans="2:33" ht="15" customHeight="1" x14ac:dyDescent="0.3">
      <c r="B35" s="196" t="s">
        <v>5</v>
      </c>
      <c r="C35" s="197" t="s">
        <v>15</v>
      </c>
      <c r="D35" s="198" t="str">
        <f t="shared" ref="D35" si="19">IF(E35&lt;&gt;"",IF(K35&lt;&gt;"","C","O"),"")</f>
        <v>C</v>
      </c>
      <c r="E35" s="199">
        <v>43483.833333333336</v>
      </c>
      <c r="F35" s="200" t="s">
        <v>95</v>
      </c>
      <c r="G35" s="201">
        <v>24726.9</v>
      </c>
      <c r="H35" s="201">
        <v>24457.279999999999</v>
      </c>
      <c r="I35" s="202">
        <f t="shared" ref="I35" si="20">ABS(G35-H35)</f>
        <v>269.62000000000262</v>
      </c>
      <c r="J35" s="201">
        <v>25805.360000000001</v>
      </c>
      <c r="K35" s="199">
        <v>43487.748611111114</v>
      </c>
      <c r="L35" s="201">
        <v>24457.279999999999</v>
      </c>
      <c r="M35" s="203">
        <f t="shared" ref="M35" si="21">ROUND(IF(C35="L",(L35-G35),(G35-L35)),4)</f>
        <v>-269.62</v>
      </c>
      <c r="N35" s="204">
        <f t="shared" ref="N35" si="22">IFERROR(ROUND((M35/I35),2),"")</f>
        <v>-1</v>
      </c>
      <c r="O35" s="205">
        <f t="shared" ref="O35" si="23">IF(D35="O",IF(N35&lt;0,N35,0),0)</f>
        <v>0</v>
      </c>
      <c r="P35" s="206">
        <f t="shared" si="5"/>
        <v>0</v>
      </c>
      <c r="Q35" s="206">
        <f t="shared" si="6"/>
        <v>-1</v>
      </c>
      <c r="R35" s="206" t="str">
        <f ca="1">IF(AND(OFFSET(Tabla336106734824[[#This Row],[Equity]],1,0)="",Tabla336106734824[[#This Row],[No. of Rs]]&lt;0),"Yes",IF(AND(OFFSET(Tabla336106734824[[#This Row],[Initial Losing Trade]],1,0)="Yes",Tabla336106734824[[#This Row],[No. of Rs]]&lt;0),"Yes","No"))</f>
        <v>Yes</v>
      </c>
      <c r="S35" s="207">
        <f ca="1">IF(OFFSET(Tabla336106734824[[#This Row],[Equity]],1,0)="",IF(Tabla336106734824[[#This Row],[No. of Rs]]="",$F$11,$F$11+($F$11*Tabla336106734824[[#This Row],[No. of Rs]]/100)),IF(Tabla336106734824[[#This Row],[No. of Rs]]="",OFFSET(Tabla336106734824[[#This Row],[Equity]],1,0),OFFSET(Tabla336106734824[[#This Row],[Equity]],1,0)+($F$11*Tabla336106734824[[#This Row],[No. of Rs]]/100)))</f>
        <v>99000</v>
      </c>
      <c r="T35" s="207">
        <f ca="1">IF(OFFSET(Tabla336106734824[[#This Row],[Equity Peak]],1,0)="",IF(Tabla336106734824[[#This Row],[Initial Losing Trade]]="Yes",$F$11,Tabla336106734824[[#This Row],[Equity]]),IF(OFFSET(Tabla336106734824[[#This Row],[Equity Peak]],1,0)&gt;Tabla336106734824[[#This Row],[Equity]],OFFSET(Tabla336106734824[[#This Row],[Equity Peak]],1,0),Tabla336106734824[[#This Row],[Equity]]))</f>
        <v>100000</v>
      </c>
      <c r="U35" s="208">
        <f ca="1">IF(Tabla336106734824[[#This Row],[Equity]]&lt;Tabla336106734824[[#This Row],[Equity Peak]],(Tabla336106734824[[#This Row],[Equity Peak]]-Tabla336106734824[[#This Row],[Equity]])/Tabla336106734824[[#This Row],[Equity Peak]],"")</f>
        <v>0.01</v>
      </c>
      <c r="V35" s="209">
        <f t="shared" si="7"/>
        <v>0</v>
      </c>
      <c r="W35" s="209">
        <f t="shared" ref="W35" si="24">IF(D35="O",IF(V35&lt;0,V35,0),0)</f>
        <v>0</v>
      </c>
      <c r="X35" s="209">
        <f t="shared" si="9"/>
        <v>0</v>
      </c>
      <c r="Y35" s="209">
        <f t="shared" ref="Y35" si="25">IF(D35="O",IF(X35&lt;0,X35,0),0)</f>
        <v>0</v>
      </c>
      <c r="Z35" s="209">
        <f t="shared" si="11"/>
        <v>-1</v>
      </c>
      <c r="AA35" s="205">
        <f t="shared" ref="AA35" si="26">IF(D35="O",IF(Z35&lt;0,Z35,0),0)</f>
        <v>0</v>
      </c>
      <c r="AB35" s="209">
        <f t="shared" si="13"/>
        <v>0</v>
      </c>
      <c r="AC35" s="205">
        <f t="shared" ref="AC35" si="27">IF(D35="O",IF(AB35&lt;0,AB35,0),0)</f>
        <v>0</v>
      </c>
      <c r="AD35" s="210">
        <f t="shared" si="15"/>
        <v>3.9152777777781012</v>
      </c>
      <c r="AE35" s="210">
        <f t="shared" ref="AE35" si="28">IF(N35&gt;0,AD35,0)</f>
        <v>0</v>
      </c>
      <c r="AF35" s="210">
        <f t="shared" si="17"/>
        <v>3.9152777777781012</v>
      </c>
      <c r="AG35" s="210">
        <f t="shared" si="18"/>
        <v>0</v>
      </c>
    </row>
  </sheetData>
  <sheetProtection algorithmName="SHA-512" hashValue="BPwTs1+Dmc2XSIWroWiKIcSfht0Bvtk4irUjJ+b5etUdf+DVtSyu+7utTjEoNqxjXZcpwDeikCgVzdj2SWBsMQ==" saltValue="uw54YLCa0w5HNX86i1TE1g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125" priority="3" operator="equal">
      <formula>"OK"</formula>
    </cfRule>
    <cfRule type="cellIs" dxfId="124" priority="4" operator="equal">
      <formula>"warning"</formula>
    </cfRule>
  </conditionalFormatting>
  <conditionalFormatting sqref="F13">
    <cfRule type="cellIs" dxfId="123" priority="1" operator="equal">
      <formula>"OK"</formula>
    </cfRule>
    <cfRule type="cellIs" dxfId="122" priority="2" operator="equal">
      <formula>"Error!!"</formula>
    </cfRule>
  </conditionalFormatting>
  <conditionalFormatting sqref="E15:H15 K15:L15">
    <cfRule type="expression" dxfId="121" priority="5">
      <formula>+$D15=#REF!</formula>
    </cfRule>
    <cfRule type="expression" dxfId="120" priority="6">
      <formula>+$D15=#REF!</formula>
    </cfRule>
  </conditionalFormatting>
  <conditionalFormatting sqref="D15 K16:L16 D16:H35 J17:L35">
    <cfRule type="expression" dxfId="119" priority="7">
      <formula>+$D15=$AG$8</formula>
    </cfRule>
    <cfRule type="expression" dxfId="118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5:B16" xr:uid="{E25D7CDA-EF69-4605-99C8-C87A2D6333B8}">
      <formula1>$AE$4:$AE$6</formula1>
    </dataValidation>
    <dataValidation type="list" allowBlank="1" showInputMessage="1" showErrorMessage="1" promptTitle="Trade Direction" prompt="Select from List" sqref="C15:C16" xr:uid="{6ABBF9F4-9C81-4156-9C31-366B506AED0D}">
      <formula1>$AG$4:$AG$5</formula1>
    </dataValidation>
    <dataValidation type="list" allowBlank="1" showInputMessage="1" showErrorMessage="1" promptTitle="Instrument Type" prompt="Select Type from List_x000a_" sqref="B17:B35" xr:uid="{51B6CBC4-22B7-4C58-89D9-F581C76A6F92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D853B-4B43-4ADA-A9E7-EEC366D19109}">
  <sheetPr codeName="Hoja31">
    <pageSetUpPr fitToPage="1"/>
  </sheetPr>
  <dimension ref="A1:AX25"/>
  <sheetViews>
    <sheetView showGridLines="0" showZeros="0" tabSelected="1" zoomScale="115" zoomScaleNormal="115" zoomScalePageLayoutView="99" workbookViewId="0">
      <pane ySplit="16" topLeftCell="A17" activePane="bottomLeft" state="frozen"/>
      <selection activeCell="E2" sqref="E2:N5"/>
      <selection pane="bottomLeft" activeCell="E2" sqref="E2:N5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123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COUNTA(Tabla336106734825[Inst])</f>
        <v>9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36.440000000000005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0</v>
      </c>
      <c r="W6" s="18"/>
      <c r="X6" s="17">
        <f>+X13</f>
        <v>0</v>
      </c>
      <c r="Y6" s="19"/>
      <c r="Z6" s="17">
        <f>+Z13</f>
        <v>0</v>
      </c>
      <c r="AA6" s="19"/>
      <c r="AB6" s="17">
        <f>+AB13</f>
        <v>36.440000000000005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COUNTIF(Tabla336106734825[No. of Rs],"&gt;0")</f>
        <v>3</v>
      </c>
      <c r="G7" s="24">
        <f>IFERROR((F7/$F$6),"")</f>
        <v>0.33333333333333331</v>
      </c>
      <c r="H7" s="78">
        <f>IFERROR((+P13/F7),"")</f>
        <v>13.006666666666666</v>
      </c>
      <c r="I7" s="227">
        <f>H7/H9</f>
        <v>30.248062015503876</v>
      </c>
      <c r="J7" s="227">
        <f>AVERAGE(Tabla336106734825[No. of Rs])</f>
        <v>4.0488888888888894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0</v>
      </c>
      <c r="W7" s="27"/>
      <c r="X7" s="26">
        <f>IFERROR((X6/N6),"")</f>
        <v>0</v>
      </c>
      <c r="Y7" s="28"/>
      <c r="Z7" s="26">
        <f>IFERROR((Z6/N6),"")</f>
        <v>0</v>
      </c>
      <c r="AA7" s="28"/>
      <c r="AB7" s="26">
        <f>IFERROR((AB6/N6),"")</f>
        <v>1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COUNTIF(Tabla336106734825[No. of Rs],"=0")</f>
        <v>0</v>
      </c>
      <c r="G8" s="24">
        <f>IFERROR((F8/$F$6),"")</f>
        <v>0</v>
      </c>
      <c r="H8" s="78"/>
      <c r="I8" s="228"/>
      <c r="J8" s="228"/>
      <c r="K8" s="163"/>
      <c r="L8" s="212" t="s">
        <v>112</v>
      </c>
      <c r="M8" s="213"/>
      <c r="N8" s="195">
        <f ca="1">OFFSET(Tabla336106734825[[#Headers],[Equity]],1,0)</f>
        <v>136440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COUNTIF(Tabla336106734825[No. of Rs],"&lt;0")</f>
        <v>6</v>
      </c>
      <c r="G9" s="32">
        <f>IFERROR((F9/$F$6),"")</f>
        <v>0.66666666666666663</v>
      </c>
      <c r="H9" s="79">
        <f>IFERROR((-Q13/F9),"")</f>
        <v>0.43</v>
      </c>
      <c r="I9" s="229"/>
      <c r="J9" s="229"/>
      <c r="K9" s="149"/>
      <c r="L9" s="230" t="s">
        <v>106</v>
      </c>
      <c r="M9" s="231"/>
      <c r="N9" s="125">
        <f ca="1">MAX(Tabla336106734825[Drawdown])</f>
        <v>1.4E-2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>
        <f ca="1">OFFSET(Tabla336106734825[[#Headers],[Drawdown]],1,0)</f>
        <v>5.8292043136111919E-3</v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COUNTIF(Tabla336106734825[Heat],"&lt;0")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IF(COUNTIFS(Tabla336106734825[O/C],"O")&lt;1,"None",COUNTIFS(Tabla336106734825[O/C],"O"))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SUM(Tabla336106734825[No. of Rs])</f>
        <v>36.440000000000005</v>
      </c>
      <c r="O13" s="42">
        <f>SUM(Tabla336106734825[Heat])</f>
        <v>0</v>
      </c>
      <c r="P13" s="43">
        <f>SUM(Tabla336106734825[[ TR WIN]])</f>
        <v>39.019999999999996</v>
      </c>
      <c r="Q13" s="43">
        <f>SUM(Tabla336106734825[[ TR LOSS]])</f>
        <v>-2.58</v>
      </c>
      <c r="R13" s="114"/>
      <c r="S13" s="115"/>
      <c r="T13" s="115"/>
      <c r="U13" s="121"/>
      <c r="V13" s="44">
        <f>SUM(Tabla336106734825[Currency])</f>
        <v>0</v>
      </c>
      <c r="W13" s="44">
        <f>SUM(Tabla336106734825[Heat3])</f>
        <v>0</v>
      </c>
      <c r="X13" s="44">
        <f>SUM(Tabla336106734825[Commodities])</f>
        <v>0</v>
      </c>
      <c r="Y13" s="44">
        <f>SUM(Tabla336106734825[Heat4])</f>
        <v>0</v>
      </c>
      <c r="Z13" s="44">
        <f>SUM(Tabla336106734825[Index])</f>
        <v>0</v>
      </c>
      <c r="AA13" s="44">
        <f>SUM(Tabla336106734825[Heat5])</f>
        <v>0</v>
      </c>
      <c r="AB13" s="44">
        <f>SUM(Tabla336106734825[Cryptocurrency])</f>
        <v>36.440000000000005</v>
      </c>
      <c r="AC13" s="44">
        <f>SUM(Tabla336106734825[Heat6])</f>
        <v>0</v>
      </c>
      <c r="AD13" s="75">
        <f>AVERAGEIF(Tabla336106734825[Length of 
Trade],"&lt;&gt;0")</f>
        <v>6.4972993827153305</v>
      </c>
      <c r="AE13" s="75">
        <f>AVERAGEIF(Tabla336106734825[Win],"&lt;&gt;0")</f>
        <v>12.693287037034073</v>
      </c>
      <c r="AF13" s="75">
        <f>AVERAGEIF(Tabla336106734825[Loss],"&lt;&gt;0")</f>
        <v>3.3993055555559599</v>
      </c>
      <c r="AG13" s="76" t="e">
        <f>AVERAGEIF(Tabla336106734825[Breakeven],"&lt;&gt;0")</f>
        <v>#DIV/0!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2:33" ht="15" customHeight="1" x14ac:dyDescent="0.3">
      <c r="B17" s="196" t="s">
        <v>84</v>
      </c>
      <c r="C17" s="197" t="s">
        <v>15</v>
      </c>
      <c r="D17" s="198" t="str">
        <f t="shared" ref="D17:D25" si="0">IF(E17&lt;&gt;"",IF(K17&lt;&gt;"","C","O"),"")</f>
        <v>C</v>
      </c>
      <c r="E17" s="199">
        <v>43661.017361111109</v>
      </c>
      <c r="F17" s="200" t="s">
        <v>80</v>
      </c>
      <c r="G17" s="201">
        <v>10603.12</v>
      </c>
      <c r="H17" s="201">
        <v>9540.98</v>
      </c>
      <c r="I17" s="202">
        <f t="shared" ref="I17:I25" si="1">ABS(G17-H17)</f>
        <v>1062.1400000000012</v>
      </c>
      <c r="J17" s="201">
        <v>26535.16</v>
      </c>
      <c r="K17" s="199">
        <v>43661.077777777777</v>
      </c>
      <c r="L17" s="201">
        <v>10280.42</v>
      </c>
      <c r="M17" s="203">
        <f t="shared" ref="M17:M25" si="2">ROUND(IF(C17="L",(L17-G17),(G17-L17)),4)</f>
        <v>-322.7</v>
      </c>
      <c r="N17" s="204">
        <f t="shared" ref="N17:N25" si="3">IFERROR(ROUND((M17/I17),2),"")</f>
        <v>-0.3</v>
      </c>
      <c r="O17" s="205">
        <f t="shared" ref="O17:O25" si="4">IF(D17="O",IF(N17&lt;0,N17,0),0)</f>
        <v>0</v>
      </c>
      <c r="P17" s="206">
        <f t="shared" ref="P17:P25" si="5">IF(N17&gt;= 0,N17,0)</f>
        <v>0</v>
      </c>
      <c r="Q17" s="206">
        <f t="shared" ref="Q17:Q25" si="6">IF(N17&lt;0,N17,0)</f>
        <v>-0.3</v>
      </c>
      <c r="R17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17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136440</v>
      </c>
      <c r="T17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137240</v>
      </c>
      <c r="U17" s="208">
        <f ca="1">IF(Tabla336106734825[[#This Row],[Equity]]&lt;Tabla336106734825[[#This Row],[Equity Peak]],(Tabla336106734825[[#This Row],[Equity Peak]]-Tabla336106734825[[#This Row],[Equity]])/Tabla336106734825[[#This Row],[Equity Peak]],"")</f>
        <v>5.8292043136111919E-3</v>
      </c>
      <c r="V17" s="209">
        <f t="shared" ref="V17:V25" si="7">IF(B17="FX",N17,0)</f>
        <v>0</v>
      </c>
      <c r="W17" s="209">
        <f t="shared" ref="W17:W25" si="8">IF(D17="O",IF(V17&lt;0,V17,0),0)</f>
        <v>0</v>
      </c>
      <c r="X17" s="209">
        <f t="shared" ref="X17:X25" si="9">IF(B17="COM",N17,0)</f>
        <v>0</v>
      </c>
      <c r="Y17" s="209">
        <f t="shared" ref="Y17:Y25" si="10">IF(D17="O",IF(X17&lt;0,X17,0),0)</f>
        <v>0</v>
      </c>
      <c r="Z17" s="209">
        <f t="shared" ref="Z17:Z25" si="11">IF(B17="IND",N17,0)</f>
        <v>0</v>
      </c>
      <c r="AA17" s="205">
        <f t="shared" ref="AA17:AA25" si="12">IF(D17="O",IF(Z17&lt;0,Z17,0),0)</f>
        <v>0</v>
      </c>
      <c r="AB17" s="209">
        <f t="shared" ref="AB17:AB25" si="13">IF(B17="CRYPTO",N17,0)</f>
        <v>-0.3</v>
      </c>
      <c r="AC17" s="205">
        <f t="shared" ref="AC17:AC25" si="14">IF(D17="O",IF(AB17&lt;0,AB17,0),0)</f>
        <v>0</v>
      </c>
      <c r="AD17" s="210">
        <f t="shared" ref="AD17:AD25" si="15">IF(K17&lt;&gt;"",K17-E17,0)</f>
        <v>6.0416666667151731E-2</v>
      </c>
      <c r="AE17" s="210">
        <f t="shared" ref="AE17:AE25" si="16">IF(N17&gt;0,AD17,0)</f>
        <v>0</v>
      </c>
      <c r="AF17" s="210">
        <f t="shared" ref="AF17:AF25" si="17">IF(N17&lt;0,AD17,0)</f>
        <v>6.0416666667151731E-2</v>
      </c>
      <c r="AG17" s="210">
        <f t="shared" ref="AG17:AG25" si="18">IF(N17=0,AD17,0)</f>
        <v>0</v>
      </c>
    </row>
    <row r="18" spans="2:33" ht="15" customHeight="1" x14ac:dyDescent="0.3">
      <c r="B18" s="196" t="s">
        <v>84</v>
      </c>
      <c r="C18" s="197" t="s">
        <v>15</v>
      </c>
      <c r="D18" s="198" t="str">
        <f t="shared" si="0"/>
        <v>C</v>
      </c>
      <c r="E18" s="199">
        <v>43649.166666666664</v>
      </c>
      <c r="F18" s="200" t="s">
        <v>80</v>
      </c>
      <c r="G18" s="201">
        <v>11243.6</v>
      </c>
      <c r="H18" s="201">
        <v>9975.2999999999993</v>
      </c>
      <c r="I18" s="202">
        <f t="shared" si="1"/>
        <v>1268.3000000000011</v>
      </c>
      <c r="J18" s="201">
        <v>30268.16</v>
      </c>
      <c r="K18" s="199">
        <v>43661.017361111109</v>
      </c>
      <c r="L18" s="201">
        <v>10603.12</v>
      </c>
      <c r="M18" s="203">
        <f t="shared" si="2"/>
        <v>-640.48</v>
      </c>
      <c r="N18" s="204">
        <f t="shared" si="3"/>
        <v>-0.5</v>
      </c>
      <c r="O18" s="205">
        <f t="shared" si="4"/>
        <v>0</v>
      </c>
      <c r="P18" s="206">
        <f t="shared" si="5"/>
        <v>0</v>
      </c>
      <c r="Q18" s="206">
        <f t="shared" si="6"/>
        <v>-0.5</v>
      </c>
      <c r="R18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18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136740</v>
      </c>
      <c r="T18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137240</v>
      </c>
      <c r="U18" s="208">
        <f ca="1">IF(Tabla336106734825[[#This Row],[Equity]]&lt;Tabla336106734825[[#This Row],[Equity Peak]],(Tabla336106734825[[#This Row],[Equity Peak]]-Tabla336106734825[[#This Row],[Equity]])/Tabla336106734825[[#This Row],[Equity Peak]],"")</f>
        <v>3.6432526960069951E-3</v>
      </c>
      <c r="V18" s="209">
        <f t="shared" si="7"/>
        <v>0</v>
      </c>
      <c r="W18" s="209">
        <f t="shared" si="8"/>
        <v>0</v>
      </c>
      <c r="X18" s="209">
        <f t="shared" si="9"/>
        <v>0</v>
      </c>
      <c r="Y18" s="209">
        <f t="shared" si="10"/>
        <v>0</v>
      </c>
      <c r="Z18" s="209">
        <f t="shared" si="11"/>
        <v>0</v>
      </c>
      <c r="AA18" s="205">
        <f t="shared" si="12"/>
        <v>0</v>
      </c>
      <c r="AB18" s="209">
        <f t="shared" si="13"/>
        <v>-0.5</v>
      </c>
      <c r="AC18" s="205">
        <f t="shared" si="14"/>
        <v>0</v>
      </c>
      <c r="AD18" s="210">
        <f t="shared" si="15"/>
        <v>11.850694444445253</v>
      </c>
      <c r="AE18" s="210">
        <f t="shared" si="16"/>
        <v>0</v>
      </c>
      <c r="AF18" s="210">
        <f t="shared" si="17"/>
        <v>11.850694444445253</v>
      </c>
      <c r="AG18" s="210">
        <f t="shared" si="18"/>
        <v>0</v>
      </c>
    </row>
    <row r="19" spans="2:33" ht="15" customHeight="1" x14ac:dyDescent="0.3">
      <c r="B19" s="196" t="s">
        <v>84</v>
      </c>
      <c r="C19" s="197" t="s">
        <v>15</v>
      </c>
      <c r="D19" s="198" t="str">
        <f t="shared" si="0"/>
        <v>C</v>
      </c>
      <c r="E19" s="199">
        <v>43628.833333333336</v>
      </c>
      <c r="F19" s="200" t="s">
        <v>80</v>
      </c>
      <c r="G19" s="201">
        <v>8171.24</v>
      </c>
      <c r="H19" s="201">
        <v>7830.72</v>
      </c>
      <c r="I19" s="202">
        <f t="shared" si="1"/>
        <v>340.51999999999953</v>
      </c>
      <c r="J19" s="201">
        <v>13279.02</v>
      </c>
      <c r="K19" s="199">
        <v>43649.166666666664</v>
      </c>
      <c r="L19" s="201">
        <v>11243.6</v>
      </c>
      <c r="M19" s="203">
        <f t="shared" si="2"/>
        <v>3072.36</v>
      </c>
      <c r="N19" s="204">
        <f t="shared" si="3"/>
        <v>9.02</v>
      </c>
      <c r="O19" s="205">
        <f t="shared" si="4"/>
        <v>0</v>
      </c>
      <c r="P19" s="206">
        <f t="shared" si="5"/>
        <v>9.02</v>
      </c>
      <c r="Q19" s="206">
        <f t="shared" si="6"/>
        <v>0</v>
      </c>
      <c r="R19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19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137240</v>
      </c>
      <c r="T19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137240</v>
      </c>
      <c r="U19" s="208" t="str">
        <f ca="1">IF(Tabla336106734825[[#This Row],[Equity]]&lt;Tabla336106734825[[#This Row],[Equity Peak]],(Tabla336106734825[[#This Row],[Equity Peak]]-Tabla336106734825[[#This Row],[Equity]])/Tabla336106734825[[#This Row],[Equity Peak]],"")</f>
        <v/>
      </c>
      <c r="V19" s="209">
        <f t="shared" si="7"/>
        <v>0</v>
      </c>
      <c r="W19" s="209">
        <f t="shared" si="8"/>
        <v>0</v>
      </c>
      <c r="X19" s="209">
        <f t="shared" si="9"/>
        <v>0</v>
      </c>
      <c r="Y19" s="209">
        <f t="shared" si="10"/>
        <v>0</v>
      </c>
      <c r="Z19" s="209">
        <f t="shared" si="11"/>
        <v>0</v>
      </c>
      <c r="AA19" s="205">
        <f t="shared" si="12"/>
        <v>0</v>
      </c>
      <c r="AB19" s="209">
        <f t="shared" si="13"/>
        <v>9.02</v>
      </c>
      <c r="AC19" s="205">
        <f t="shared" si="14"/>
        <v>0</v>
      </c>
      <c r="AD19" s="210">
        <f t="shared" si="15"/>
        <v>20.333333333328483</v>
      </c>
      <c r="AE19" s="210">
        <f t="shared" si="16"/>
        <v>20.333333333328483</v>
      </c>
      <c r="AF19" s="210">
        <f t="shared" si="17"/>
        <v>0</v>
      </c>
      <c r="AG19" s="210">
        <f t="shared" si="18"/>
        <v>0</v>
      </c>
    </row>
    <row r="20" spans="2:33" ht="15" customHeight="1" x14ac:dyDescent="0.3">
      <c r="B20" s="196" t="s">
        <v>84</v>
      </c>
      <c r="C20" s="197" t="s">
        <v>13</v>
      </c>
      <c r="D20" s="198" t="str">
        <f t="shared" si="0"/>
        <v>C</v>
      </c>
      <c r="E20" s="199">
        <v>43620.333333333336</v>
      </c>
      <c r="F20" s="200" t="s">
        <v>80</v>
      </c>
      <c r="G20" s="201">
        <v>7923.09</v>
      </c>
      <c r="H20" s="201">
        <v>8424.24</v>
      </c>
      <c r="I20" s="202">
        <f t="shared" si="1"/>
        <v>501.14999999999964</v>
      </c>
      <c r="J20" s="201">
        <v>405.78</v>
      </c>
      <c r="K20" s="199">
        <v>43623.434027777781</v>
      </c>
      <c r="L20" s="201">
        <v>7962.32</v>
      </c>
      <c r="M20" s="203">
        <f t="shared" si="2"/>
        <v>-39.229999999999997</v>
      </c>
      <c r="N20" s="204">
        <f t="shared" si="3"/>
        <v>-0.08</v>
      </c>
      <c r="O20" s="205">
        <f t="shared" si="4"/>
        <v>0</v>
      </c>
      <c r="P20" s="206">
        <f t="shared" si="5"/>
        <v>0</v>
      </c>
      <c r="Q20" s="206">
        <f t="shared" si="6"/>
        <v>-0.08</v>
      </c>
      <c r="R20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20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128220</v>
      </c>
      <c r="T20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128300</v>
      </c>
      <c r="U20" s="208">
        <f ca="1">IF(Tabla336106734825[[#This Row],[Equity]]&lt;Tabla336106734825[[#This Row],[Equity Peak]],(Tabla336106734825[[#This Row],[Equity Peak]]-Tabla336106734825[[#This Row],[Equity]])/Tabla336106734825[[#This Row],[Equity Peak]],"")</f>
        <v>6.2353858144972721E-4</v>
      </c>
      <c r="V20" s="209">
        <f t="shared" si="7"/>
        <v>0</v>
      </c>
      <c r="W20" s="209">
        <f t="shared" si="8"/>
        <v>0</v>
      </c>
      <c r="X20" s="209">
        <f t="shared" si="9"/>
        <v>0</v>
      </c>
      <c r="Y20" s="209">
        <f t="shared" si="10"/>
        <v>0</v>
      </c>
      <c r="Z20" s="209">
        <f t="shared" si="11"/>
        <v>0</v>
      </c>
      <c r="AA20" s="205">
        <f t="shared" si="12"/>
        <v>0</v>
      </c>
      <c r="AB20" s="209">
        <f t="shared" si="13"/>
        <v>-0.08</v>
      </c>
      <c r="AC20" s="205">
        <f t="shared" si="14"/>
        <v>0</v>
      </c>
      <c r="AD20" s="210">
        <f t="shared" si="15"/>
        <v>3.1006944444452529</v>
      </c>
      <c r="AE20" s="210">
        <f t="shared" si="16"/>
        <v>0</v>
      </c>
      <c r="AF20" s="210">
        <f t="shared" si="17"/>
        <v>3.1006944444452529</v>
      </c>
      <c r="AG20" s="210">
        <f t="shared" si="18"/>
        <v>0</v>
      </c>
    </row>
    <row r="21" spans="2:33" ht="15" customHeight="1" x14ac:dyDescent="0.3">
      <c r="B21" s="196" t="s">
        <v>84</v>
      </c>
      <c r="C21" s="197" t="s">
        <v>15</v>
      </c>
      <c r="D21" s="198" t="str">
        <f t="shared" si="0"/>
        <v>C</v>
      </c>
      <c r="E21" s="199">
        <v>43586.333333333336</v>
      </c>
      <c r="F21" s="200" t="s">
        <v>80</v>
      </c>
      <c r="G21" s="201">
        <v>5302.58</v>
      </c>
      <c r="H21" s="201">
        <v>5192.7299999999996</v>
      </c>
      <c r="I21" s="202">
        <f t="shared" si="1"/>
        <v>109.85000000000036</v>
      </c>
      <c r="J21" s="201">
        <v>6950.33</v>
      </c>
      <c r="K21" s="199">
        <v>43598</v>
      </c>
      <c r="L21" s="201">
        <v>6950.33</v>
      </c>
      <c r="M21" s="203">
        <f t="shared" si="2"/>
        <v>1647.75</v>
      </c>
      <c r="N21" s="204">
        <f t="shared" si="3"/>
        <v>15</v>
      </c>
      <c r="O21" s="205">
        <f t="shared" si="4"/>
        <v>0</v>
      </c>
      <c r="P21" s="206">
        <f t="shared" si="5"/>
        <v>15</v>
      </c>
      <c r="Q21" s="206">
        <f t="shared" si="6"/>
        <v>0</v>
      </c>
      <c r="R21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21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128300</v>
      </c>
      <c r="T21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128300</v>
      </c>
      <c r="U21" s="208" t="str">
        <f ca="1">IF(Tabla336106734825[[#This Row],[Equity]]&lt;Tabla336106734825[[#This Row],[Equity Peak]],(Tabla336106734825[[#This Row],[Equity Peak]]-Tabla336106734825[[#This Row],[Equity]])/Tabla336106734825[[#This Row],[Equity Peak]],"")</f>
        <v/>
      </c>
      <c r="V21" s="209">
        <f t="shared" si="7"/>
        <v>0</v>
      </c>
      <c r="W21" s="209">
        <f t="shared" si="8"/>
        <v>0</v>
      </c>
      <c r="X21" s="209">
        <f t="shared" si="9"/>
        <v>0</v>
      </c>
      <c r="Y21" s="209">
        <f t="shared" si="10"/>
        <v>0</v>
      </c>
      <c r="Z21" s="209">
        <f t="shared" si="11"/>
        <v>0</v>
      </c>
      <c r="AA21" s="205">
        <f t="shared" si="12"/>
        <v>0</v>
      </c>
      <c r="AB21" s="209">
        <f t="shared" si="13"/>
        <v>15</v>
      </c>
      <c r="AC21" s="205">
        <f t="shared" si="14"/>
        <v>0</v>
      </c>
      <c r="AD21" s="210">
        <f t="shared" si="15"/>
        <v>11.666666666664241</v>
      </c>
      <c r="AE21" s="210">
        <f t="shared" si="16"/>
        <v>11.666666666664241</v>
      </c>
      <c r="AF21" s="210">
        <f t="shared" si="17"/>
        <v>0</v>
      </c>
      <c r="AG21" s="210">
        <f t="shared" si="18"/>
        <v>0</v>
      </c>
    </row>
    <row r="22" spans="2:33" ht="15" customHeight="1" x14ac:dyDescent="0.3">
      <c r="B22" s="196" t="s">
        <v>84</v>
      </c>
      <c r="C22" s="197" t="s">
        <v>13</v>
      </c>
      <c r="D22" s="198" t="str">
        <f t="shared" si="0"/>
        <v>C</v>
      </c>
      <c r="E22" s="199">
        <v>43581.5</v>
      </c>
      <c r="F22" s="200" t="s">
        <v>80</v>
      </c>
      <c r="G22" s="201">
        <v>5158.3100000000004</v>
      </c>
      <c r="H22" s="201">
        <v>5386.55</v>
      </c>
      <c r="I22" s="202">
        <f t="shared" si="1"/>
        <v>228.23999999999978</v>
      </c>
      <c r="J22" s="201">
        <v>1734.67</v>
      </c>
      <c r="K22" s="199">
        <v>43585.72152777778</v>
      </c>
      <c r="L22" s="201">
        <v>5227.3999999999996</v>
      </c>
      <c r="M22" s="203">
        <f t="shared" si="2"/>
        <v>-69.09</v>
      </c>
      <c r="N22" s="204">
        <f t="shared" si="3"/>
        <v>-0.3</v>
      </c>
      <c r="O22" s="205">
        <f t="shared" si="4"/>
        <v>0</v>
      </c>
      <c r="P22" s="206">
        <f t="shared" si="5"/>
        <v>0</v>
      </c>
      <c r="Q22" s="206">
        <f t="shared" si="6"/>
        <v>-0.3</v>
      </c>
      <c r="R22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22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113300</v>
      </c>
      <c r="T22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113600</v>
      </c>
      <c r="U22" s="208">
        <f ca="1">IF(Tabla336106734825[[#This Row],[Equity]]&lt;Tabla336106734825[[#This Row],[Equity Peak]],(Tabla336106734825[[#This Row],[Equity Peak]]-Tabla336106734825[[#This Row],[Equity]])/Tabla336106734825[[#This Row],[Equity Peak]],"")</f>
        <v>2.6408450704225352E-3</v>
      </c>
      <c r="V22" s="209">
        <f t="shared" si="7"/>
        <v>0</v>
      </c>
      <c r="W22" s="209">
        <f t="shared" si="8"/>
        <v>0</v>
      </c>
      <c r="X22" s="209">
        <f t="shared" si="9"/>
        <v>0</v>
      </c>
      <c r="Y22" s="209">
        <f t="shared" si="10"/>
        <v>0</v>
      </c>
      <c r="Z22" s="209">
        <f t="shared" si="11"/>
        <v>0</v>
      </c>
      <c r="AA22" s="205">
        <f t="shared" si="12"/>
        <v>0</v>
      </c>
      <c r="AB22" s="209">
        <f t="shared" si="13"/>
        <v>-0.3</v>
      </c>
      <c r="AC22" s="205">
        <f t="shared" si="14"/>
        <v>0</v>
      </c>
      <c r="AD22" s="210">
        <f t="shared" si="15"/>
        <v>4.2215277777795563</v>
      </c>
      <c r="AE22" s="210">
        <f t="shared" si="16"/>
        <v>0</v>
      </c>
      <c r="AF22" s="210">
        <f t="shared" si="17"/>
        <v>4.2215277777795563</v>
      </c>
      <c r="AG22" s="210">
        <f t="shared" si="18"/>
        <v>0</v>
      </c>
    </row>
    <row r="23" spans="2:33" ht="15" customHeight="1" x14ac:dyDescent="0.3">
      <c r="B23" s="196" t="s">
        <v>84</v>
      </c>
      <c r="C23" s="197" t="s">
        <v>15</v>
      </c>
      <c r="D23" s="198" t="str">
        <f t="shared" si="0"/>
        <v>C</v>
      </c>
      <c r="E23" s="199">
        <v>43551.333333333336</v>
      </c>
      <c r="F23" s="200" t="s">
        <v>80</v>
      </c>
      <c r="G23" s="201">
        <v>3968.09</v>
      </c>
      <c r="H23" s="201">
        <v>3904.98</v>
      </c>
      <c r="I23" s="202">
        <f t="shared" si="1"/>
        <v>63.110000000000127</v>
      </c>
      <c r="J23" s="201">
        <v>4914.78</v>
      </c>
      <c r="K23" s="199">
        <v>43557.413194444445</v>
      </c>
      <c r="L23" s="201">
        <v>4914.78</v>
      </c>
      <c r="M23" s="203">
        <f t="shared" si="2"/>
        <v>946.69</v>
      </c>
      <c r="N23" s="204">
        <f t="shared" si="3"/>
        <v>15</v>
      </c>
      <c r="O23" s="205">
        <f t="shared" si="4"/>
        <v>0</v>
      </c>
      <c r="P23" s="206">
        <f t="shared" si="5"/>
        <v>15</v>
      </c>
      <c r="Q23" s="206">
        <f t="shared" si="6"/>
        <v>0</v>
      </c>
      <c r="R23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No</v>
      </c>
      <c r="S23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113600</v>
      </c>
      <c r="T23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113600</v>
      </c>
      <c r="U23" s="208" t="str">
        <f ca="1">IF(Tabla336106734825[[#This Row],[Equity]]&lt;Tabla336106734825[[#This Row],[Equity Peak]],(Tabla336106734825[[#This Row],[Equity Peak]]-Tabla336106734825[[#This Row],[Equity]])/Tabla336106734825[[#This Row],[Equity Peak]],"")</f>
        <v/>
      </c>
      <c r="V23" s="209">
        <f t="shared" si="7"/>
        <v>0</v>
      </c>
      <c r="W23" s="209">
        <f t="shared" si="8"/>
        <v>0</v>
      </c>
      <c r="X23" s="209">
        <f t="shared" si="9"/>
        <v>0</v>
      </c>
      <c r="Y23" s="209">
        <f t="shared" si="10"/>
        <v>0</v>
      </c>
      <c r="Z23" s="209">
        <f t="shared" si="11"/>
        <v>0</v>
      </c>
      <c r="AA23" s="205">
        <f t="shared" si="12"/>
        <v>0</v>
      </c>
      <c r="AB23" s="209">
        <f t="shared" si="13"/>
        <v>15</v>
      </c>
      <c r="AC23" s="205">
        <f t="shared" si="14"/>
        <v>0</v>
      </c>
      <c r="AD23" s="210">
        <f t="shared" si="15"/>
        <v>6.0798611111094942</v>
      </c>
      <c r="AE23" s="210">
        <f t="shared" si="16"/>
        <v>6.0798611111094942</v>
      </c>
      <c r="AF23" s="210">
        <f t="shared" si="17"/>
        <v>0</v>
      </c>
      <c r="AG23" s="210">
        <f t="shared" si="18"/>
        <v>0</v>
      </c>
    </row>
    <row r="24" spans="2:33" ht="15" customHeight="1" x14ac:dyDescent="0.3">
      <c r="B24" s="196" t="s">
        <v>84</v>
      </c>
      <c r="C24" s="197" t="s">
        <v>13</v>
      </c>
      <c r="D24" s="198" t="str">
        <f t="shared" si="0"/>
        <v>C</v>
      </c>
      <c r="E24" s="199">
        <v>43550.166666666664</v>
      </c>
      <c r="F24" s="200" t="s">
        <v>80</v>
      </c>
      <c r="G24" s="201">
        <v>3887.35</v>
      </c>
      <c r="H24" s="201">
        <v>3940.19</v>
      </c>
      <c r="I24" s="202">
        <f t="shared" si="1"/>
        <v>52.840000000000146</v>
      </c>
      <c r="J24" s="201">
        <v>3094.77</v>
      </c>
      <c r="K24" s="199">
        <v>43550.775694444441</v>
      </c>
      <c r="L24" s="201">
        <v>3909.53</v>
      </c>
      <c r="M24" s="203">
        <f t="shared" si="2"/>
        <v>-22.18</v>
      </c>
      <c r="N24" s="204">
        <f t="shared" si="3"/>
        <v>-0.42</v>
      </c>
      <c r="O24" s="205">
        <f t="shared" si="4"/>
        <v>0</v>
      </c>
      <c r="P24" s="206">
        <f t="shared" si="5"/>
        <v>0</v>
      </c>
      <c r="Q24" s="206">
        <f t="shared" si="6"/>
        <v>-0.42</v>
      </c>
      <c r="R24" s="206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Yes</v>
      </c>
      <c r="S24" s="207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98600</v>
      </c>
      <c r="T24" s="207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100000</v>
      </c>
      <c r="U24" s="208">
        <f ca="1">IF(Tabla336106734825[[#This Row],[Equity]]&lt;Tabla336106734825[[#This Row],[Equity Peak]],(Tabla336106734825[[#This Row],[Equity Peak]]-Tabla336106734825[[#This Row],[Equity]])/Tabla336106734825[[#This Row],[Equity Peak]],"")</f>
        <v>1.4E-2</v>
      </c>
      <c r="V24" s="209">
        <f t="shared" si="7"/>
        <v>0</v>
      </c>
      <c r="W24" s="209">
        <f t="shared" si="8"/>
        <v>0</v>
      </c>
      <c r="X24" s="209">
        <f t="shared" si="9"/>
        <v>0</v>
      </c>
      <c r="Y24" s="209">
        <f t="shared" si="10"/>
        <v>0</v>
      </c>
      <c r="Z24" s="209">
        <f t="shared" si="11"/>
        <v>0</v>
      </c>
      <c r="AA24" s="205">
        <f t="shared" si="12"/>
        <v>0</v>
      </c>
      <c r="AB24" s="209">
        <f t="shared" si="13"/>
        <v>-0.42</v>
      </c>
      <c r="AC24" s="205">
        <f t="shared" si="14"/>
        <v>0</v>
      </c>
      <c r="AD24" s="210">
        <f t="shared" si="15"/>
        <v>0.60902777777664596</v>
      </c>
      <c r="AE24" s="210">
        <f t="shared" si="16"/>
        <v>0</v>
      </c>
      <c r="AF24" s="210">
        <f t="shared" si="17"/>
        <v>0.60902777777664596</v>
      </c>
      <c r="AG24" s="210">
        <f t="shared" si="18"/>
        <v>0</v>
      </c>
    </row>
    <row r="25" spans="2:33" ht="15" customHeight="1" x14ac:dyDescent="0.3">
      <c r="B25" s="181" t="s">
        <v>84</v>
      </c>
      <c r="C25" s="182" t="s">
        <v>15</v>
      </c>
      <c r="D25" s="183" t="str">
        <f t="shared" si="0"/>
        <v>C</v>
      </c>
      <c r="E25" s="184">
        <v>43545.166666666664</v>
      </c>
      <c r="F25" s="185" t="s">
        <v>80</v>
      </c>
      <c r="G25" s="186">
        <v>4031.2</v>
      </c>
      <c r="H25" s="186">
        <v>3978.15</v>
      </c>
      <c r="I25" s="65">
        <f t="shared" si="1"/>
        <v>53.049999999999727</v>
      </c>
      <c r="J25" s="186">
        <v>4826.93</v>
      </c>
      <c r="K25" s="184">
        <v>43545.720138888886</v>
      </c>
      <c r="L25" s="186">
        <v>3979.36</v>
      </c>
      <c r="M25" s="187">
        <f t="shared" si="2"/>
        <v>-51.84</v>
      </c>
      <c r="N25" s="188">
        <f t="shared" si="3"/>
        <v>-0.98</v>
      </c>
      <c r="O25" s="189">
        <f t="shared" si="4"/>
        <v>0</v>
      </c>
      <c r="P25" s="190">
        <f t="shared" si="5"/>
        <v>0</v>
      </c>
      <c r="Q25" s="190">
        <f t="shared" si="6"/>
        <v>-0.98</v>
      </c>
      <c r="R25" s="190" t="str">
        <f ca="1">IF(AND(OFFSET(Tabla336106734825[[#This Row],[Equity]],1,0)="",Tabla336106734825[[#This Row],[No. of Rs]]&lt;0),"Yes",IF(AND(OFFSET(Tabla336106734825[[#This Row],[Initial Losing Trade]],1,0)="Yes",Tabla336106734825[[#This Row],[No. of Rs]]&lt;0),"Yes","No"))</f>
        <v>Yes</v>
      </c>
      <c r="S25" s="191">
        <f ca="1">IF(OFFSET(Tabla336106734825[[#This Row],[Equity]],1,0)="",IF(Tabla336106734825[[#This Row],[No. of Rs]]="",$F$11,$F$11+($F$11*Tabla336106734825[[#This Row],[No. of Rs]]/100)),IF(Tabla336106734825[[#This Row],[No. of Rs]]="",OFFSET(Tabla336106734825[[#This Row],[Equity]],1,0),OFFSET(Tabla336106734825[[#This Row],[Equity]],1,0)+($F$11*Tabla336106734825[[#This Row],[No. of Rs]]/100)))</f>
        <v>99020</v>
      </c>
      <c r="T25" s="191">
        <f ca="1">IF(OFFSET(Tabla336106734825[[#This Row],[Equity Peak]],1,0)="",IF(Tabla336106734825[[#This Row],[Initial Losing Trade]]="Yes",$F$11,Tabla336106734825[[#This Row],[Equity]]),IF(OFFSET(Tabla336106734825[[#This Row],[Equity Peak]],1,0)&gt;Tabla336106734825[[#This Row],[Equity]],OFFSET(Tabla336106734825[[#This Row],[Equity Peak]],1,0),Tabla336106734825[[#This Row],[Equity]]))</f>
        <v>100000</v>
      </c>
      <c r="U25" s="192">
        <f ca="1">IF(Tabla336106734825[[#This Row],[Equity]]&lt;Tabla336106734825[[#This Row],[Equity Peak]],(Tabla336106734825[[#This Row],[Equity Peak]]-Tabla336106734825[[#This Row],[Equity]])/Tabla336106734825[[#This Row],[Equity Peak]],"")</f>
        <v>9.7999999999999997E-3</v>
      </c>
      <c r="V25" s="193">
        <f t="shared" si="7"/>
        <v>0</v>
      </c>
      <c r="W25" s="193">
        <f t="shared" si="8"/>
        <v>0</v>
      </c>
      <c r="X25" s="193">
        <f t="shared" si="9"/>
        <v>0</v>
      </c>
      <c r="Y25" s="193">
        <f t="shared" si="10"/>
        <v>0</v>
      </c>
      <c r="Z25" s="193">
        <f t="shared" si="11"/>
        <v>0</v>
      </c>
      <c r="AA25" s="189">
        <f t="shared" si="12"/>
        <v>0</v>
      </c>
      <c r="AB25" s="193">
        <f t="shared" si="13"/>
        <v>-0.98</v>
      </c>
      <c r="AC25" s="189">
        <f t="shared" si="14"/>
        <v>0</v>
      </c>
      <c r="AD25" s="194">
        <f t="shared" si="15"/>
        <v>0.55347222222189885</v>
      </c>
      <c r="AE25" s="194">
        <f t="shared" si="16"/>
        <v>0</v>
      </c>
      <c r="AF25" s="194">
        <f t="shared" si="17"/>
        <v>0.55347222222189885</v>
      </c>
      <c r="AG25" s="194">
        <f t="shared" si="18"/>
        <v>0</v>
      </c>
    </row>
  </sheetData>
  <sheetProtection algorithmName="SHA-512" hashValue="Q/ocg/IpsBU0Ek8FLtCRVZSDMAh7+SDaa7mekW4AfwzJNuUQzNOxy18n3DTtfxAFlgeDkhdy9hchPEqwDjUH3Q==" saltValue="XUkGx43z3ia2wM+quD933Q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83" priority="3" operator="equal">
      <formula>"OK"</formula>
    </cfRule>
    <cfRule type="cellIs" dxfId="82" priority="4" operator="equal">
      <formula>"warning"</formula>
    </cfRule>
  </conditionalFormatting>
  <conditionalFormatting sqref="F13">
    <cfRule type="cellIs" dxfId="81" priority="1" operator="equal">
      <formula>"OK"</formula>
    </cfRule>
    <cfRule type="cellIs" dxfId="80" priority="2" operator="equal">
      <formula>"Error!!"</formula>
    </cfRule>
  </conditionalFormatting>
  <conditionalFormatting sqref="E15:H15 K15:L15">
    <cfRule type="expression" dxfId="79" priority="5">
      <formula>+$D15=#REF!</formula>
    </cfRule>
    <cfRule type="expression" dxfId="78" priority="6">
      <formula>+$D15=#REF!</formula>
    </cfRule>
  </conditionalFormatting>
  <conditionalFormatting sqref="D15 K16:L16 D16:H25 J17:L25">
    <cfRule type="expression" dxfId="77" priority="7">
      <formula>+$D15=$AG$8</formula>
    </cfRule>
    <cfRule type="expression" dxfId="76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5:B16" xr:uid="{3BD341AF-A09B-414D-B59A-6E5100F35ABA}">
      <formula1>$AE$4:$AE$6</formula1>
    </dataValidation>
    <dataValidation type="list" allowBlank="1" showInputMessage="1" showErrorMessage="1" promptTitle="Trade Direction" prompt="Select from List" sqref="C15:C16" xr:uid="{7C783AA4-A884-4682-AC1D-F933BA4AA8DA}">
      <formula1>$AG$4:$AG$5</formula1>
    </dataValidation>
    <dataValidation type="list" allowBlank="1" showInputMessage="1" showErrorMessage="1" promptTitle="Instrument Type" prompt="Select Type from List_x000a_" sqref="B17:B25" xr:uid="{23BF98AE-06CC-4D09-B3B8-7D3519797406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312A2-AD13-4A6D-9034-F8339B2281EB}">
  <sheetPr codeName="Hoja32">
    <pageSetUpPr fitToPage="1"/>
  </sheetPr>
  <dimension ref="A1:AX27"/>
  <sheetViews>
    <sheetView showGridLines="0" showZeros="0" tabSelected="1" zoomScale="115" zoomScaleNormal="115" zoomScalePageLayoutView="99" workbookViewId="0">
      <pane ySplit="16" topLeftCell="A17" activePane="bottomLeft" state="frozen"/>
      <selection activeCell="E2" sqref="E2:N5"/>
      <selection pane="bottomLeft" activeCell="E2" sqref="E2:N5"/>
    </sheetView>
  </sheetViews>
  <sheetFormatPr defaultColWidth="0" defaultRowHeight="15" customHeight="1" x14ac:dyDescent="0.3"/>
  <cols>
    <col min="1" max="1" width="2.375" style="139" customWidth="1"/>
    <col min="2" max="2" width="10.375" style="110" customWidth="1"/>
    <col min="3" max="3" width="12.625" style="112" customWidth="1"/>
    <col min="4" max="4" width="8.625" style="113" customWidth="1"/>
    <col min="5" max="5" width="13.625" style="129" customWidth="1"/>
    <col min="6" max="6" width="8.375" style="110" customWidth="1"/>
    <col min="7" max="7" width="10.625" style="110" bestFit="1" customWidth="1"/>
    <col min="8" max="8" width="9.875" style="110" bestFit="1" customWidth="1"/>
    <col min="9" max="9" width="15.375" style="110" customWidth="1"/>
    <col min="10" max="10" width="12.875" style="110" customWidth="1"/>
    <col min="11" max="11" width="12.625" style="129" customWidth="1"/>
    <col min="12" max="12" width="10.375" style="110" customWidth="1"/>
    <col min="13" max="13" width="10.125" style="111" customWidth="1"/>
    <col min="14" max="14" width="12.125" style="111" customWidth="1"/>
    <col min="15" max="15" width="8.625" style="111" hidden="1" customWidth="1"/>
    <col min="16" max="16" width="10.375" style="111" customWidth="1"/>
    <col min="17" max="17" width="11" style="111" customWidth="1"/>
    <col min="18" max="18" width="11" style="111" hidden="1" customWidth="1"/>
    <col min="19" max="20" width="11" style="118" hidden="1" customWidth="1"/>
    <col min="21" max="21" width="11" style="124" hidden="1" customWidth="1"/>
    <col min="22" max="22" width="9.375" style="111" bestFit="1" customWidth="1"/>
    <col min="23" max="23" width="9.375" style="111" hidden="1" customWidth="1"/>
    <col min="24" max="24" width="7.625" style="111" customWidth="1"/>
    <col min="25" max="25" width="9.375" style="111" hidden="1" customWidth="1"/>
    <col min="26" max="26" width="8.125" style="111" bestFit="1" customWidth="1"/>
    <col min="27" max="27" width="8.375" style="111" hidden="1" customWidth="1"/>
    <col min="28" max="28" width="8.125" style="111" customWidth="1"/>
    <col min="29" max="29" width="8.125" style="111" hidden="1" customWidth="1"/>
    <col min="30" max="30" width="9.625" style="111" customWidth="1"/>
    <col min="31" max="31" width="8.125" style="111" customWidth="1"/>
    <col min="32" max="32" width="8" style="111" customWidth="1"/>
    <col min="33" max="33" width="6.625" style="110" customWidth="1"/>
    <col min="34" max="34" width="2.5" style="139" customWidth="1"/>
    <col min="35" max="35" width="7.375" style="109" hidden="1" customWidth="1"/>
    <col min="36" max="41" width="2.625" style="110" hidden="1" customWidth="1"/>
    <col min="42" max="42" width="4.625" style="110" hidden="1" customWidth="1"/>
    <col min="43" max="43" width="7.625" style="110" hidden="1" customWidth="1"/>
    <col min="44" max="44" width="8.625" style="110" hidden="1" customWidth="1"/>
    <col min="45" max="45" width="12.375" style="110" hidden="1" customWidth="1"/>
    <col min="46" max="46" width="2.125" style="110" hidden="1" customWidth="1"/>
    <col min="47" max="47" width="2.625" style="110" hidden="1" customWidth="1"/>
    <col min="48" max="50" width="39.375" style="110" hidden="1" customWidth="1"/>
    <col min="51" max="16384" width="2.625" style="110" hidden="1"/>
  </cols>
  <sheetData>
    <row r="1" spans="1:48" s="109" customFormat="1" ht="15" customHeight="1" x14ac:dyDescent="0.2">
      <c r="A1" s="138"/>
      <c r="B1" s="141"/>
      <c r="C1" s="140"/>
      <c r="D1" s="140"/>
      <c r="E1" s="142"/>
      <c r="F1" s="138"/>
      <c r="G1" s="138"/>
      <c r="H1" s="138"/>
      <c r="I1" s="138"/>
      <c r="J1" s="138"/>
      <c r="K1" s="142"/>
      <c r="L1" s="143"/>
      <c r="M1" s="144"/>
      <c r="N1" s="144"/>
      <c r="O1" s="2"/>
      <c r="P1" s="156"/>
      <c r="Q1" s="156"/>
      <c r="R1" s="156"/>
      <c r="S1" s="157"/>
      <c r="T1" s="157"/>
      <c r="U1" s="158"/>
      <c r="V1" s="156"/>
      <c r="W1" s="156"/>
      <c r="X1" s="156"/>
      <c r="Y1" s="156"/>
      <c r="Z1" s="156"/>
      <c r="AA1" s="156"/>
      <c r="AB1" s="169"/>
      <c r="AC1" s="1"/>
      <c r="AD1" s="169"/>
      <c r="AE1" s="169"/>
      <c r="AF1" s="169"/>
      <c r="AG1" s="169"/>
      <c r="AH1" s="169"/>
    </row>
    <row r="2" spans="1:48" ht="15" customHeight="1" thickBot="1" x14ac:dyDescent="0.35">
      <c r="B2" s="139"/>
      <c r="C2" s="140"/>
      <c r="D2" s="145"/>
      <c r="E2" s="211" t="s">
        <v>123</v>
      </c>
      <c r="F2" s="211"/>
      <c r="G2" s="211"/>
      <c r="H2" s="211"/>
      <c r="I2" s="211"/>
      <c r="J2" s="211"/>
      <c r="K2" s="211"/>
      <c r="L2" s="211"/>
      <c r="M2" s="211"/>
      <c r="N2" s="211"/>
      <c r="O2" s="137"/>
      <c r="P2" s="159"/>
      <c r="Q2" s="159"/>
      <c r="R2" s="160"/>
      <c r="S2" s="161"/>
      <c r="T2" s="161"/>
      <c r="U2" s="162"/>
      <c r="V2" s="163"/>
      <c r="W2" s="163"/>
      <c r="X2" s="163"/>
      <c r="Y2" s="163"/>
      <c r="Z2" s="163"/>
      <c r="AA2" s="163"/>
      <c r="AB2" s="163"/>
      <c r="AC2" s="3"/>
      <c r="AD2" s="169"/>
      <c r="AE2" s="169"/>
      <c r="AF2" s="169"/>
      <c r="AG2" s="169"/>
      <c r="AH2" s="163"/>
    </row>
    <row r="3" spans="1:48" ht="15" customHeight="1" thickBot="1" x14ac:dyDescent="0.35">
      <c r="B3" s="139"/>
      <c r="C3" s="146"/>
      <c r="D3" s="145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137"/>
      <c r="P3" s="159"/>
      <c r="Q3" s="159"/>
      <c r="R3" s="160"/>
      <c r="S3" s="161"/>
      <c r="T3" s="161"/>
      <c r="U3" s="162"/>
      <c r="V3" s="163"/>
      <c r="W3" s="163"/>
      <c r="X3" s="163"/>
      <c r="Y3" s="163"/>
      <c r="Z3" s="163"/>
      <c r="AA3" s="163"/>
      <c r="AB3" s="163"/>
      <c r="AC3" s="3"/>
      <c r="AD3" s="4" t="s">
        <v>87</v>
      </c>
      <c r="AE3" s="5"/>
      <c r="AF3" s="4" t="s">
        <v>17</v>
      </c>
      <c r="AG3" s="6"/>
    </row>
    <row r="4" spans="1:48" ht="15" customHeight="1" x14ac:dyDescent="0.35">
      <c r="B4" s="139"/>
      <c r="C4" s="146"/>
      <c r="D4" s="145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37"/>
      <c r="P4" s="159"/>
      <c r="Q4" s="159"/>
      <c r="R4" s="160"/>
      <c r="S4" s="161"/>
      <c r="T4" s="161"/>
      <c r="U4" s="162"/>
      <c r="V4" s="163"/>
      <c r="W4" s="163"/>
      <c r="X4" s="163"/>
      <c r="Y4" s="163"/>
      <c r="Z4" s="163"/>
      <c r="AA4" s="163"/>
      <c r="AB4" s="163"/>
      <c r="AC4" s="3"/>
      <c r="AD4" s="7" t="s">
        <v>21</v>
      </c>
      <c r="AE4" s="8" t="s">
        <v>7</v>
      </c>
      <c r="AF4" s="7" t="s">
        <v>16</v>
      </c>
      <c r="AG4" s="9" t="s">
        <v>15</v>
      </c>
      <c r="AS4" s="110">
        <f>+IF(F13="OK",1,0)</f>
        <v>1</v>
      </c>
    </row>
    <row r="5" spans="1:48" ht="15" customHeight="1" thickBot="1" x14ac:dyDescent="0.4">
      <c r="B5" s="139"/>
      <c r="C5" s="146"/>
      <c r="D5" s="145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137"/>
      <c r="P5" s="159"/>
      <c r="Q5" s="159"/>
      <c r="R5" s="160"/>
      <c r="S5" s="161"/>
      <c r="T5" s="161"/>
      <c r="U5" s="162"/>
      <c r="V5" s="170" t="s">
        <v>7</v>
      </c>
      <c r="W5" s="156"/>
      <c r="X5" s="170" t="s">
        <v>6</v>
      </c>
      <c r="Y5" s="171"/>
      <c r="Z5" s="170" t="s">
        <v>5</v>
      </c>
      <c r="AA5" s="171"/>
      <c r="AB5" s="170" t="s">
        <v>84</v>
      </c>
      <c r="AC5" s="10"/>
      <c r="AD5" s="11" t="s">
        <v>20</v>
      </c>
      <c r="AE5" s="12" t="s">
        <v>19</v>
      </c>
      <c r="AF5" s="11" t="s">
        <v>14</v>
      </c>
      <c r="AG5" s="13" t="s">
        <v>13</v>
      </c>
      <c r="AS5" s="110">
        <f>+IF(AS4=1,0,1)</f>
        <v>0</v>
      </c>
    </row>
    <row r="6" spans="1:48" ht="33" customHeight="1" thickBot="1" x14ac:dyDescent="0.4">
      <c r="B6" s="139"/>
      <c r="C6" s="146"/>
      <c r="D6" s="147"/>
      <c r="E6" s="130" t="s">
        <v>10</v>
      </c>
      <c r="F6" s="14">
        <f>COUNTA(Tabla336106734826[Inst])</f>
        <v>11</v>
      </c>
      <c r="G6" s="15" t="s">
        <v>9</v>
      </c>
      <c r="H6" s="15" t="s">
        <v>8</v>
      </c>
      <c r="I6" s="15" t="s">
        <v>61</v>
      </c>
      <c r="J6" s="77" t="s">
        <v>62</v>
      </c>
      <c r="K6" s="149"/>
      <c r="L6" s="221" t="s">
        <v>111</v>
      </c>
      <c r="M6" s="222"/>
      <c r="N6" s="225">
        <f>N13</f>
        <v>-2.31</v>
      </c>
      <c r="O6" s="16"/>
      <c r="P6" s="163"/>
      <c r="Q6" s="164" t="s">
        <v>47</v>
      </c>
      <c r="R6" s="164"/>
      <c r="S6" s="165"/>
      <c r="T6" s="165"/>
      <c r="U6" s="166"/>
      <c r="V6" s="17">
        <f>+V13</f>
        <v>0</v>
      </c>
      <c r="W6" s="18"/>
      <c r="X6" s="17">
        <f>+X13</f>
        <v>0</v>
      </c>
      <c r="Y6" s="19"/>
      <c r="Z6" s="17">
        <f>+Z13</f>
        <v>0</v>
      </c>
      <c r="AA6" s="19"/>
      <c r="AB6" s="17">
        <f>+AB13</f>
        <v>-2.31</v>
      </c>
      <c r="AC6" s="106"/>
      <c r="AD6" s="11" t="s">
        <v>18</v>
      </c>
      <c r="AE6" s="12" t="s">
        <v>5</v>
      </c>
      <c r="AF6" s="20"/>
      <c r="AG6" s="22"/>
    </row>
    <row r="7" spans="1:48" ht="15" customHeight="1" thickBot="1" x14ac:dyDescent="0.4">
      <c r="B7" s="139"/>
      <c r="C7" s="140"/>
      <c r="D7" s="139"/>
      <c r="E7" s="131" t="s">
        <v>4</v>
      </c>
      <c r="F7" s="23">
        <f>COUNTIF(Tabla336106734826[No. of Rs],"&gt;0")</f>
        <v>2</v>
      </c>
      <c r="G7" s="24">
        <f>IFERROR((F7/$F$6),"")</f>
        <v>0.18181818181818182</v>
      </c>
      <c r="H7" s="78">
        <f>IFERROR((+P13/F7),"")</f>
        <v>2.35</v>
      </c>
      <c r="I7" s="227">
        <f>H7/H9</f>
        <v>3.0171184022824535</v>
      </c>
      <c r="J7" s="227">
        <f>AVERAGE(Tabla336106734826[No. of Rs])</f>
        <v>-0.21</v>
      </c>
      <c r="K7" s="149"/>
      <c r="L7" s="223"/>
      <c r="M7" s="224"/>
      <c r="N7" s="226"/>
      <c r="O7" s="16"/>
      <c r="P7" s="163"/>
      <c r="Q7" s="164" t="s">
        <v>2</v>
      </c>
      <c r="R7" s="164"/>
      <c r="S7" s="165"/>
      <c r="T7" s="165"/>
      <c r="U7" s="166"/>
      <c r="V7" s="26">
        <f>IFERROR((V6/N6),"")</f>
        <v>0</v>
      </c>
      <c r="W7" s="27"/>
      <c r="X7" s="26">
        <f>IFERROR((X6/N6),"")</f>
        <v>0</v>
      </c>
      <c r="Y7" s="28"/>
      <c r="Z7" s="26">
        <f>IFERROR((Z6/N6),"")</f>
        <v>0</v>
      </c>
      <c r="AA7" s="28"/>
      <c r="AB7" s="26">
        <f>IFERROR((AB6/N6),"")</f>
        <v>1</v>
      </c>
      <c r="AC7" s="107"/>
      <c r="AD7" s="20" t="s">
        <v>86</v>
      </c>
      <c r="AE7" s="21" t="s">
        <v>84</v>
      </c>
      <c r="AF7" s="4" t="s">
        <v>37</v>
      </c>
      <c r="AG7" s="6"/>
    </row>
    <row r="8" spans="1:48" ht="23.1" customHeight="1" thickBot="1" x14ac:dyDescent="0.4">
      <c r="B8" s="139"/>
      <c r="C8" s="140"/>
      <c r="D8" s="139"/>
      <c r="E8" s="131" t="s">
        <v>3</v>
      </c>
      <c r="F8" s="23">
        <f>COUNTIF(Tabla336106734826[No. of Rs],"=0")</f>
        <v>0</v>
      </c>
      <c r="G8" s="24">
        <f>IFERROR((F8/$F$6),"")</f>
        <v>0</v>
      </c>
      <c r="H8" s="78"/>
      <c r="I8" s="228"/>
      <c r="J8" s="228"/>
      <c r="K8" s="163"/>
      <c r="L8" s="212" t="s">
        <v>112</v>
      </c>
      <c r="M8" s="213"/>
      <c r="N8" s="195">
        <f ca="1">OFFSET(Tabla336106734826[[#Headers],[Equity]],1,0)</f>
        <v>97690</v>
      </c>
      <c r="O8" s="16"/>
      <c r="P8" s="163"/>
      <c r="Q8" s="164" t="s">
        <v>63</v>
      </c>
      <c r="R8" s="164"/>
      <c r="S8" s="165"/>
      <c r="T8" s="165"/>
      <c r="U8" s="166"/>
      <c r="V8" s="29">
        <f>-W13</f>
        <v>0</v>
      </c>
      <c r="W8" s="30"/>
      <c r="X8" s="29">
        <f>-Y13</f>
        <v>0</v>
      </c>
      <c r="Y8" s="30"/>
      <c r="Z8" s="29">
        <f>-AA13</f>
        <v>0</v>
      </c>
      <c r="AA8" s="30"/>
      <c r="AB8" s="29">
        <f>-AC13</f>
        <v>0</v>
      </c>
      <c r="AC8" s="108"/>
      <c r="AD8" s="163"/>
      <c r="AE8" s="163"/>
      <c r="AF8" s="7" t="s">
        <v>31</v>
      </c>
      <c r="AG8" s="9" t="s">
        <v>33</v>
      </c>
    </row>
    <row r="9" spans="1:48" ht="15" customHeight="1" thickBot="1" x14ac:dyDescent="0.4">
      <c r="B9" s="139"/>
      <c r="C9" s="140"/>
      <c r="D9" s="148"/>
      <c r="E9" s="132" t="s">
        <v>1</v>
      </c>
      <c r="F9" s="31">
        <f>COUNTIF(Tabla336106734826[No. of Rs],"&lt;0")</f>
        <v>9</v>
      </c>
      <c r="G9" s="32">
        <f>IFERROR((F9/$F$6),"")</f>
        <v>0.81818181818181823</v>
      </c>
      <c r="H9" s="79">
        <f>IFERROR((-Q13/F9),"")</f>
        <v>0.77888888888888896</v>
      </c>
      <c r="I9" s="229"/>
      <c r="J9" s="229"/>
      <c r="K9" s="149"/>
      <c r="L9" s="230" t="s">
        <v>106</v>
      </c>
      <c r="M9" s="231"/>
      <c r="N9" s="125">
        <f ca="1">MAX(Tabla336106734826[Drawdown])</f>
        <v>5.808838232353529E-2</v>
      </c>
      <c r="O9" s="16"/>
      <c r="P9" s="163"/>
      <c r="Q9" s="164" t="s">
        <v>60</v>
      </c>
      <c r="R9" s="164"/>
      <c r="S9" s="165"/>
      <c r="T9" s="165"/>
      <c r="U9" s="166"/>
      <c r="V9" s="33">
        <f>-O13</f>
        <v>0</v>
      </c>
      <c r="W9" s="30"/>
      <c r="X9" s="34" t="str">
        <f>IF(V9&lt;J11,"OK", "Warning")</f>
        <v>OK</v>
      </c>
      <c r="Y9" s="35"/>
      <c r="Z9" s="36"/>
      <c r="AA9" s="35"/>
      <c r="AB9" s="33"/>
      <c r="AC9" s="108"/>
      <c r="AD9" s="163"/>
      <c r="AE9" s="163"/>
      <c r="AF9" s="11" t="s">
        <v>32</v>
      </c>
      <c r="AG9" s="13" t="s">
        <v>34</v>
      </c>
    </row>
    <row r="10" spans="1:48" ht="15" customHeight="1" thickBot="1" x14ac:dyDescent="0.4">
      <c r="B10" s="139"/>
      <c r="C10" s="140"/>
      <c r="D10" s="148"/>
      <c r="E10" s="149"/>
      <c r="F10" s="139"/>
      <c r="G10" s="163"/>
      <c r="H10" s="163"/>
      <c r="I10" s="163"/>
      <c r="J10" s="163"/>
      <c r="K10" s="177"/>
      <c r="L10" s="230" t="s">
        <v>110</v>
      </c>
      <c r="M10" s="231"/>
      <c r="N10" s="125">
        <f ca="1">OFFSET(Tabla336106734826[[#Headers],[Drawdown]],1,0)</f>
        <v>2.3295340931813638E-2</v>
      </c>
      <c r="O10" s="25"/>
      <c r="P10" s="163"/>
      <c r="Q10" s="163"/>
      <c r="R10" s="163"/>
      <c r="S10" s="167"/>
      <c r="T10" s="167"/>
      <c r="U10" s="168"/>
      <c r="V10" s="37" t="s">
        <v>53</v>
      </c>
      <c r="W10" s="38"/>
      <c r="X10" s="38">
        <f>COUNTIF(Tabla336106734826[Heat],"&lt;0")</f>
        <v>0</v>
      </c>
      <c r="Y10" s="38"/>
      <c r="Z10" s="39" t="s">
        <v>54</v>
      </c>
      <c r="AA10" s="38"/>
      <c r="AB10" s="38"/>
      <c r="AC10" s="38"/>
      <c r="AD10" s="163"/>
      <c r="AE10" s="163"/>
      <c r="AF10" s="20"/>
      <c r="AG10" s="22"/>
    </row>
    <row r="11" spans="1:48" ht="15" customHeight="1" thickBot="1" x14ac:dyDescent="0.4">
      <c r="B11" s="139"/>
      <c r="C11" s="140"/>
      <c r="D11" s="148"/>
      <c r="E11" s="133" t="s">
        <v>73</v>
      </c>
      <c r="F11" s="103">
        <v>100000</v>
      </c>
      <c r="G11" s="163"/>
      <c r="H11" s="214" t="s">
        <v>46</v>
      </c>
      <c r="I11" s="215"/>
      <c r="J11" s="80">
        <v>12</v>
      </c>
      <c r="K11" s="163"/>
      <c r="L11" s="163"/>
      <c r="M11" s="163"/>
      <c r="N11" s="163"/>
      <c r="O11" s="163"/>
      <c r="P11" s="163"/>
      <c r="Q11" s="163"/>
      <c r="R11" s="163"/>
      <c r="S11" s="167"/>
      <c r="T11" s="167"/>
      <c r="U11" s="168"/>
      <c r="V11" s="163"/>
      <c r="W11" s="163"/>
      <c r="X11" s="163"/>
      <c r="Y11" s="163"/>
      <c r="Z11" s="163"/>
      <c r="AA11" s="163"/>
      <c r="AB11" s="163"/>
      <c r="AC11" s="3"/>
      <c r="AD11" s="175"/>
      <c r="AE11" s="175"/>
      <c r="AF11" s="175"/>
      <c r="AG11" s="163"/>
      <c r="AH11" s="163"/>
    </row>
    <row r="12" spans="1:48" ht="15" customHeight="1" thickBot="1" x14ac:dyDescent="0.4">
      <c r="B12" s="139"/>
      <c r="C12" s="140"/>
      <c r="D12" s="139"/>
      <c r="E12" s="150"/>
      <c r="F12" s="139"/>
      <c r="G12" s="163"/>
      <c r="H12" s="216" t="s">
        <v>76</v>
      </c>
      <c r="I12" s="217"/>
      <c r="J12" s="104" t="str">
        <f>IF(COUNTIFS(Tabla336106734826[O/C],"O")&lt;1,"None",COUNTIFS(Tabla336106734826[O/C],"O"))</f>
        <v>None</v>
      </c>
      <c r="K12" s="177"/>
      <c r="L12" s="139"/>
      <c r="M12" s="139"/>
      <c r="N12" s="139"/>
      <c r="O12" s="139"/>
      <c r="P12" s="139"/>
      <c r="Q12" s="139"/>
      <c r="R12" s="139"/>
      <c r="S12" s="154"/>
      <c r="T12" s="154"/>
      <c r="U12" s="155"/>
      <c r="V12" s="163"/>
      <c r="W12" s="172"/>
      <c r="X12" s="173"/>
      <c r="Y12" s="173"/>
      <c r="Z12" s="174"/>
      <c r="AA12" s="173"/>
      <c r="AB12" s="174"/>
      <c r="AC12" s="40"/>
      <c r="AD12" s="218" t="s">
        <v>42</v>
      </c>
      <c r="AE12" s="219"/>
      <c r="AF12" s="219"/>
      <c r="AG12" s="220"/>
      <c r="AP12" s="111"/>
      <c r="AQ12" s="111"/>
      <c r="AR12" s="111"/>
      <c r="AS12" s="111"/>
      <c r="AT12" s="111"/>
      <c r="AV12" s="110" t="s">
        <v>12</v>
      </c>
    </row>
    <row r="13" spans="1:48" ht="15" customHeight="1" thickBot="1" x14ac:dyDescent="0.35">
      <c r="B13" s="139"/>
      <c r="C13" s="140"/>
      <c r="D13" s="139"/>
      <c r="E13" s="134" t="s">
        <v>0</v>
      </c>
      <c r="F13" s="41" t="str">
        <f>IF((+F6-SUM(F7:F9))&lt;&gt;0,"ERROR!!","OK")</f>
        <v>OK</v>
      </c>
      <c r="G13" s="163"/>
      <c r="H13" s="163"/>
      <c r="I13" s="163"/>
      <c r="J13" s="178"/>
      <c r="K13" s="177"/>
      <c r="L13" s="139"/>
      <c r="M13" s="139"/>
      <c r="N13" s="74">
        <f>SUM(Tabla336106734826[No. of Rs])</f>
        <v>-2.31</v>
      </c>
      <c r="O13" s="42">
        <f>SUM(Tabla336106734826[Heat])</f>
        <v>0</v>
      </c>
      <c r="P13" s="43">
        <f>SUM(Tabla336106734826[[ TR WIN]])</f>
        <v>4.7</v>
      </c>
      <c r="Q13" s="43">
        <f>SUM(Tabla336106734826[[ TR LOSS]])</f>
        <v>-7.0100000000000007</v>
      </c>
      <c r="R13" s="114"/>
      <c r="S13" s="115"/>
      <c r="T13" s="115"/>
      <c r="U13" s="121"/>
      <c r="V13" s="44">
        <f>SUM(Tabla336106734826[Currency])</f>
        <v>0</v>
      </c>
      <c r="W13" s="44">
        <f>SUM(Tabla336106734826[Heat3])</f>
        <v>0</v>
      </c>
      <c r="X13" s="44">
        <f>SUM(Tabla336106734826[Commodities])</f>
        <v>0</v>
      </c>
      <c r="Y13" s="44">
        <f>SUM(Tabla336106734826[Heat4])</f>
        <v>0</v>
      </c>
      <c r="Z13" s="44">
        <f>SUM(Tabla336106734826[Index])</f>
        <v>0</v>
      </c>
      <c r="AA13" s="44">
        <f>SUM(Tabla336106734826[Heat5])</f>
        <v>0</v>
      </c>
      <c r="AB13" s="44">
        <f>SUM(Tabla336106734826[Cryptocurrency])</f>
        <v>-2.31</v>
      </c>
      <c r="AC13" s="44">
        <f>SUM(Tabla336106734826[Heat6])</f>
        <v>0</v>
      </c>
      <c r="AD13" s="75">
        <f>AVERAGEIF(Tabla336106734826[Length of 
Trade],"&lt;&gt;0")</f>
        <v>4.0785984848493664</v>
      </c>
      <c r="AE13" s="75">
        <f>AVERAGEIF(Tabla336106734826[Win],"&lt;&gt;0")</f>
        <v>18.22187500000291</v>
      </c>
      <c r="AF13" s="75">
        <f>AVERAGEIF(Tabla336106734826[Loss],"&lt;&gt;0")</f>
        <v>0.93564814814857933</v>
      </c>
      <c r="AG13" s="76" t="e">
        <f>AVERAGEIF(Tabla336106734826[Breakeven],"&lt;&gt;0")</f>
        <v>#DIV/0!</v>
      </c>
      <c r="AP13" s="111"/>
      <c r="AV13" s="110" t="s">
        <v>11</v>
      </c>
    </row>
    <row r="14" spans="1:48" ht="15" customHeight="1" thickBot="1" x14ac:dyDescent="0.4">
      <c r="B14" s="139"/>
      <c r="C14" s="140"/>
      <c r="D14" s="139"/>
      <c r="E14" s="149"/>
      <c r="F14" s="151"/>
      <c r="G14" s="179"/>
      <c r="H14" s="179"/>
      <c r="I14" s="179"/>
      <c r="J14" s="179"/>
      <c r="K14" s="180"/>
      <c r="L14" s="151"/>
      <c r="M14" s="151"/>
      <c r="N14" s="151"/>
      <c r="O14" s="151"/>
      <c r="P14" s="151"/>
      <c r="Q14" s="151"/>
      <c r="R14" s="151"/>
      <c r="S14" s="152"/>
      <c r="T14" s="152"/>
      <c r="U14" s="153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</row>
    <row r="15" spans="1:48" s="112" customFormat="1" ht="30.75" thickBot="1" x14ac:dyDescent="0.25">
      <c r="A15" s="140"/>
      <c r="B15" s="45" t="s">
        <v>29</v>
      </c>
      <c r="C15" s="46" t="s">
        <v>28</v>
      </c>
      <c r="D15" s="45" t="s">
        <v>35</v>
      </c>
      <c r="E15" s="135" t="s">
        <v>59</v>
      </c>
      <c r="F15" s="47" t="s">
        <v>27</v>
      </c>
      <c r="G15" s="48" t="s">
        <v>55</v>
      </c>
      <c r="H15" s="49" t="s">
        <v>56</v>
      </c>
      <c r="I15" s="50" t="s">
        <v>45</v>
      </c>
      <c r="J15" s="50" t="s">
        <v>52</v>
      </c>
      <c r="K15" s="127" t="s">
        <v>57</v>
      </c>
      <c r="L15" s="49" t="s">
        <v>58</v>
      </c>
      <c r="M15" s="51" t="s">
        <v>22</v>
      </c>
      <c r="N15" s="51" t="s">
        <v>30</v>
      </c>
      <c r="O15" s="52" t="s">
        <v>36</v>
      </c>
      <c r="P15" s="53" t="s">
        <v>43</v>
      </c>
      <c r="Q15" s="54" t="s">
        <v>44</v>
      </c>
      <c r="R15" s="119" t="s">
        <v>109</v>
      </c>
      <c r="S15" s="116" t="s">
        <v>104</v>
      </c>
      <c r="T15" s="126" t="s">
        <v>107</v>
      </c>
      <c r="U15" s="122" t="s">
        <v>105</v>
      </c>
      <c r="V15" s="55" t="s">
        <v>21</v>
      </c>
      <c r="W15" s="52" t="s">
        <v>36</v>
      </c>
      <c r="X15" s="55" t="s">
        <v>20</v>
      </c>
      <c r="Y15" s="52" t="s">
        <v>36</v>
      </c>
      <c r="Z15" s="55" t="s">
        <v>18</v>
      </c>
      <c r="AA15" s="52" t="s">
        <v>36</v>
      </c>
      <c r="AB15" s="55" t="s">
        <v>86</v>
      </c>
      <c r="AC15" s="52" t="s">
        <v>36</v>
      </c>
      <c r="AD15" s="56" t="s">
        <v>38</v>
      </c>
      <c r="AE15" s="57" t="s">
        <v>39</v>
      </c>
      <c r="AF15" s="58" t="s">
        <v>40</v>
      </c>
      <c r="AG15" s="59" t="s">
        <v>41</v>
      </c>
      <c r="AH15" s="140"/>
      <c r="AI15" s="109"/>
    </row>
    <row r="16" spans="1:48" s="112" customFormat="1" ht="30" hidden="1" x14ac:dyDescent="0.2">
      <c r="A16" s="140"/>
      <c r="B16" s="60" t="s">
        <v>29</v>
      </c>
      <c r="C16" s="61" t="s">
        <v>28</v>
      </c>
      <c r="D16" s="62" t="s">
        <v>35</v>
      </c>
      <c r="E16" s="136" t="s">
        <v>24</v>
      </c>
      <c r="F16" s="61" t="s">
        <v>27</v>
      </c>
      <c r="G16" s="61" t="s">
        <v>26</v>
      </c>
      <c r="H16" s="63" t="s">
        <v>25</v>
      </c>
      <c r="I16" s="64" t="s">
        <v>45</v>
      </c>
      <c r="J16" s="65" t="s">
        <v>52</v>
      </c>
      <c r="K16" s="128" t="s">
        <v>48</v>
      </c>
      <c r="L16" s="61" t="s">
        <v>23</v>
      </c>
      <c r="M16" s="66" t="s">
        <v>22</v>
      </c>
      <c r="N16" s="67" t="s">
        <v>30</v>
      </c>
      <c r="O16" s="68" t="s">
        <v>36</v>
      </c>
      <c r="P16" s="69" t="s">
        <v>43</v>
      </c>
      <c r="Q16" s="69" t="s">
        <v>44</v>
      </c>
      <c r="R16" s="120" t="s">
        <v>109</v>
      </c>
      <c r="S16" s="117" t="s">
        <v>104</v>
      </c>
      <c r="T16" s="117" t="s">
        <v>107</v>
      </c>
      <c r="U16" s="123" t="s">
        <v>105</v>
      </c>
      <c r="V16" s="70" t="s">
        <v>21</v>
      </c>
      <c r="W16" s="68" t="s">
        <v>49</v>
      </c>
      <c r="X16" s="70" t="s">
        <v>20</v>
      </c>
      <c r="Y16" s="68" t="s">
        <v>50</v>
      </c>
      <c r="Z16" s="70" t="s">
        <v>18</v>
      </c>
      <c r="AA16" s="68" t="s">
        <v>51</v>
      </c>
      <c r="AB16" s="70" t="s">
        <v>86</v>
      </c>
      <c r="AC16" s="68" t="s">
        <v>103</v>
      </c>
      <c r="AD16" s="71" t="s">
        <v>38</v>
      </c>
      <c r="AE16" s="71" t="s">
        <v>39</v>
      </c>
      <c r="AF16" s="72" t="s">
        <v>40</v>
      </c>
      <c r="AG16" s="73" t="s">
        <v>41</v>
      </c>
      <c r="AH16" s="176"/>
      <c r="AI16" s="109"/>
    </row>
    <row r="17" spans="2:33" ht="15" customHeight="1" x14ac:dyDescent="0.3">
      <c r="B17" s="196" t="s">
        <v>84</v>
      </c>
      <c r="C17" s="197" t="s">
        <v>15</v>
      </c>
      <c r="D17" s="198" t="str">
        <f t="shared" ref="D17:D27" si="0">IF(E17&lt;&gt;"",IF(K17&lt;&gt;"","C","O"),"")</f>
        <v>C</v>
      </c>
      <c r="E17" s="199">
        <v>43648.833333333336</v>
      </c>
      <c r="F17" s="200" t="s">
        <v>82</v>
      </c>
      <c r="G17" s="201">
        <v>288.01</v>
      </c>
      <c r="H17" s="201">
        <v>270.45</v>
      </c>
      <c r="I17" s="202">
        <f t="shared" ref="I17:I27" si="1">ABS(G17-H17)</f>
        <v>17.560000000000002</v>
      </c>
      <c r="J17" s="201">
        <v>615.75</v>
      </c>
      <c r="K17" s="199">
        <v>43651.081944444442</v>
      </c>
      <c r="L17" s="201">
        <v>284.51</v>
      </c>
      <c r="M17" s="203">
        <f t="shared" ref="M17:M27" si="2">ROUND(IF(C17="L",(L17-G17),(G17-L17)),4)</f>
        <v>-3.5</v>
      </c>
      <c r="N17" s="204">
        <f t="shared" ref="N17:N27" si="3">IFERROR(ROUND((M17/I17),2),"")</f>
        <v>-0.2</v>
      </c>
      <c r="O17" s="205">
        <f t="shared" ref="O17:O27" si="4">IF(D17="O",IF(N17&lt;0,N17,0),0)</f>
        <v>0</v>
      </c>
      <c r="P17" s="206">
        <f t="shared" ref="P17:P27" si="5">IF(N17&gt;= 0,N17,0)</f>
        <v>0</v>
      </c>
      <c r="Q17" s="206">
        <f t="shared" ref="Q17:Q27" si="6">IF(N17&lt;0,N17,0)</f>
        <v>-0.2</v>
      </c>
      <c r="R17" s="206" t="str">
        <f ca="1">IF(AND(OFFSET(Tabla336106734826[[#This Row],[Equity]],1,0)="",Tabla336106734826[[#This Row],[No. of Rs]]&lt;0),"Yes",IF(AND(OFFSET(Tabla336106734826[[#This Row],[Initial Losing Trade]],1,0)="Yes",Tabla336106734826[[#This Row],[No. of Rs]]&lt;0),"Yes","No"))</f>
        <v>No</v>
      </c>
      <c r="S17" s="207">
        <f ca="1">IF(OFFSET(Tabla336106734826[[#This Row],[Equity]],1,0)="",IF(Tabla336106734826[[#This Row],[No. of Rs]]="",$F$11,$F$11+($F$11*Tabla336106734826[[#This Row],[No. of Rs]]/100)),IF(Tabla336106734826[[#This Row],[No. of Rs]]="",OFFSET(Tabla336106734826[[#This Row],[Equity]],1,0),OFFSET(Tabla336106734826[[#This Row],[Equity]],1,0)+($F$11*Tabla336106734826[[#This Row],[No. of Rs]]/100)))</f>
        <v>97690</v>
      </c>
      <c r="T17" s="207">
        <f ca="1">IF(OFFSET(Tabla336106734826[[#This Row],[Equity Peak]],1,0)="",IF(Tabla336106734826[[#This Row],[Initial Losing Trade]]="Yes",$F$11,Tabla336106734826[[#This Row],[Equity]]),IF(OFFSET(Tabla336106734826[[#This Row],[Equity Peak]],1,0)&gt;Tabla336106734826[[#This Row],[Equity]],OFFSET(Tabla336106734826[[#This Row],[Equity Peak]],1,0),Tabla336106734826[[#This Row],[Equity]]))</f>
        <v>100020</v>
      </c>
      <c r="U17" s="208">
        <f ca="1">IF(Tabla336106734826[[#This Row],[Equity]]&lt;Tabla336106734826[[#This Row],[Equity Peak]],(Tabla336106734826[[#This Row],[Equity Peak]]-Tabla336106734826[[#This Row],[Equity]])/Tabla336106734826[[#This Row],[Equity Peak]],"")</f>
        <v>2.3295340931813638E-2</v>
      </c>
      <c r="V17" s="209">
        <f t="shared" ref="V17:V27" si="7">IF(B17="FX",N17,0)</f>
        <v>0</v>
      </c>
      <c r="W17" s="209">
        <f t="shared" ref="W17:W27" si="8">IF(D17="O",IF(V17&lt;0,V17,0),0)</f>
        <v>0</v>
      </c>
      <c r="X17" s="209">
        <f t="shared" ref="X17:X27" si="9">IF(B17="COM",N17,0)</f>
        <v>0</v>
      </c>
      <c r="Y17" s="209">
        <f t="shared" ref="Y17:Y27" si="10">IF(D17="O",IF(X17&lt;0,X17,0),0)</f>
        <v>0</v>
      </c>
      <c r="Z17" s="209">
        <f t="shared" ref="Z17:Z27" si="11">IF(B17="IND",N17,0)</f>
        <v>0</v>
      </c>
      <c r="AA17" s="205">
        <f t="shared" ref="AA17:AA27" si="12">IF(D17="O",IF(Z17&lt;0,Z17,0),0)</f>
        <v>0</v>
      </c>
      <c r="AB17" s="209">
        <f t="shared" ref="AB17:AB27" si="13">IF(B17="CRYPTO",N17,0)</f>
        <v>-0.2</v>
      </c>
      <c r="AC17" s="205">
        <f t="shared" ref="AC17:AC27" si="14">IF(D17="O",IF(AB17&lt;0,AB17,0),0)</f>
        <v>0</v>
      </c>
      <c r="AD17" s="210">
        <f t="shared" ref="AD17:AD27" si="15">IF(K17&lt;&gt;"",K17-E17,0)</f>
        <v>2.2486111111065838</v>
      </c>
      <c r="AE17" s="210">
        <f t="shared" ref="AE17:AE27" si="16">IF(N17&gt;0,AD17,0)</f>
        <v>0</v>
      </c>
      <c r="AF17" s="210">
        <f t="shared" ref="AF17:AF27" si="17">IF(N17&lt;0,AD17,0)</f>
        <v>2.2486111111065838</v>
      </c>
      <c r="AG17" s="210">
        <f t="shared" ref="AG17:AG27" si="18">IF(N17=0,AD17,0)</f>
        <v>0</v>
      </c>
    </row>
    <row r="18" spans="2:33" ht="15" customHeight="1" x14ac:dyDescent="0.3">
      <c r="B18" s="196" t="s">
        <v>84</v>
      </c>
      <c r="C18" s="197" t="s">
        <v>15</v>
      </c>
      <c r="D18" s="198" t="str">
        <f t="shared" si="0"/>
        <v>C</v>
      </c>
      <c r="E18" s="199">
        <v>43628.333333333336</v>
      </c>
      <c r="F18" s="200" t="s">
        <v>82</v>
      </c>
      <c r="G18" s="201">
        <v>250.4</v>
      </c>
      <c r="H18" s="201">
        <v>240.18</v>
      </c>
      <c r="I18" s="202">
        <f t="shared" si="1"/>
        <v>10.219999999999999</v>
      </c>
      <c r="J18" s="201">
        <v>441.22</v>
      </c>
      <c r="K18" s="199">
        <v>43648.833333333336</v>
      </c>
      <c r="L18" s="201">
        <v>288.01</v>
      </c>
      <c r="M18" s="203">
        <f t="shared" si="2"/>
        <v>37.61</v>
      </c>
      <c r="N18" s="204">
        <f t="shared" si="3"/>
        <v>3.68</v>
      </c>
      <c r="O18" s="205">
        <f t="shared" si="4"/>
        <v>0</v>
      </c>
      <c r="P18" s="206">
        <f t="shared" si="5"/>
        <v>3.68</v>
      </c>
      <c r="Q18" s="206">
        <f t="shared" si="6"/>
        <v>0</v>
      </c>
      <c r="R18" s="206" t="str">
        <f ca="1">IF(AND(OFFSET(Tabla336106734826[[#This Row],[Equity]],1,0)="",Tabla336106734826[[#This Row],[No. of Rs]]&lt;0),"Yes",IF(AND(OFFSET(Tabla336106734826[[#This Row],[Initial Losing Trade]],1,0)="Yes",Tabla336106734826[[#This Row],[No. of Rs]]&lt;0),"Yes","No"))</f>
        <v>No</v>
      </c>
      <c r="S18" s="207">
        <f ca="1">IF(OFFSET(Tabla336106734826[[#This Row],[Equity]],1,0)="",IF(Tabla336106734826[[#This Row],[No. of Rs]]="",$F$11,$F$11+($F$11*Tabla336106734826[[#This Row],[No. of Rs]]/100)),IF(Tabla336106734826[[#This Row],[No. of Rs]]="",OFFSET(Tabla336106734826[[#This Row],[Equity]],1,0),OFFSET(Tabla336106734826[[#This Row],[Equity]],1,0)+($F$11*Tabla336106734826[[#This Row],[No. of Rs]]/100)))</f>
        <v>97890</v>
      </c>
      <c r="T18" s="207">
        <f ca="1">IF(OFFSET(Tabla336106734826[[#This Row],[Equity Peak]],1,0)="",IF(Tabla336106734826[[#This Row],[Initial Losing Trade]]="Yes",$F$11,Tabla336106734826[[#This Row],[Equity]]),IF(OFFSET(Tabla336106734826[[#This Row],[Equity Peak]],1,0)&gt;Tabla336106734826[[#This Row],[Equity]],OFFSET(Tabla336106734826[[#This Row],[Equity Peak]],1,0),Tabla336106734826[[#This Row],[Equity]]))</f>
        <v>100020</v>
      </c>
      <c r="U18" s="208">
        <f ca="1">IF(Tabla336106734826[[#This Row],[Equity]]&lt;Tabla336106734826[[#This Row],[Equity Peak]],(Tabla336106734826[[#This Row],[Equity Peak]]-Tabla336106734826[[#This Row],[Equity]])/Tabla336106734826[[#This Row],[Equity Peak]],"")</f>
        <v>2.1295740851829635E-2</v>
      </c>
      <c r="V18" s="209">
        <f t="shared" si="7"/>
        <v>0</v>
      </c>
      <c r="W18" s="209">
        <f t="shared" si="8"/>
        <v>0</v>
      </c>
      <c r="X18" s="209">
        <f t="shared" si="9"/>
        <v>0</v>
      </c>
      <c r="Y18" s="209">
        <f t="shared" si="10"/>
        <v>0</v>
      </c>
      <c r="Z18" s="209">
        <f t="shared" si="11"/>
        <v>0</v>
      </c>
      <c r="AA18" s="205">
        <f t="shared" si="12"/>
        <v>0</v>
      </c>
      <c r="AB18" s="209">
        <f t="shared" si="13"/>
        <v>3.68</v>
      </c>
      <c r="AC18" s="205">
        <f t="shared" si="14"/>
        <v>0</v>
      </c>
      <c r="AD18" s="210">
        <f t="shared" si="15"/>
        <v>20.5</v>
      </c>
      <c r="AE18" s="210">
        <f t="shared" si="16"/>
        <v>20.5</v>
      </c>
      <c r="AF18" s="210">
        <f t="shared" si="17"/>
        <v>0</v>
      </c>
      <c r="AG18" s="210">
        <f t="shared" si="18"/>
        <v>0</v>
      </c>
    </row>
    <row r="19" spans="2:33" ht="15" customHeight="1" x14ac:dyDescent="0.3">
      <c r="B19" s="196" t="s">
        <v>84</v>
      </c>
      <c r="C19" s="197" t="s">
        <v>13</v>
      </c>
      <c r="D19" s="198" t="str">
        <f t="shared" si="0"/>
        <v>C</v>
      </c>
      <c r="E19" s="199">
        <v>43627.666666666664</v>
      </c>
      <c r="F19" s="200" t="s">
        <v>82</v>
      </c>
      <c r="G19" s="201">
        <v>239.59</v>
      </c>
      <c r="H19" s="201">
        <v>249.53</v>
      </c>
      <c r="I19" s="202">
        <f t="shared" si="1"/>
        <v>9.9399999999999977</v>
      </c>
      <c r="J19" s="201">
        <v>54.05</v>
      </c>
      <c r="K19" s="199">
        <v>43628.039583333331</v>
      </c>
      <c r="L19" s="201">
        <v>249.53</v>
      </c>
      <c r="M19" s="203">
        <f t="shared" si="2"/>
        <v>-9.94</v>
      </c>
      <c r="N19" s="204">
        <f t="shared" si="3"/>
        <v>-1</v>
      </c>
      <c r="O19" s="205">
        <f t="shared" si="4"/>
        <v>0</v>
      </c>
      <c r="P19" s="206">
        <f t="shared" si="5"/>
        <v>0</v>
      </c>
      <c r="Q19" s="206">
        <f t="shared" si="6"/>
        <v>-1</v>
      </c>
      <c r="R19" s="206" t="str">
        <f ca="1">IF(AND(OFFSET(Tabla336106734826[[#This Row],[Equity]],1,0)="",Tabla336106734826[[#This Row],[No. of Rs]]&lt;0),"Yes",IF(AND(OFFSET(Tabla336106734826[[#This Row],[Initial Losing Trade]],1,0)="Yes",Tabla336106734826[[#This Row],[No. of Rs]]&lt;0),"Yes","No"))</f>
        <v>No</v>
      </c>
      <c r="S19" s="207">
        <f ca="1">IF(OFFSET(Tabla336106734826[[#This Row],[Equity]],1,0)="",IF(Tabla336106734826[[#This Row],[No. of Rs]]="",$F$11,$F$11+($F$11*Tabla336106734826[[#This Row],[No. of Rs]]/100)),IF(Tabla336106734826[[#This Row],[No. of Rs]]="",OFFSET(Tabla336106734826[[#This Row],[Equity]],1,0),OFFSET(Tabla336106734826[[#This Row],[Equity]],1,0)+($F$11*Tabla336106734826[[#This Row],[No. of Rs]]/100)))</f>
        <v>94210</v>
      </c>
      <c r="T19" s="207">
        <f ca="1">IF(OFFSET(Tabla336106734826[[#This Row],[Equity Peak]],1,0)="",IF(Tabla336106734826[[#This Row],[Initial Losing Trade]]="Yes",$F$11,Tabla336106734826[[#This Row],[Equity]]),IF(OFFSET(Tabla336106734826[[#This Row],[Equity Peak]],1,0)&gt;Tabla336106734826[[#This Row],[Equity]],OFFSET(Tabla336106734826[[#This Row],[Equity Peak]],1,0),Tabla336106734826[[#This Row],[Equity]]))</f>
        <v>100020</v>
      </c>
      <c r="U19" s="208">
        <f ca="1">IF(Tabla336106734826[[#This Row],[Equity]]&lt;Tabla336106734826[[#This Row],[Equity Peak]],(Tabla336106734826[[#This Row],[Equity Peak]]-Tabla336106734826[[#This Row],[Equity]])/Tabla336106734826[[#This Row],[Equity Peak]],"")</f>
        <v>5.808838232353529E-2</v>
      </c>
      <c r="V19" s="209">
        <f t="shared" si="7"/>
        <v>0</v>
      </c>
      <c r="W19" s="209">
        <f t="shared" si="8"/>
        <v>0</v>
      </c>
      <c r="X19" s="209">
        <f t="shared" si="9"/>
        <v>0</v>
      </c>
      <c r="Y19" s="209">
        <f t="shared" si="10"/>
        <v>0</v>
      </c>
      <c r="Z19" s="209">
        <f t="shared" si="11"/>
        <v>0</v>
      </c>
      <c r="AA19" s="205">
        <f t="shared" si="12"/>
        <v>0</v>
      </c>
      <c r="AB19" s="209">
        <f t="shared" si="13"/>
        <v>-1</v>
      </c>
      <c r="AC19" s="205">
        <f t="shared" si="14"/>
        <v>0</v>
      </c>
      <c r="AD19" s="210">
        <f t="shared" si="15"/>
        <v>0.37291666666715173</v>
      </c>
      <c r="AE19" s="210">
        <f t="shared" si="16"/>
        <v>0</v>
      </c>
      <c r="AF19" s="210">
        <f t="shared" si="17"/>
        <v>0.37291666666715173</v>
      </c>
      <c r="AG19" s="210">
        <f t="shared" si="18"/>
        <v>0</v>
      </c>
    </row>
    <row r="20" spans="2:33" ht="15" customHeight="1" x14ac:dyDescent="0.3">
      <c r="B20" s="196" t="s">
        <v>84</v>
      </c>
      <c r="C20" s="197" t="s">
        <v>15</v>
      </c>
      <c r="D20" s="198" t="str">
        <f t="shared" si="0"/>
        <v>C</v>
      </c>
      <c r="E20" s="199">
        <v>43627.166666666664</v>
      </c>
      <c r="F20" s="200" t="s">
        <v>82</v>
      </c>
      <c r="G20" s="201">
        <v>248.76</v>
      </c>
      <c r="H20" s="201">
        <v>238.15</v>
      </c>
      <c r="I20" s="202">
        <f t="shared" si="1"/>
        <v>10.609999999999985</v>
      </c>
      <c r="J20" s="201">
        <v>446.88</v>
      </c>
      <c r="K20" s="199">
        <v>43627.609027777777</v>
      </c>
      <c r="L20" s="201">
        <v>238.15</v>
      </c>
      <c r="M20" s="203">
        <f t="shared" si="2"/>
        <v>-10.61</v>
      </c>
      <c r="N20" s="204">
        <f t="shared" si="3"/>
        <v>-1</v>
      </c>
      <c r="O20" s="205">
        <f t="shared" si="4"/>
        <v>0</v>
      </c>
      <c r="P20" s="206">
        <f t="shared" si="5"/>
        <v>0</v>
      </c>
      <c r="Q20" s="206">
        <f t="shared" si="6"/>
        <v>-1</v>
      </c>
      <c r="R20" s="206" t="str">
        <f ca="1">IF(AND(OFFSET(Tabla336106734826[[#This Row],[Equity]],1,0)="",Tabla336106734826[[#This Row],[No. of Rs]]&lt;0),"Yes",IF(AND(OFFSET(Tabla336106734826[[#This Row],[Initial Losing Trade]],1,0)="Yes",Tabla336106734826[[#This Row],[No. of Rs]]&lt;0),"Yes","No"))</f>
        <v>No</v>
      </c>
      <c r="S20" s="207">
        <f ca="1">IF(OFFSET(Tabla336106734826[[#This Row],[Equity]],1,0)="",IF(Tabla336106734826[[#This Row],[No. of Rs]]="",$F$11,$F$11+($F$11*Tabla336106734826[[#This Row],[No. of Rs]]/100)),IF(Tabla336106734826[[#This Row],[No. of Rs]]="",OFFSET(Tabla336106734826[[#This Row],[Equity]],1,0),OFFSET(Tabla336106734826[[#This Row],[Equity]],1,0)+($F$11*Tabla336106734826[[#This Row],[No. of Rs]]/100)))</f>
        <v>95210</v>
      </c>
      <c r="T20" s="207">
        <f ca="1">IF(OFFSET(Tabla336106734826[[#This Row],[Equity Peak]],1,0)="",IF(Tabla336106734826[[#This Row],[Initial Losing Trade]]="Yes",$F$11,Tabla336106734826[[#This Row],[Equity]]),IF(OFFSET(Tabla336106734826[[#This Row],[Equity Peak]],1,0)&gt;Tabla336106734826[[#This Row],[Equity]],OFFSET(Tabla336106734826[[#This Row],[Equity Peak]],1,0),Tabla336106734826[[#This Row],[Equity]]))</f>
        <v>100020</v>
      </c>
      <c r="U20" s="208">
        <f ca="1">IF(Tabla336106734826[[#This Row],[Equity]]&lt;Tabla336106734826[[#This Row],[Equity Peak]],(Tabla336106734826[[#This Row],[Equity Peak]]-Tabla336106734826[[#This Row],[Equity]])/Tabla336106734826[[#This Row],[Equity Peak]],"")</f>
        <v>4.8090381923615276E-2</v>
      </c>
      <c r="V20" s="209">
        <f t="shared" si="7"/>
        <v>0</v>
      </c>
      <c r="W20" s="209">
        <f t="shared" si="8"/>
        <v>0</v>
      </c>
      <c r="X20" s="209">
        <f t="shared" si="9"/>
        <v>0</v>
      </c>
      <c r="Y20" s="209">
        <f t="shared" si="10"/>
        <v>0</v>
      </c>
      <c r="Z20" s="209">
        <f t="shared" si="11"/>
        <v>0</v>
      </c>
      <c r="AA20" s="205">
        <f t="shared" si="12"/>
        <v>0</v>
      </c>
      <c r="AB20" s="209">
        <f t="shared" si="13"/>
        <v>-1</v>
      </c>
      <c r="AC20" s="205">
        <f t="shared" si="14"/>
        <v>0</v>
      </c>
      <c r="AD20" s="210">
        <f t="shared" si="15"/>
        <v>0.44236111111240461</v>
      </c>
      <c r="AE20" s="210">
        <f t="shared" si="16"/>
        <v>0</v>
      </c>
      <c r="AF20" s="210">
        <f t="shared" si="17"/>
        <v>0.44236111111240461</v>
      </c>
      <c r="AG20" s="210">
        <f t="shared" si="18"/>
        <v>0</v>
      </c>
    </row>
    <row r="21" spans="2:33" ht="15" customHeight="1" x14ac:dyDescent="0.3">
      <c r="B21" s="196" t="s">
        <v>84</v>
      </c>
      <c r="C21" s="197" t="s">
        <v>13</v>
      </c>
      <c r="D21" s="198" t="str">
        <f t="shared" si="0"/>
        <v>C</v>
      </c>
      <c r="E21" s="199">
        <v>43626.166666666664</v>
      </c>
      <c r="F21" s="200" t="s">
        <v>82</v>
      </c>
      <c r="G21" s="201">
        <v>232.73</v>
      </c>
      <c r="H21" s="201">
        <v>242.41</v>
      </c>
      <c r="I21" s="202">
        <f t="shared" si="1"/>
        <v>9.6800000000000068</v>
      </c>
      <c r="J21" s="201">
        <v>51.99</v>
      </c>
      <c r="K21" s="199">
        <v>43626.576388888891</v>
      </c>
      <c r="L21" s="201">
        <v>242.39</v>
      </c>
      <c r="M21" s="203">
        <f t="shared" si="2"/>
        <v>-9.66</v>
      </c>
      <c r="N21" s="204">
        <f t="shared" si="3"/>
        <v>-1</v>
      </c>
      <c r="O21" s="205">
        <f t="shared" si="4"/>
        <v>0</v>
      </c>
      <c r="P21" s="206">
        <f t="shared" si="5"/>
        <v>0</v>
      </c>
      <c r="Q21" s="206">
        <f t="shared" si="6"/>
        <v>-1</v>
      </c>
      <c r="R21" s="206" t="str">
        <f ca="1">IF(AND(OFFSET(Tabla336106734826[[#This Row],[Equity]],1,0)="",Tabla336106734826[[#This Row],[No. of Rs]]&lt;0),"Yes",IF(AND(OFFSET(Tabla336106734826[[#This Row],[Initial Losing Trade]],1,0)="Yes",Tabla336106734826[[#This Row],[No. of Rs]]&lt;0),"Yes","No"))</f>
        <v>No</v>
      </c>
      <c r="S21" s="207">
        <f ca="1">IF(OFFSET(Tabla336106734826[[#This Row],[Equity]],1,0)="",IF(Tabla336106734826[[#This Row],[No. of Rs]]="",$F$11,$F$11+($F$11*Tabla336106734826[[#This Row],[No. of Rs]]/100)),IF(Tabla336106734826[[#This Row],[No. of Rs]]="",OFFSET(Tabla336106734826[[#This Row],[Equity]],1,0),OFFSET(Tabla336106734826[[#This Row],[Equity]],1,0)+($F$11*Tabla336106734826[[#This Row],[No. of Rs]]/100)))</f>
        <v>96210</v>
      </c>
      <c r="T21" s="207">
        <f ca="1">IF(OFFSET(Tabla336106734826[[#This Row],[Equity Peak]],1,0)="",IF(Tabla336106734826[[#This Row],[Initial Losing Trade]]="Yes",$F$11,Tabla336106734826[[#This Row],[Equity]]),IF(OFFSET(Tabla336106734826[[#This Row],[Equity Peak]],1,0)&gt;Tabla336106734826[[#This Row],[Equity]],OFFSET(Tabla336106734826[[#This Row],[Equity Peak]],1,0),Tabla336106734826[[#This Row],[Equity]]))</f>
        <v>100020</v>
      </c>
      <c r="U21" s="208">
        <f ca="1">IF(Tabla336106734826[[#This Row],[Equity]]&lt;Tabla336106734826[[#This Row],[Equity Peak]],(Tabla336106734826[[#This Row],[Equity Peak]]-Tabla336106734826[[#This Row],[Equity]])/Tabla336106734826[[#This Row],[Equity Peak]],"")</f>
        <v>3.8092381523695262E-2</v>
      </c>
      <c r="V21" s="209">
        <f t="shared" si="7"/>
        <v>0</v>
      </c>
      <c r="W21" s="209">
        <f t="shared" si="8"/>
        <v>0</v>
      </c>
      <c r="X21" s="209">
        <f t="shared" si="9"/>
        <v>0</v>
      </c>
      <c r="Y21" s="209">
        <f t="shared" si="10"/>
        <v>0</v>
      </c>
      <c r="Z21" s="209">
        <f t="shared" si="11"/>
        <v>0</v>
      </c>
      <c r="AA21" s="205">
        <f t="shared" si="12"/>
        <v>0</v>
      </c>
      <c r="AB21" s="209">
        <f t="shared" si="13"/>
        <v>-1</v>
      </c>
      <c r="AC21" s="205">
        <f t="shared" si="14"/>
        <v>0</v>
      </c>
      <c r="AD21" s="210">
        <f t="shared" si="15"/>
        <v>0.40972222222626442</v>
      </c>
      <c r="AE21" s="210">
        <f t="shared" si="16"/>
        <v>0</v>
      </c>
      <c r="AF21" s="210">
        <f t="shared" si="17"/>
        <v>0.40972222222626442</v>
      </c>
      <c r="AG21" s="210">
        <f t="shared" si="18"/>
        <v>0</v>
      </c>
    </row>
    <row r="22" spans="2:33" ht="15" customHeight="1" x14ac:dyDescent="0.3">
      <c r="B22" s="196" t="s">
        <v>84</v>
      </c>
      <c r="C22" s="197" t="s">
        <v>15</v>
      </c>
      <c r="D22" s="198" t="str">
        <f t="shared" si="0"/>
        <v>C</v>
      </c>
      <c r="E22" s="199">
        <v>43623.166666666664</v>
      </c>
      <c r="F22" s="200" t="s">
        <v>82</v>
      </c>
      <c r="G22" s="201">
        <v>248.94</v>
      </c>
      <c r="H22" s="201">
        <v>239.06</v>
      </c>
      <c r="I22" s="202">
        <f t="shared" si="1"/>
        <v>9.8799999999999955</v>
      </c>
      <c r="J22" s="201">
        <v>433.4</v>
      </c>
      <c r="K22" s="199">
        <v>43626</v>
      </c>
      <c r="L22" s="201">
        <v>243.83</v>
      </c>
      <c r="M22" s="203">
        <f t="shared" si="2"/>
        <v>-5.1100000000000003</v>
      </c>
      <c r="N22" s="204">
        <f t="shared" si="3"/>
        <v>-0.52</v>
      </c>
      <c r="O22" s="205">
        <f t="shared" si="4"/>
        <v>0</v>
      </c>
      <c r="P22" s="206">
        <f t="shared" si="5"/>
        <v>0</v>
      </c>
      <c r="Q22" s="206">
        <f t="shared" si="6"/>
        <v>-0.52</v>
      </c>
      <c r="R22" s="206" t="str">
        <f ca="1">IF(AND(OFFSET(Tabla336106734826[[#This Row],[Equity]],1,0)="",Tabla336106734826[[#This Row],[No. of Rs]]&lt;0),"Yes",IF(AND(OFFSET(Tabla336106734826[[#This Row],[Initial Losing Trade]],1,0)="Yes",Tabla336106734826[[#This Row],[No. of Rs]]&lt;0),"Yes","No"))</f>
        <v>No</v>
      </c>
      <c r="S22" s="207">
        <f ca="1">IF(OFFSET(Tabla336106734826[[#This Row],[Equity]],1,0)="",IF(Tabla336106734826[[#This Row],[No. of Rs]]="",$F$11,$F$11+($F$11*Tabla336106734826[[#This Row],[No. of Rs]]/100)),IF(Tabla336106734826[[#This Row],[No. of Rs]]="",OFFSET(Tabla336106734826[[#This Row],[Equity]],1,0),OFFSET(Tabla336106734826[[#This Row],[Equity]],1,0)+($F$11*Tabla336106734826[[#This Row],[No. of Rs]]/100)))</f>
        <v>97210</v>
      </c>
      <c r="T22" s="207">
        <f ca="1">IF(OFFSET(Tabla336106734826[[#This Row],[Equity Peak]],1,0)="",IF(Tabla336106734826[[#This Row],[Initial Losing Trade]]="Yes",$F$11,Tabla336106734826[[#This Row],[Equity]]),IF(OFFSET(Tabla336106734826[[#This Row],[Equity Peak]],1,0)&gt;Tabla336106734826[[#This Row],[Equity]],OFFSET(Tabla336106734826[[#This Row],[Equity Peak]],1,0),Tabla336106734826[[#This Row],[Equity]]))</f>
        <v>100020</v>
      </c>
      <c r="U22" s="208">
        <f ca="1">IF(Tabla336106734826[[#This Row],[Equity]]&lt;Tabla336106734826[[#This Row],[Equity Peak]],(Tabla336106734826[[#This Row],[Equity Peak]]-Tabla336106734826[[#This Row],[Equity]])/Tabla336106734826[[#This Row],[Equity Peak]],"")</f>
        <v>2.8094381123775245E-2</v>
      </c>
      <c r="V22" s="209">
        <f t="shared" si="7"/>
        <v>0</v>
      </c>
      <c r="W22" s="209">
        <f t="shared" si="8"/>
        <v>0</v>
      </c>
      <c r="X22" s="209">
        <f t="shared" si="9"/>
        <v>0</v>
      </c>
      <c r="Y22" s="209">
        <f t="shared" si="10"/>
        <v>0</v>
      </c>
      <c r="Z22" s="209">
        <f t="shared" si="11"/>
        <v>0</v>
      </c>
      <c r="AA22" s="205">
        <f t="shared" si="12"/>
        <v>0</v>
      </c>
      <c r="AB22" s="209">
        <f t="shared" si="13"/>
        <v>-0.52</v>
      </c>
      <c r="AC22" s="205">
        <f t="shared" si="14"/>
        <v>0</v>
      </c>
      <c r="AD22" s="210">
        <f t="shared" si="15"/>
        <v>2.8333333333357587</v>
      </c>
      <c r="AE22" s="210">
        <f t="shared" si="16"/>
        <v>0</v>
      </c>
      <c r="AF22" s="210">
        <f t="shared" si="17"/>
        <v>2.8333333333357587</v>
      </c>
      <c r="AG22" s="210">
        <f t="shared" si="18"/>
        <v>0</v>
      </c>
    </row>
    <row r="23" spans="2:33" ht="15" customHeight="1" x14ac:dyDescent="0.3">
      <c r="B23" s="196" t="s">
        <v>84</v>
      </c>
      <c r="C23" s="197" t="s">
        <v>13</v>
      </c>
      <c r="D23" s="198" t="str">
        <f t="shared" si="0"/>
        <v>C</v>
      </c>
      <c r="E23" s="199">
        <v>43623.017361111109</v>
      </c>
      <c r="F23" s="200" t="s">
        <v>82</v>
      </c>
      <c r="G23" s="201">
        <v>241.66</v>
      </c>
      <c r="H23" s="201">
        <v>250.88</v>
      </c>
      <c r="I23" s="202">
        <f t="shared" si="1"/>
        <v>9.2199999999999989</v>
      </c>
      <c r="J23" s="201">
        <v>69.52</v>
      </c>
      <c r="K23" s="199">
        <v>43623.081250000003</v>
      </c>
      <c r="L23" s="201">
        <v>249.76</v>
      </c>
      <c r="M23" s="203">
        <f t="shared" si="2"/>
        <v>-8.1</v>
      </c>
      <c r="N23" s="204">
        <f t="shared" si="3"/>
        <v>-0.88</v>
      </c>
      <c r="O23" s="205">
        <f t="shared" si="4"/>
        <v>0</v>
      </c>
      <c r="P23" s="206">
        <f t="shared" si="5"/>
        <v>0</v>
      </c>
      <c r="Q23" s="206">
        <f t="shared" si="6"/>
        <v>-0.88</v>
      </c>
      <c r="R23" s="206" t="str">
        <f ca="1">IF(AND(OFFSET(Tabla336106734826[[#This Row],[Equity]],1,0)="",Tabla336106734826[[#This Row],[No. of Rs]]&lt;0),"Yes",IF(AND(OFFSET(Tabla336106734826[[#This Row],[Initial Losing Trade]],1,0)="Yes",Tabla336106734826[[#This Row],[No. of Rs]]&lt;0),"Yes","No"))</f>
        <v>No</v>
      </c>
      <c r="S23" s="207">
        <f ca="1">IF(OFFSET(Tabla336106734826[[#This Row],[Equity]],1,0)="",IF(Tabla336106734826[[#This Row],[No. of Rs]]="",$F$11,$F$11+($F$11*Tabla336106734826[[#This Row],[No. of Rs]]/100)),IF(Tabla336106734826[[#This Row],[No. of Rs]]="",OFFSET(Tabla336106734826[[#This Row],[Equity]],1,0),OFFSET(Tabla336106734826[[#This Row],[Equity]],1,0)+($F$11*Tabla336106734826[[#This Row],[No. of Rs]]/100)))</f>
        <v>97730</v>
      </c>
      <c r="T23" s="207">
        <f ca="1">IF(OFFSET(Tabla336106734826[[#This Row],[Equity Peak]],1,0)="",IF(Tabla336106734826[[#This Row],[Initial Losing Trade]]="Yes",$F$11,Tabla336106734826[[#This Row],[Equity]]),IF(OFFSET(Tabla336106734826[[#This Row],[Equity Peak]],1,0)&gt;Tabla336106734826[[#This Row],[Equity]],OFFSET(Tabla336106734826[[#This Row],[Equity Peak]],1,0),Tabla336106734826[[#This Row],[Equity]]))</f>
        <v>100020</v>
      </c>
      <c r="U23" s="208">
        <f ca="1">IF(Tabla336106734826[[#This Row],[Equity]]&lt;Tabla336106734826[[#This Row],[Equity Peak]],(Tabla336106734826[[#This Row],[Equity Peak]]-Tabla336106734826[[#This Row],[Equity]])/Tabla336106734826[[#This Row],[Equity Peak]],"")</f>
        <v>2.2895420915816835E-2</v>
      </c>
      <c r="V23" s="209">
        <f t="shared" si="7"/>
        <v>0</v>
      </c>
      <c r="W23" s="209">
        <f t="shared" si="8"/>
        <v>0</v>
      </c>
      <c r="X23" s="209">
        <f t="shared" si="9"/>
        <v>0</v>
      </c>
      <c r="Y23" s="209">
        <f t="shared" si="10"/>
        <v>0</v>
      </c>
      <c r="Z23" s="209">
        <f t="shared" si="11"/>
        <v>0</v>
      </c>
      <c r="AA23" s="205">
        <f t="shared" si="12"/>
        <v>0</v>
      </c>
      <c r="AB23" s="209">
        <f t="shared" si="13"/>
        <v>-0.88</v>
      </c>
      <c r="AC23" s="205">
        <f t="shared" si="14"/>
        <v>0</v>
      </c>
      <c r="AD23" s="210">
        <f t="shared" si="15"/>
        <v>6.3888888893416151E-2</v>
      </c>
      <c r="AE23" s="210">
        <f t="shared" si="16"/>
        <v>0</v>
      </c>
      <c r="AF23" s="210">
        <f t="shared" si="17"/>
        <v>6.3888888893416151E-2</v>
      </c>
      <c r="AG23" s="210">
        <f t="shared" si="18"/>
        <v>0</v>
      </c>
    </row>
    <row r="24" spans="2:33" ht="15" customHeight="1" x14ac:dyDescent="0.3">
      <c r="B24" s="196" t="s">
        <v>84</v>
      </c>
      <c r="C24" s="197" t="s">
        <v>15</v>
      </c>
      <c r="D24" s="198" t="str">
        <f t="shared" si="0"/>
        <v>C</v>
      </c>
      <c r="E24" s="199">
        <v>43621.5</v>
      </c>
      <c r="F24" s="200" t="s">
        <v>82</v>
      </c>
      <c r="G24" s="201">
        <v>247.16</v>
      </c>
      <c r="H24" s="201">
        <v>235.21</v>
      </c>
      <c r="I24" s="202">
        <f t="shared" si="1"/>
        <v>11.949999999999989</v>
      </c>
      <c r="J24" s="201">
        <v>470.16</v>
      </c>
      <c r="K24" s="199">
        <v>43622.942361111112</v>
      </c>
      <c r="L24" s="201">
        <v>235.6</v>
      </c>
      <c r="M24" s="203">
        <f t="shared" si="2"/>
        <v>-11.56</v>
      </c>
      <c r="N24" s="204">
        <f t="shared" si="3"/>
        <v>-0.97</v>
      </c>
      <c r="O24" s="205">
        <f t="shared" si="4"/>
        <v>0</v>
      </c>
      <c r="P24" s="206">
        <f t="shared" si="5"/>
        <v>0</v>
      </c>
      <c r="Q24" s="206">
        <f t="shared" si="6"/>
        <v>-0.97</v>
      </c>
      <c r="R24" s="206" t="str">
        <f ca="1">IF(AND(OFFSET(Tabla336106734826[[#This Row],[Equity]],1,0)="",Tabla336106734826[[#This Row],[No. of Rs]]&lt;0),"Yes",IF(AND(OFFSET(Tabla336106734826[[#This Row],[Initial Losing Trade]],1,0)="Yes",Tabla336106734826[[#This Row],[No. of Rs]]&lt;0),"Yes","No"))</f>
        <v>No</v>
      </c>
      <c r="S24" s="207">
        <f ca="1">IF(OFFSET(Tabla336106734826[[#This Row],[Equity]],1,0)="",IF(Tabla336106734826[[#This Row],[No. of Rs]]="",$F$11,$F$11+($F$11*Tabla336106734826[[#This Row],[No. of Rs]]/100)),IF(Tabla336106734826[[#This Row],[No. of Rs]]="",OFFSET(Tabla336106734826[[#This Row],[Equity]],1,0),OFFSET(Tabla336106734826[[#This Row],[Equity]],1,0)+($F$11*Tabla336106734826[[#This Row],[No. of Rs]]/100)))</f>
        <v>98610</v>
      </c>
      <c r="T24" s="207">
        <f ca="1">IF(OFFSET(Tabla336106734826[[#This Row],[Equity Peak]],1,0)="",IF(Tabla336106734826[[#This Row],[Initial Losing Trade]]="Yes",$F$11,Tabla336106734826[[#This Row],[Equity]]),IF(OFFSET(Tabla336106734826[[#This Row],[Equity Peak]],1,0)&gt;Tabla336106734826[[#This Row],[Equity]],OFFSET(Tabla336106734826[[#This Row],[Equity Peak]],1,0),Tabla336106734826[[#This Row],[Equity]]))</f>
        <v>100020</v>
      </c>
      <c r="U24" s="208">
        <f ca="1">IF(Tabla336106734826[[#This Row],[Equity]]&lt;Tabla336106734826[[#This Row],[Equity Peak]],(Tabla336106734826[[#This Row],[Equity Peak]]-Tabla336106734826[[#This Row],[Equity]])/Tabla336106734826[[#This Row],[Equity Peak]],"")</f>
        <v>1.4097180563887222E-2</v>
      </c>
      <c r="V24" s="209">
        <f t="shared" si="7"/>
        <v>0</v>
      </c>
      <c r="W24" s="209">
        <f t="shared" si="8"/>
        <v>0</v>
      </c>
      <c r="X24" s="209">
        <f t="shared" si="9"/>
        <v>0</v>
      </c>
      <c r="Y24" s="209">
        <f t="shared" si="10"/>
        <v>0</v>
      </c>
      <c r="Z24" s="209">
        <f t="shared" si="11"/>
        <v>0</v>
      </c>
      <c r="AA24" s="205">
        <f t="shared" si="12"/>
        <v>0</v>
      </c>
      <c r="AB24" s="209">
        <f t="shared" si="13"/>
        <v>-0.97</v>
      </c>
      <c r="AC24" s="205">
        <f t="shared" si="14"/>
        <v>0</v>
      </c>
      <c r="AD24" s="210">
        <f t="shared" si="15"/>
        <v>1.4423611111124046</v>
      </c>
      <c r="AE24" s="210">
        <f t="shared" si="16"/>
        <v>0</v>
      </c>
      <c r="AF24" s="210">
        <f t="shared" si="17"/>
        <v>1.4423611111124046</v>
      </c>
      <c r="AG24" s="210">
        <f t="shared" si="18"/>
        <v>0</v>
      </c>
    </row>
    <row r="25" spans="2:33" ht="15" customHeight="1" x14ac:dyDescent="0.3">
      <c r="B25" s="196" t="s">
        <v>84</v>
      </c>
      <c r="C25" s="197" t="s">
        <v>13</v>
      </c>
      <c r="D25" s="198" t="str">
        <f t="shared" si="0"/>
        <v>C</v>
      </c>
      <c r="E25" s="199">
        <v>43621.333333333336</v>
      </c>
      <c r="F25" s="200" t="s">
        <v>82</v>
      </c>
      <c r="G25" s="201">
        <v>241.73</v>
      </c>
      <c r="H25" s="201">
        <v>253.95</v>
      </c>
      <c r="I25" s="202">
        <f t="shared" si="1"/>
        <v>12.219999999999999</v>
      </c>
      <c r="J25" s="201">
        <v>13.69</v>
      </c>
      <c r="K25" s="199">
        <v>43621.5</v>
      </c>
      <c r="L25" s="201">
        <v>247.16</v>
      </c>
      <c r="M25" s="203">
        <f t="shared" si="2"/>
        <v>-5.43</v>
      </c>
      <c r="N25" s="204">
        <f t="shared" si="3"/>
        <v>-0.44</v>
      </c>
      <c r="O25" s="205">
        <f t="shared" si="4"/>
        <v>0</v>
      </c>
      <c r="P25" s="206">
        <f t="shared" si="5"/>
        <v>0</v>
      </c>
      <c r="Q25" s="206">
        <f t="shared" si="6"/>
        <v>-0.44</v>
      </c>
      <c r="R25" s="206" t="str">
        <f ca="1">IF(AND(OFFSET(Tabla336106734826[[#This Row],[Equity]],1,0)="",Tabla336106734826[[#This Row],[No. of Rs]]&lt;0),"Yes",IF(AND(OFFSET(Tabla336106734826[[#This Row],[Initial Losing Trade]],1,0)="Yes",Tabla336106734826[[#This Row],[No. of Rs]]&lt;0),"Yes","No"))</f>
        <v>No</v>
      </c>
      <c r="S25" s="207">
        <f ca="1">IF(OFFSET(Tabla336106734826[[#This Row],[Equity]],1,0)="",IF(Tabla336106734826[[#This Row],[No. of Rs]]="",$F$11,$F$11+($F$11*Tabla336106734826[[#This Row],[No. of Rs]]/100)),IF(Tabla336106734826[[#This Row],[No. of Rs]]="",OFFSET(Tabla336106734826[[#This Row],[Equity]],1,0),OFFSET(Tabla336106734826[[#This Row],[Equity]],1,0)+($F$11*Tabla336106734826[[#This Row],[No. of Rs]]/100)))</f>
        <v>99580</v>
      </c>
      <c r="T25" s="207">
        <f ca="1">IF(OFFSET(Tabla336106734826[[#This Row],[Equity Peak]],1,0)="",IF(Tabla336106734826[[#This Row],[Initial Losing Trade]]="Yes",$F$11,Tabla336106734826[[#This Row],[Equity]]),IF(OFFSET(Tabla336106734826[[#This Row],[Equity Peak]],1,0)&gt;Tabla336106734826[[#This Row],[Equity]],OFFSET(Tabla336106734826[[#This Row],[Equity Peak]],1,0),Tabla336106734826[[#This Row],[Equity]]))</f>
        <v>100020</v>
      </c>
      <c r="U25" s="208">
        <f ca="1">IF(Tabla336106734826[[#This Row],[Equity]]&lt;Tabla336106734826[[#This Row],[Equity Peak]],(Tabla336106734826[[#This Row],[Equity Peak]]-Tabla336106734826[[#This Row],[Equity]])/Tabla336106734826[[#This Row],[Equity Peak]],"")</f>
        <v>4.3991201759648072E-3</v>
      </c>
      <c r="V25" s="209">
        <f t="shared" si="7"/>
        <v>0</v>
      </c>
      <c r="W25" s="209">
        <f t="shared" si="8"/>
        <v>0</v>
      </c>
      <c r="X25" s="209">
        <f t="shared" si="9"/>
        <v>0</v>
      </c>
      <c r="Y25" s="209">
        <f t="shared" si="10"/>
        <v>0</v>
      </c>
      <c r="Z25" s="209">
        <f t="shared" si="11"/>
        <v>0</v>
      </c>
      <c r="AA25" s="205">
        <f t="shared" si="12"/>
        <v>0</v>
      </c>
      <c r="AB25" s="209">
        <f t="shared" si="13"/>
        <v>-0.44</v>
      </c>
      <c r="AC25" s="205">
        <f t="shared" si="14"/>
        <v>0</v>
      </c>
      <c r="AD25" s="210">
        <f t="shared" si="15"/>
        <v>0.16666666666424135</v>
      </c>
      <c r="AE25" s="210">
        <f t="shared" si="16"/>
        <v>0</v>
      </c>
      <c r="AF25" s="210">
        <f t="shared" si="17"/>
        <v>0.16666666666424135</v>
      </c>
      <c r="AG25" s="210">
        <f t="shared" si="18"/>
        <v>0</v>
      </c>
    </row>
    <row r="26" spans="2:33" ht="15" customHeight="1" x14ac:dyDescent="0.3">
      <c r="B26" s="196" t="s">
        <v>84</v>
      </c>
      <c r="C26" s="197" t="s">
        <v>15</v>
      </c>
      <c r="D26" s="198" t="str">
        <f t="shared" si="0"/>
        <v>C</v>
      </c>
      <c r="E26" s="199">
        <v>43600.166666666664</v>
      </c>
      <c r="F26" s="200" t="s">
        <v>82</v>
      </c>
      <c r="G26" s="201">
        <v>222.39</v>
      </c>
      <c r="H26" s="201">
        <v>206.37</v>
      </c>
      <c r="I26" s="202">
        <f t="shared" si="1"/>
        <v>16.019999999999982</v>
      </c>
      <c r="J26" s="201">
        <v>521.37</v>
      </c>
      <c r="K26" s="199">
        <v>43616.11041666667</v>
      </c>
      <c r="L26" s="201">
        <v>238.74</v>
      </c>
      <c r="M26" s="203">
        <f t="shared" si="2"/>
        <v>16.350000000000001</v>
      </c>
      <c r="N26" s="204">
        <f t="shared" si="3"/>
        <v>1.02</v>
      </c>
      <c r="O26" s="205">
        <f t="shared" si="4"/>
        <v>0</v>
      </c>
      <c r="P26" s="206">
        <f t="shared" si="5"/>
        <v>1.02</v>
      </c>
      <c r="Q26" s="206">
        <f t="shared" si="6"/>
        <v>0</v>
      </c>
      <c r="R26" s="206" t="str">
        <f ca="1">IF(AND(OFFSET(Tabla336106734826[[#This Row],[Equity]],1,0)="",Tabla336106734826[[#This Row],[No. of Rs]]&lt;0),"Yes",IF(AND(OFFSET(Tabla336106734826[[#This Row],[Initial Losing Trade]],1,0)="Yes",Tabla336106734826[[#This Row],[No. of Rs]]&lt;0),"Yes","No"))</f>
        <v>No</v>
      </c>
      <c r="S26" s="207">
        <f ca="1">IF(OFFSET(Tabla336106734826[[#This Row],[Equity]],1,0)="",IF(Tabla336106734826[[#This Row],[No. of Rs]]="",$F$11,$F$11+($F$11*Tabla336106734826[[#This Row],[No. of Rs]]/100)),IF(Tabla336106734826[[#This Row],[No. of Rs]]="",OFFSET(Tabla336106734826[[#This Row],[Equity]],1,0),OFFSET(Tabla336106734826[[#This Row],[Equity]],1,0)+($F$11*Tabla336106734826[[#This Row],[No. of Rs]]/100)))</f>
        <v>100020</v>
      </c>
      <c r="T26" s="207">
        <f ca="1">IF(OFFSET(Tabla336106734826[[#This Row],[Equity Peak]],1,0)="",IF(Tabla336106734826[[#This Row],[Initial Losing Trade]]="Yes",$F$11,Tabla336106734826[[#This Row],[Equity]]),IF(OFFSET(Tabla336106734826[[#This Row],[Equity Peak]],1,0)&gt;Tabla336106734826[[#This Row],[Equity]],OFFSET(Tabla336106734826[[#This Row],[Equity Peak]],1,0),Tabla336106734826[[#This Row],[Equity]]))</f>
        <v>100020</v>
      </c>
      <c r="U26" s="208" t="str">
        <f ca="1">IF(Tabla336106734826[[#This Row],[Equity]]&lt;Tabla336106734826[[#This Row],[Equity Peak]],(Tabla336106734826[[#This Row],[Equity Peak]]-Tabla336106734826[[#This Row],[Equity]])/Tabla336106734826[[#This Row],[Equity Peak]],"")</f>
        <v/>
      </c>
      <c r="V26" s="209">
        <f t="shared" si="7"/>
        <v>0</v>
      </c>
      <c r="W26" s="209">
        <f t="shared" si="8"/>
        <v>0</v>
      </c>
      <c r="X26" s="209">
        <f t="shared" si="9"/>
        <v>0</v>
      </c>
      <c r="Y26" s="209">
        <f t="shared" si="10"/>
        <v>0</v>
      </c>
      <c r="Z26" s="209">
        <f t="shared" si="11"/>
        <v>0</v>
      </c>
      <c r="AA26" s="205">
        <f t="shared" si="12"/>
        <v>0</v>
      </c>
      <c r="AB26" s="209">
        <f t="shared" si="13"/>
        <v>1.02</v>
      </c>
      <c r="AC26" s="205">
        <f t="shared" si="14"/>
        <v>0</v>
      </c>
      <c r="AD26" s="210">
        <f t="shared" si="15"/>
        <v>15.943750000005821</v>
      </c>
      <c r="AE26" s="210">
        <f t="shared" si="16"/>
        <v>15.943750000005821</v>
      </c>
      <c r="AF26" s="210">
        <f t="shared" si="17"/>
        <v>0</v>
      </c>
      <c r="AG26" s="210">
        <f t="shared" si="18"/>
        <v>0</v>
      </c>
    </row>
    <row r="27" spans="2:33" ht="15" customHeight="1" x14ac:dyDescent="0.3">
      <c r="B27" s="181" t="s">
        <v>84</v>
      </c>
      <c r="C27" s="182" t="s">
        <v>15</v>
      </c>
      <c r="D27" s="183" t="str">
        <f t="shared" si="0"/>
        <v>C</v>
      </c>
      <c r="E27" s="184">
        <v>43599.333333333336</v>
      </c>
      <c r="F27" s="185" t="s">
        <v>82</v>
      </c>
      <c r="G27" s="186">
        <v>212.72</v>
      </c>
      <c r="H27" s="186">
        <v>200.42</v>
      </c>
      <c r="I27" s="65">
        <f t="shared" si="1"/>
        <v>12.300000000000011</v>
      </c>
      <c r="J27" s="186">
        <v>442.34</v>
      </c>
      <c r="K27" s="184">
        <v>43599.774305555555</v>
      </c>
      <c r="L27" s="186">
        <v>200.42</v>
      </c>
      <c r="M27" s="187">
        <f t="shared" si="2"/>
        <v>-12.3</v>
      </c>
      <c r="N27" s="188">
        <f t="shared" si="3"/>
        <v>-1</v>
      </c>
      <c r="O27" s="189">
        <f t="shared" si="4"/>
        <v>0</v>
      </c>
      <c r="P27" s="190">
        <f t="shared" si="5"/>
        <v>0</v>
      </c>
      <c r="Q27" s="190">
        <f t="shared" si="6"/>
        <v>-1</v>
      </c>
      <c r="R27" s="190" t="str">
        <f ca="1">IF(AND(OFFSET(Tabla336106734826[[#This Row],[Equity]],1,0)="",Tabla336106734826[[#This Row],[No. of Rs]]&lt;0),"Yes",IF(AND(OFFSET(Tabla336106734826[[#This Row],[Initial Losing Trade]],1,0)="Yes",Tabla336106734826[[#This Row],[No. of Rs]]&lt;0),"Yes","No"))</f>
        <v>Yes</v>
      </c>
      <c r="S27" s="191">
        <f ca="1">IF(OFFSET(Tabla336106734826[[#This Row],[Equity]],1,0)="",IF(Tabla336106734826[[#This Row],[No. of Rs]]="",$F$11,$F$11+($F$11*Tabla336106734826[[#This Row],[No. of Rs]]/100)),IF(Tabla336106734826[[#This Row],[No. of Rs]]="",OFFSET(Tabla336106734826[[#This Row],[Equity]],1,0),OFFSET(Tabla336106734826[[#This Row],[Equity]],1,0)+($F$11*Tabla336106734826[[#This Row],[No. of Rs]]/100)))</f>
        <v>99000</v>
      </c>
      <c r="T27" s="191">
        <f ca="1">IF(OFFSET(Tabla336106734826[[#This Row],[Equity Peak]],1,0)="",IF(Tabla336106734826[[#This Row],[Initial Losing Trade]]="Yes",$F$11,Tabla336106734826[[#This Row],[Equity]]),IF(OFFSET(Tabla336106734826[[#This Row],[Equity Peak]],1,0)&gt;Tabla336106734826[[#This Row],[Equity]],OFFSET(Tabla336106734826[[#This Row],[Equity Peak]],1,0),Tabla336106734826[[#This Row],[Equity]]))</f>
        <v>100000</v>
      </c>
      <c r="U27" s="192">
        <f ca="1">IF(Tabla336106734826[[#This Row],[Equity]]&lt;Tabla336106734826[[#This Row],[Equity Peak]],(Tabla336106734826[[#This Row],[Equity Peak]]-Tabla336106734826[[#This Row],[Equity]])/Tabla336106734826[[#This Row],[Equity Peak]],"")</f>
        <v>0.01</v>
      </c>
      <c r="V27" s="193">
        <f t="shared" si="7"/>
        <v>0</v>
      </c>
      <c r="W27" s="193">
        <f t="shared" si="8"/>
        <v>0</v>
      </c>
      <c r="X27" s="193">
        <f t="shared" si="9"/>
        <v>0</v>
      </c>
      <c r="Y27" s="193">
        <f t="shared" si="10"/>
        <v>0</v>
      </c>
      <c r="Z27" s="193">
        <f t="shared" si="11"/>
        <v>0</v>
      </c>
      <c r="AA27" s="189">
        <f t="shared" si="12"/>
        <v>0</v>
      </c>
      <c r="AB27" s="193">
        <f t="shared" si="13"/>
        <v>-1</v>
      </c>
      <c r="AC27" s="189">
        <f t="shared" si="14"/>
        <v>0</v>
      </c>
      <c r="AD27" s="194">
        <f t="shared" si="15"/>
        <v>0.44097222221898846</v>
      </c>
      <c r="AE27" s="194">
        <f t="shared" si="16"/>
        <v>0</v>
      </c>
      <c r="AF27" s="194">
        <f t="shared" si="17"/>
        <v>0.44097222221898846</v>
      </c>
      <c r="AG27" s="194">
        <f t="shared" si="18"/>
        <v>0</v>
      </c>
    </row>
  </sheetData>
  <sheetProtection algorithmName="SHA-512" hashValue="IAe3b/W6f9S9QJWNVpgyMISDG4kXpXg4FkuHgJ3LXN8NlKJ4nxUE5TEdK9QXDYWZk2yaBe/ILc5JuKug1g/9xA==" saltValue="LEL0RtsHvuAENfDoNcIhFQ==" spinCount="100000" sheet="1" objects="1" scenarios="1" selectLockedCells="1"/>
  <mergeCells count="11">
    <mergeCell ref="L10:M10"/>
    <mergeCell ref="H11:I11"/>
    <mergeCell ref="H12:I12"/>
    <mergeCell ref="AD12:AG12"/>
    <mergeCell ref="E2:N5"/>
    <mergeCell ref="L6:M7"/>
    <mergeCell ref="N6:N7"/>
    <mergeCell ref="I7:I9"/>
    <mergeCell ref="J7:J9"/>
    <mergeCell ref="L8:M8"/>
    <mergeCell ref="L9:M9"/>
  </mergeCells>
  <conditionalFormatting sqref="X9">
    <cfRule type="cellIs" dxfId="41" priority="3" operator="equal">
      <formula>"OK"</formula>
    </cfRule>
    <cfRule type="cellIs" dxfId="40" priority="4" operator="equal">
      <formula>"warning"</formula>
    </cfRule>
  </conditionalFormatting>
  <conditionalFormatting sqref="F13">
    <cfRule type="cellIs" dxfId="39" priority="1" operator="equal">
      <formula>"OK"</formula>
    </cfRule>
    <cfRule type="cellIs" dxfId="38" priority="2" operator="equal">
      <formula>"Error!!"</formula>
    </cfRule>
  </conditionalFormatting>
  <conditionalFormatting sqref="E15:H15 K15:L15">
    <cfRule type="expression" dxfId="37" priority="5">
      <formula>+$D15=#REF!</formula>
    </cfRule>
    <cfRule type="expression" dxfId="36" priority="6">
      <formula>+$D15=#REF!</formula>
    </cfRule>
  </conditionalFormatting>
  <conditionalFormatting sqref="D15 K16:L16 D16:H27 J17:L27">
    <cfRule type="expression" dxfId="35" priority="7">
      <formula>+$D15=$AG$8</formula>
    </cfRule>
    <cfRule type="expression" dxfId="34" priority="8">
      <formula>+$D15=$AG$9</formula>
    </cfRule>
  </conditionalFormatting>
  <dataValidations count="3">
    <dataValidation type="list" allowBlank="1" showInputMessage="1" showErrorMessage="1" promptTitle="Instrument Type" prompt="Select Type from List_x000a_" sqref="B15:B16" xr:uid="{11E20261-54D5-4EED-BDB6-A49E430DE1C2}">
      <formula1>$AE$4:$AE$6</formula1>
    </dataValidation>
    <dataValidation type="list" allowBlank="1" showInputMessage="1" showErrorMessage="1" promptTitle="Trade Direction" prompt="Select from List" sqref="C15:C16" xr:uid="{A51DAB31-91BC-4792-A2C4-CDDA17DD271D}">
      <formula1>$AG$4:$AG$5</formula1>
    </dataValidation>
    <dataValidation type="list" allowBlank="1" showInputMessage="1" showErrorMessage="1" promptTitle="Instrument Type" prompt="Select Type from List_x000a_" sqref="B17:B27" xr:uid="{7244C740-4685-4967-8695-AD2F400F192B}">
      <formula1>$AE$4:$AE$7</formula1>
    </dataValidation>
  </dataValidations>
  <pageMargins left="0.7" right="0.7" top="0.75" bottom="0.75" header="0.3" footer="0.3"/>
  <pageSetup paperSize="9" scale="50" orientation="landscape" horizontalDpi="4294967294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23</vt:i4>
      </vt:variant>
    </vt:vector>
  </HeadingPairs>
  <TitlesOfParts>
    <vt:vector size="48" baseType="lpstr">
      <vt:lpstr>Master</vt:lpstr>
      <vt:lpstr>Profit Summary</vt:lpstr>
      <vt:lpstr>Reference Table</vt:lpstr>
      <vt:lpstr>Template</vt:lpstr>
      <vt:lpstr>AUDJPY</vt:lpstr>
      <vt:lpstr>AUDUSD</vt:lpstr>
      <vt:lpstr>EURAUD</vt:lpstr>
      <vt:lpstr>EURGBP</vt:lpstr>
      <vt:lpstr>EURJPY</vt:lpstr>
      <vt:lpstr>EURUSD</vt:lpstr>
      <vt:lpstr>GBPAUD</vt:lpstr>
      <vt:lpstr>GBPJPY</vt:lpstr>
      <vt:lpstr>GBPUSD</vt:lpstr>
      <vt:lpstr>USDJPY</vt:lpstr>
      <vt:lpstr>XAGUSD</vt:lpstr>
      <vt:lpstr>XAUUSD</vt:lpstr>
      <vt:lpstr>USOUSD</vt:lpstr>
      <vt:lpstr>ASX200</vt:lpstr>
      <vt:lpstr>GER30</vt:lpstr>
      <vt:lpstr>NDX100</vt:lpstr>
      <vt:lpstr>SPX500</vt:lpstr>
      <vt:lpstr>UK100</vt:lpstr>
      <vt:lpstr>US30</vt:lpstr>
      <vt:lpstr>BTCUSD</vt:lpstr>
      <vt:lpstr>ETHUSD</vt:lpstr>
      <vt:lpstr>'ASX200'!Print_Area</vt:lpstr>
      <vt:lpstr>AUDJPY!Print_Area</vt:lpstr>
      <vt:lpstr>AUDUSD!Print_Area</vt:lpstr>
      <vt:lpstr>BTCUSD!Print_Area</vt:lpstr>
      <vt:lpstr>ETHUSD!Print_Area</vt:lpstr>
      <vt:lpstr>EURAUD!Print_Area</vt:lpstr>
      <vt:lpstr>EURGBP!Print_Area</vt:lpstr>
      <vt:lpstr>EURJPY!Print_Area</vt:lpstr>
      <vt:lpstr>EURUSD!Print_Area</vt:lpstr>
      <vt:lpstr>GBPAUD!Print_Area</vt:lpstr>
      <vt:lpstr>GBPJPY!Print_Area</vt:lpstr>
      <vt:lpstr>GBPUSD!Print_Area</vt:lpstr>
      <vt:lpstr>'GER30'!Print_Area</vt:lpstr>
      <vt:lpstr>Master!Print_Area</vt:lpstr>
      <vt:lpstr>'NDX100'!Print_Area</vt:lpstr>
      <vt:lpstr>'SPX500'!Print_Area</vt:lpstr>
      <vt:lpstr>Template!Print_Area</vt:lpstr>
      <vt:lpstr>'UK100'!Print_Area</vt:lpstr>
      <vt:lpstr>'US30'!Print_Area</vt:lpstr>
      <vt:lpstr>USDJPY!Print_Area</vt:lpstr>
      <vt:lpstr>USOUSD!Print_Area</vt:lpstr>
      <vt:lpstr>XAGUSD!Print_Area</vt:lpstr>
      <vt:lpstr>XAUUSD!Print_Area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Simpson;Peter Hunt;Stacey Eaton</dc:creator>
  <cp:lastModifiedBy>User</cp:lastModifiedBy>
  <cp:lastPrinted>2022-11-30T04:48:15Z</cp:lastPrinted>
  <dcterms:created xsi:type="dcterms:W3CDTF">2011-04-10T08:00:21Z</dcterms:created>
  <dcterms:modified xsi:type="dcterms:W3CDTF">2022-11-30T04:49:22Z</dcterms:modified>
</cp:coreProperties>
</file>